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Q:\RTF\Administrative\Accounting\2025-2029 Planning\"/>
    </mc:Choice>
  </mc:AlternateContent>
  <xr:revisionPtr revIDLastSave="0" documentId="13_ncr:1_{15051C8D-7BD3-48D7-B45C-7A400607FA46}" xr6:coauthVersionLast="47" xr6:coauthVersionMax="47" xr10:uidLastSave="{00000000-0000-0000-0000-000000000000}"/>
  <bookViews>
    <workbookView xWindow="-120" yWindow="-120" windowWidth="29040" windowHeight="15840" xr2:uid="{EF3C1F0B-1E82-4C5B-B5FB-A1B6AF35CA5C}"/>
  </bookViews>
  <sheets>
    <sheet name="Table of Contents" sheetId="14" r:id="rId1"/>
    <sheet name="Summary Analysis" sheetId="17" r:id="rId2"/>
    <sheet name="Category History" sheetId="1" r:id="rId3"/>
    <sheet name="2025-2029 Category Detail" sheetId="4" r:id="rId4"/>
    <sheet name="Funding Shares (Combined)" sheetId="13" r:id="rId5"/>
    <sheet name="2025-2029 Combined Category" sheetId="8" r:id="rId6"/>
    <sheet name="2025-2029 Category Electric" sheetId="7" r:id="rId7"/>
    <sheet name="2025-2029 Category Gas" sheetId="11" r:id="rId8"/>
    <sheet name="2025-2029 Category DR" sheetId="12" r:id="rId9"/>
    <sheet name="Measure Timing and Costs" sheetId="3" r:id="rId10"/>
    <sheet name="NWPCC In Kind" sheetId="2" r:id="rId11"/>
  </sheets>
  <externalReferences>
    <externalReference r:id="rId12"/>
  </externalReferences>
  <definedNames>
    <definedName name="_xlnm._FilterDatabase" localSheetId="3" hidden="1">'2025-2029 Category Detail'!$A$6:$AY$6</definedName>
    <definedName name="_xlnm._FilterDatabase" localSheetId="9" hidden="1">'Measure Timing and Costs'!$A$34:$P$134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1" i="13" l="1"/>
  <c r="F90" i="13"/>
  <c r="D97" i="13"/>
  <c r="D91" i="13"/>
  <c r="C35" i="17"/>
  <c r="D35" i="17"/>
  <c r="E35" i="17"/>
  <c r="F35" i="17"/>
  <c r="G35" i="17"/>
  <c r="C36" i="17"/>
  <c r="D36" i="17"/>
  <c r="E36" i="17"/>
  <c r="F36" i="17"/>
  <c r="G36" i="17"/>
  <c r="C37" i="17"/>
  <c r="D37" i="17"/>
  <c r="E37" i="17"/>
  <c r="F37" i="17"/>
  <c r="G37" i="17"/>
  <c r="C38" i="17"/>
  <c r="D38" i="17"/>
  <c r="E38" i="17"/>
  <c r="F38" i="17"/>
  <c r="G38" i="17"/>
  <c r="C39" i="17"/>
  <c r="D39" i="17"/>
  <c r="E39" i="17"/>
  <c r="F39" i="17"/>
  <c r="G39" i="17"/>
  <c r="C40" i="17"/>
  <c r="D40" i="17"/>
  <c r="E40" i="17"/>
  <c r="F40" i="17"/>
  <c r="G40" i="17"/>
  <c r="C41" i="17"/>
  <c r="D41" i="17"/>
  <c r="E41" i="17"/>
  <c r="G41" i="17"/>
  <c r="C42" i="17"/>
  <c r="D42" i="17"/>
  <c r="E42" i="17"/>
  <c r="F42" i="17"/>
  <c r="G42" i="17"/>
  <c r="C43" i="17"/>
  <c r="E43" i="17"/>
  <c r="G43" i="17"/>
  <c r="C44" i="17"/>
  <c r="D44" i="17"/>
  <c r="E44" i="17"/>
  <c r="F44" i="17"/>
  <c r="G44" i="17"/>
  <c r="C45" i="17"/>
  <c r="E45" i="17"/>
  <c r="F45" i="17"/>
  <c r="G45" i="17"/>
  <c r="C46" i="17"/>
  <c r="D46" i="17"/>
  <c r="E46" i="17"/>
  <c r="F46" i="17"/>
  <c r="G46" i="17"/>
  <c r="C47" i="17"/>
  <c r="D47" i="17"/>
  <c r="E47" i="17"/>
  <c r="F47" i="17"/>
  <c r="G47" i="17"/>
  <c r="C48" i="17"/>
  <c r="D48" i="17"/>
  <c r="E48" i="17"/>
  <c r="F48" i="17"/>
  <c r="G48" i="17"/>
  <c r="C49" i="17"/>
  <c r="D49" i="17"/>
  <c r="E49" i="17"/>
  <c r="F49" i="17"/>
  <c r="G49" i="17"/>
  <c r="C50" i="17"/>
  <c r="D50" i="17"/>
  <c r="H50" i="17" s="1"/>
  <c r="E50" i="17"/>
  <c r="F50" i="17"/>
  <c r="G50" i="17"/>
  <c r="C51" i="17"/>
  <c r="D51" i="17"/>
  <c r="E51" i="17"/>
  <c r="F51" i="17"/>
  <c r="G51" i="17"/>
  <c r="A35" i="17"/>
  <c r="A36" i="17"/>
  <c r="A37" i="17"/>
  <c r="A38" i="17"/>
  <c r="A39" i="17"/>
  <c r="A40" i="17"/>
  <c r="A41" i="17"/>
  <c r="A42" i="17"/>
  <c r="A43" i="17"/>
  <c r="A44" i="17"/>
  <c r="A45" i="17"/>
  <c r="A46" i="17"/>
  <c r="A47" i="17"/>
  <c r="A48" i="17"/>
  <c r="A49" i="17"/>
  <c r="A50" i="17"/>
  <c r="A51" i="17"/>
  <c r="A34" i="17"/>
  <c r="B85" i="13"/>
  <c r="B84" i="13"/>
  <c r="H42" i="17" l="1"/>
  <c r="H35" i="17"/>
  <c r="H51" i="17"/>
  <c r="H44" i="17"/>
  <c r="H37" i="17"/>
  <c r="H40" i="17"/>
  <c r="H47" i="17"/>
  <c r="H38" i="17"/>
  <c r="H36" i="17"/>
  <c r="H48" i="17"/>
  <c r="H39" i="17"/>
  <c r="H46" i="17"/>
  <c r="H49" i="17"/>
  <c r="AR16" i="4"/>
  <c r="X16" i="4"/>
  <c r="N16" i="4"/>
  <c r="F50" i="4"/>
  <c r="C50" i="4"/>
  <c r="B50" i="4"/>
  <c r="F47" i="4"/>
  <c r="D47" i="4"/>
  <c r="C47" i="4"/>
  <c r="F44" i="4"/>
  <c r="D44" i="4"/>
  <c r="C44" i="4"/>
  <c r="D37" i="4"/>
  <c r="F31" i="4"/>
  <c r="D31" i="4"/>
  <c r="C31" i="4"/>
  <c r="B31" i="4"/>
  <c r="F27" i="4"/>
  <c r="D27" i="4"/>
  <c r="C27" i="4"/>
  <c r="B27" i="4"/>
  <c r="F23" i="4"/>
  <c r="D23" i="4"/>
  <c r="C23" i="4"/>
  <c r="B23" i="4"/>
  <c r="D16" i="4"/>
  <c r="D7" i="4"/>
  <c r="AI57" i="4"/>
  <c r="AI48" i="4"/>
  <c r="AH47" i="4"/>
  <c r="AH44" i="4"/>
  <c r="AI43" i="4"/>
  <c r="AI42" i="4"/>
  <c r="AH41" i="4"/>
  <c r="AI40" i="4"/>
  <c r="AH37" i="4"/>
  <c r="AI36" i="4"/>
  <c r="AI35" i="4"/>
  <c r="AI34" i="4"/>
  <c r="AI33" i="4"/>
  <c r="AI32" i="4"/>
  <c r="AH31" i="4"/>
  <c r="AI30" i="4"/>
  <c r="AI29" i="4"/>
  <c r="AI28" i="4"/>
  <c r="AH27" i="4"/>
  <c r="AI25" i="4"/>
  <c r="AI24" i="4"/>
  <c r="AH23" i="4"/>
  <c r="AH16" i="4"/>
  <c r="AH7" i="4"/>
  <c r="AI16" i="12"/>
  <c r="AF16" i="12"/>
  <c r="AE16" i="12"/>
  <c r="AB16" i="12"/>
  <c r="Y16" i="12"/>
  <c r="X16" i="12"/>
  <c r="U16" i="12"/>
  <c r="R16" i="12"/>
  <c r="Q16" i="12"/>
  <c r="N16" i="12"/>
  <c r="K16" i="12"/>
  <c r="J16" i="12"/>
  <c r="G16" i="12"/>
  <c r="D16" i="12"/>
  <c r="C16" i="12"/>
  <c r="AI16" i="11"/>
  <c r="AF16" i="11"/>
  <c r="AE16" i="11"/>
  <c r="AB16" i="11"/>
  <c r="Y16" i="11"/>
  <c r="X16" i="11"/>
  <c r="U16" i="11"/>
  <c r="R16" i="11"/>
  <c r="Q16" i="11"/>
  <c r="N16" i="11"/>
  <c r="K16" i="11"/>
  <c r="J16" i="11"/>
  <c r="G16" i="11"/>
  <c r="D16" i="11"/>
  <c r="C16" i="11"/>
  <c r="AI16" i="7"/>
  <c r="AF16" i="7"/>
  <c r="AE16" i="7"/>
  <c r="AB16" i="7"/>
  <c r="Y16" i="7"/>
  <c r="X16" i="7"/>
  <c r="U16" i="7"/>
  <c r="R16" i="7"/>
  <c r="Q16" i="7"/>
  <c r="N16" i="7"/>
  <c r="K16" i="7"/>
  <c r="J16" i="7"/>
  <c r="G16" i="7"/>
  <c r="D16" i="7"/>
  <c r="C16" i="7"/>
  <c r="AR51" i="4"/>
  <c r="AG16" i="12" s="1"/>
  <c r="AR52" i="4"/>
  <c r="AR53" i="4"/>
  <c r="AR54" i="4"/>
  <c r="AR55" i="4"/>
  <c r="AR56" i="4"/>
  <c r="AS25" i="4"/>
  <c r="F30" i="3"/>
  <c r="F21" i="3"/>
  <c r="O40" i="4"/>
  <c r="AS36" i="4"/>
  <c r="AS34" i="4"/>
  <c r="Y34" i="4"/>
  <c r="AS32" i="4"/>
  <c r="AS30" i="4"/>
  <c r="AS29" i="4"/>
  <c r="F27" i="3"/>
  <c r="F25" i="3"/>
  <c r="E21" i="3"/>
  <c r="AS33" i="4"/>
  <c r="P38" i="4"/>
  <c r="E23" i="2"/>
  <c r="D23" i="2"/>
  <c r="B122" i="13"/>
  <c r="B99" i="13"/>
  <c r="B76" i="13"/>
  <c r="B54" i="13"/>
  <c r="B33" i="13"/>
  <c r="B22" i="13"/>
  <c r="A2" i="3"/>
  <c r="B2" i="12"/>
  <c r="B2" i="11"/>
  <c r="B2" i="7"/>
  <c r="B2" i="8"/>
  <c r="A2" i="13"/>
  <c r="A2" i="4"/>
  <c r="B2" i="1"/>
  <c r="G15" i="12"/>
  <c r="E15" i="12"/>
  <c r="D15" i="12"/>
  <c r="G14" i="12"/>
  <c r="E14" i="12"/>
  <c r="D14" i="12"/>
  <c r="G13" i="12"/>
  <c r="E13" i="12"/>
  <c r="D13" i="12"/>
  <c r="C13" i="12"/>
  <c r="E12" i="12"/>
  <c r="G11" i="12"/>
  <c r="E11" i="12"/>
  <c r="D11" i="12"/>
  <c r="C11" i="12"/>
  <c r="G10" i="12"/>
  <c r="E10" i="12"/>
  <c r="D10" i="12"/>
  <c r="C10" i="12"/>
  <c r="G9" i="12"/>
  <c r="E9" i="12"/>
  <c r="D9" i="12"/>
  <c r="C9" i="12"/>
  <c r="E8" i="12"/>
  <c r="E7" i="12"/>
  <c r="N15" i="12"/>
  <c r="L15" i="12"/>
  <c r="K15" i="12"/>
  <c r="N14" i="12"/>
  <c r="L14" i="12"/>
  <c r="N13" i="12"/>
  <c r="L13" i="12"/>
  <c r="K13" i="12"/>
  <c r="J13" i="12"/>
  <c r="L12" i="12"/>
  <c r="N11" i="12"/>
  <c r="L11" i="12"/>
  <c r="K11" i="12"/>
  <c r="J11" i="12"/>
  <c r="N10" i="12"/>
  <c r="L10" i="12"/>
  <c r="K10" i="12"/>
  <c r="J10" i="12"/>
  <c r="N9" i="12"/>
  <c r="L9" i="12"/>
  <c r="J9" i="12"/>
  <c r="L8" i="12"/>
  <c r="L7" i="12"/>
  <c r="U15" i="12"/>
  <c r="S15" i="12"/>
  <c r="R15" i="12"/>
  <c r="U14" i="12"/>
  <c r="S14" i="12"/>
  <c r="U13" i="12"/>
  <c r="S13" i="12"/>
  <c r="R13" i="12"/>
  <c r="Q13" i="12"/>
  <c r="S12" i="12"/>
  <c r="U11" i="12"/>
  <c r="S11" i="12"/>
  <c r="R11" i="12"/>
  <c r="Q11" i="12"/>
  <c r="U10" i="12"/>
  <c r="S10" i="12"/>
  <c r="R10" i="12"/>
  <c r="Q10" i="12"/>
  <c r="U9" i="12"/>
  <c r="S9" i="12"/>
  <c r="Q9" i="12"/>
  <c r="S8" i="12"/>
  <c r="S7" i="12"/>
  <c r="AB15" i="12"/>
  <c r="Z15" i="12"/>
  <c r="Y15" i="12"/>
  <c r="AB14" i="12"/>
  <c r="Z14" i="12"/>
  <c r="AB13" i="12"/>
  <c r="Z13" i="12"/>
  <c r="Y13" i="12"/>
  <c r="X13" i="12"/>
  <c r="Z12" i="12"/>
  <c r="AB11" i="12"/>
  <c r="Z11" i="12"/>
  <c r="Y11" i="12"/>
  <c r="X11" i="12"/>
  <c r="AB10" i="12"/>
  <c r="Z10" i="12"/>
  <c r="Y10" i="12"/>
  <c r="X10" i="12"/>
  <c r="AB9" i="12"/>
  <c r="Z9" i="12"/>
  <c r="X9" i="12"/>
  <c r="Z8" i="12"/>
  <c r="Z7" i="12"/>
  <c r="AI15" i="12"/>
  <c r="AG15" i="12"/>
  <c r="AF15" i="12"/>
  <c r="AI14" i="12"/>
  <c r="AG14" i="12"/>
  <c r="AI13" i="12"/>
  <c r="AG13" i="12"/>
  <c r="AF13" i="12"/>
  <c r="AE13" i="12"/>
  <c r="AG12" i="12"/>
  <c r="AI11" i="12"/>
  <c r="AG11" i="12"/>
  <c r="AF11" i="12"/>
  <c r="AE11" i="12"/>
  <c r="AI10" i="12"/>
  <c r="AG10" i="12"/>
  <c r="AF10" i="12"/>
  <c r="AE10" i="12"/>
  <c r="AI9" i="12"/>
  <c r="AG9" i="12"/>
  <c r="AE9" i="12"/>
  <c r="AG8" i="12"/>
  <c r="AG7" i="12"/>
  <c r="AI15" i="11"/>
  <c r="AG15" i="11"/>
  <c r="AF15" i="11"/>
  <c r="AI14" i="11"/>
  <c r="AG14" i="11"/>
  <c r="AI13" i="11"/>
  <c r="AG13" i="11"/>
  <c r="AF13" i="11"/>
  <c r="AE13" i="11"/>
  <c r="AG12" i="11"/>
  <c r="AI11" i="11"/>
  <c r="AG11" i="11"/>
  <c r="AF11" i="11"/>
  <c r="AE11" i="11"/>
  <c r="AI10" i="11"/>
  <c r="AG10" i="11"/>
  <c r="AF10" i="11"/>
  <c r="AE10" i="11"/>
  <c r="AI9" i="11"/>
  <c r="AG9" i="11"/>
  <c r="AE9" i="11"/>
  <c r="AG8" i="11"/>
  <c r="AG7" i="11"/>
  <c r="AB15" i="11"/>
  <c r="Z15" i="11"/>
  <c r="Y15" i="11"/>
  <c r="AB14" i="11"/>
  <c r="Z14" i="11"/>
  <c r="AB13" i="11"/>
  <c r="Z13" i="11"/>
  <c r="Y13" i="11"/>
  <c r="X13" i="11"/>
  <c r="Z12" i="11"/>
  <c r="AB11" i="11"/>
  <c r="Z11" i="11"/>
  <c r="Y11" i="11"/>
  <c r="X11" i="11"/>
  <c r="AB10" i="11"/>
  <c r="Z10" i="11"/>
  <c r="Y10" i="11"/>
  <c r="X10" i="11"/>
  <c r="AB9" i="11"/>
  <c r="Z9" i="11"/>
  <c r="X9" i="11"/>
  <c r="Z8" i="11"/>
  <c r="Z7" i="11"/>
  <c r="U15" i="11"/>
  <c r="S15" i="11"/>
  <c r="R15" i="11"/>
  <c r="U14" i="11"/>
  <c r="S14" i="11"/>
  <c r="U13" i="11"/>
  <c r="S13" i="11"/>
  <c r="R13" i="11"/>
  <c r="Q13" i="11"/>
  <c r="S12" i="11"/>
  <c r="U11" i="11"/>
  <c r="S11" i="11"/>
  <c r="R11" i="11"/>
  <c r="Q11" i="11"/>
  <c r="U10" i="11"/>
  <c r="S10" i="11"/>
  <c r="R10" i="11"/>
  <c r="Q10" i="11"/>
  <c r="U9" i="11"/>
  <c r="S9" i="11"/>
  <c r="Q9" i="11"/>
  <c r="S8" i="11"/>
  <c r="S7" i="11"/>
  <c r="N15" i="11"/>
  <c r="L15" i="11"/>
  <c r="K15" i="11"/>
  <c r="N14" i="11"/>
  <c r="L14" i="11"/>
  <c r="N13" i="11"/>
  <c r="L13" i="11"/>
  <c r="K13" i="11"/>
  <c r="J13" i="11"/>
  <c r="L12" i="11"/>
  <c r="N11" i="11"/>
  <c r="L11" i="11"/>
  <c r="K11" i="11"/>
  <c r="J11" i="11"/>
  <c r="N10" i="11"/>
  <c r="L10" i="11"/>
  <c r="K10" i="11"/>
  <c r="J10" i="11"/>
  <c r="N9" i="11"/>
  <c r="L9" i="11"/>
  <c r="J9" i="11"/>
  <c r="L8" i="11"/>
  <c r="L7" i="11"/>
  <c r="G15" i="11"/>
  <c r="E15" i="11"/>
  <c r="D15" i="11"/>
  <c r="G14" i="11"/>
  <c r="E14" i="11"/>
  <c r="D14" i="11"/>
  <c r="G13" i="11"/>
  <c r="E13" i="11"/>
  <c r="D13" i="11"/>
  <c r="C13" i="11"/>
  <c r="E12" i="11"/>
  <c r="G11" i="11"/>
  <c r="E11" i="11"/>
  <c r="D11" i="11"/>
  <c r="C11" i="11"/>
  <c r="G10" i="11"/>
  <c r="E10" i="11"/>
  <c r="D10" i="11"/>
  <c r="C10" i="11"/>
  <c r="G9" i="11"/>
  <c r="E9" i="11"/>
  <c r="D9" i="11"/>
  <c r="C9" i="11"/>
  <c r="E8" i="11"/>
  <c r="E7" i="11"/>
  <c r="AI15" i="7"/>
  <c r="AI14" i="7"/>
  <c r="AI13" i="7"/>
  <c r="AI11" i="7"/>
  <c r="AI10" i="7"/>
  <c r="AI9" i="7"/>
  <c r="AG7" i="7"/>
  <c r="AG8" i="7"/>
  <c r="AG9" i="7"/>
  <c r="AF10" i="7"/>
  <c r="AG10" i="7"/>
  <c r="AF11" i="7"/>
  <c r="AG11" i="7"/>
  <c r="AG12" i="7"/>
  <c r="AF13" i="7"/>
  <c r="AG13" i="7"/>
  <c r="AG14" i="7"/>
  <c r="AF15" i="7"/>
  <c r="AG15" i="7"/>
  <c r="AE13" i="7"/>
  <c r="AE11" i="7"/>
  <c r="AE10" i="7"/>
  <c r="AE9" i="7"/>
  <c r="AB15" i="7"/>
  <c r="AB14" i="7"/>
  <c r="AB13" i="7"/>
  <c r="AB11" i="7"/>
  <c r="AB10" i="7"/>
  <c r="AB9" i="7"/>
  <c r="Z7" i="7"/>
  <c r="Z8" i="7"/>
  <c r="Z9" i="7"/>
  <c r="Y10" i="7"/>
  <c r="Z10" i="7"/>
  <c r="Y11" i="7"/>
  <c r="Z11" i="7"/>
  <c r="Z12" i="7"/>
  <c r="Y13" i="7"/>
  <c r="Z13" i="7"/>
  <c r="Z14" i="7"/>
  <c r="Y15" i="7"/>
  <c r="Z15" i="7"/>
  <c r="X13" i="7"/>
  <c r="X11" i="7"/>
  <c r="X10" i="7"/>
  <c r="X9" i="7"/>
  <c r="U15" i="7"/>
  <c r="U14" i="7"/>
  <c r="U13" i="7"/>
  <c r="U11" i="7"/>
  <c r="U10" i="7"/>
  <c r="U9" i="7"/>
  <c r="S7" i="7"/>
  <c r="S8" i="7"/>
  <c r="S9" i="7"/>
  <c r="R10" i="7"/>
  <c r="S10" i="7"/>
  <c r="R11" i="7"/>
  <c r="S11" i="7"/>
  <c r="S12" i="7"/>
  <c r="R13" i="7"/>
  <c r="S13" i="7"/>
  <c r="S14" i="7"/>
  <c r="R15" i="7"/>
  <c r="S15" i="7"/>
  <c r="Q13" i="7"/>
  <c r="Q11" i="7"/>
  <c r="Q10" i="7"/>
  <c r="Q9" i="7"/>
  <c r="N15" i="7"/>
  <c r="N14" i="7"/>
  <c r="N13" i="7"/>
  <c r="N11" i="7"/>
  <c r="N10" i="7"/>
  <c r="N9" i="7"/>
  <c r="L7" i="7"/>
  <c r="L8" i="7"/>
  <c r="L9" i="7"/>
  <c r="K10" i="7"/>
  <c r="L10" i="7"/>
  <c r="K11" i="7"/>
  <c r="L11" i="7"/>
  <c r="L12" i="7"/>
  <c r="K13" i="7"/>
  <c r="L13" i="7"/>
  <c r="L14" i="7"/>
  <c r="K15" i="7"/>
  <c r="L15" i="7"/>
  <c r="J13" i="7"/>
  <c r="J11" i="7"/>
  <c r="J10" i="7"/>
  <c r="J9" i="7"/>
  <c r="G15" i="7"/>
  <c r="G14" i="7"/>
  <c r="G13" i="7"/>
  <c r="G11" i="7"/>
  <c r="G10" i="7"/>
  <c r="G9" i="7"/>
  <c r="E7" i="7"/>
  <c r="E8" i="7"/>
  <c r="D9" i="7"/>
  <c r="E9" i="7"/>
  <c r="D10" i="7"/>
  <c r="E10" i="7"/>
  <c r="D11" i="7"/>
  <c r="E11" i="7"/>
  <c r="E12" i="7"/>
  <c r="D13" i="7"/>
  <c r="E13" i="7"/>
  <c r="D14" i="7"/>
  <c r="E14" i="7"/>
  <c r="D15" i="7"/>
  <c r="E15" i="7"/>
  <c r="C13" i="7"/>
  <c r="C11" i="7"/>
  <c r="C10" i="7"/>
  <c r="C9" i="7"/>
  <c r="B81" i="8"/>
  <c r="B80" i="8"/>
  <c r="B79" i="8"/>
  <c r="B78" i="8"/>
  <c r="B77" i="8"/>
  <c r="B76" i="8"/>
  <c r="B75" i="8"/>
  <c r="B74" i="8"/>
  <c r="B73" i="8"/>
  <c r="B72" i="8"/>
  <c r="B60" i="8"/>
  <c r="B59" i="8"/>
  <c r="B58" i="8"/>
  <c r="B57" i="8"/>
  <c r="B56" i="8"/>
  <c r="B55" i="8"/>
  <c r="B54" i="8"/>
  <c r="B53" i="8"/>
  <c r="B52" i="8"/>
  <c r="B51" i="8"/>
  <c r="B31" i="8"/>
  <c r="M30" i="8"/>
  <c r="B30" i="8"/>
  <c r="M29" i="8"/>
  <c r="B29" i="8"/>
  <c r="M28" i="8"/>
  <c r="B28" i="8"/>
  <c r="M27" i="8"/>
  <c r="B27" i="8"/>
  <c r="M26" i="8"/>
  <c r="B26" i="8"/>
  <c r="M25" i="8"/>
  <c r="B25" i="8"/>
  <c r="M24" i="8"/>
  <c r="B24" i="8"/>
  <c r="M23" i="8"/>
  <c r="B23" i="8"/>
  <c r="M22" i="8"/>
  <c r="B22" i="8"/>
  <c r="M21" i="8"/>
  <c r="E34" i="4"/>
  <c r="O34" i="4"/>
  <c r="Y32" i="4"/>
  <c r="O32" i="4"/>
  <c r="Y30" i="4"/>
  <c r="Y29" i="4"/>
  <c r="AG16" i="11" l="1"/>
  <c r="AG16" i="7"/>
  <c r="M11" i="12"/>
  <c r="AA10" i="12"/>
  <c r="F10" i="12"/>
  <c r="AA11" i="7"/>
  <c r="T10" i="12"/>
  <c r="AH10" i="11"/>
  <c r="T10" i="11"/>
  <c r="M10" i="12"/>
  <c r="AH11" i="7"/>
  <c r="AH10" i="12"/>
  <c r="T11" i="12"/>
  <c r="M10" i="11"/>
  <c r="AH11" i="11"/>
  <c r="F10" i="11"/>
  <c r="M11" i="11"/>
  <c r="AA10" i="11"/>
  <c r="M13" i="12"/>
  <c r="D40" i="12" s="1"/>
  <c r="AH13" i="12"/>
  <c r="G32" i="12" s="1"/>
  <c r="M10" i="7"/>
  <c r="M11" i="7"/>
  <c r="AA13" i="12"/>
  <c r="F40" i="12" s="1"/>
  <c r="AH11" i="12"/>
  <c r="T11" i="7"/>
  <c r="T13" i="12"/>
  <c r="E32" i="12" s="1"/>
  <c r="F9" i="12"/>
  <c r="AA11" i="12"/>
  <c r="F38" i="12" s="1"/>
  <c r="AA13" i="7"/>
  <c r="F11" i="12"/>
  <c r="F13" i="12"/>
  <c r="C32" i="12" s="1"/>
  <c r="T10" i="7"/>
  <c r="T13" i="7"/>
  <c r="T11" i="11"/>
  <c r="T13" i="11"/>
  <c r="E32" i="11" s="1"/>
  <c r="F9" i="11"/>
  <c r="F11" i="11"/>
  <c r="F13" i="11"/>
  <c r="C32" i="11" s="1"/>
  <c r="M13" i="11"/>
  <c r="D40" i="11" s="1"/>
  <c r="AA11" i="11"/>
  <c r="AA13" i="11"/>
  <c r="F40" i="11" s="1"/>
  <c r="AH13" i="11"/>
  <c r="G32" i="11" s="1"/>
  <c r="AH13" i="7"/>
  <c r="M13" i="7"/>
  <c r="AH10" i="7"/>
  <c r="AA10" i="7"/>
  <c r="G40" i="12" l="1"/>
  <c r="D38" i="12"/>
  <c r="C38" i="12"/>
  <c r="G38" i="11"/>
  <c r="C30" i="11"/>
  <c r="E38" i="12"/>
  <c r="E30" i="12"/>
  <c r="F38" i="11"/>
  <c r="E38" i="11"/>
  <c r="F30" i="12"/>
  <c r="G38" i="12"/>
  <c r="F30" i="11"/>
  <c r="E30" i="11"/>
  <c r="D38" i="7"/>
  <c r="D30" i="12"/>
  <c r="D38" i="11"/>
  <c r="G30" i="11"/>
  <c r="D30" i="11"/>
  <c r="C30" i="12"/>
  <c r="G30" i="12"/>
  <c r="D30" i="7"/>
  <c r="F32" i="12"/>
  <c r="E40" i="11"/>
  <c r="D32" i="12"/>
  <c r="C40" i="11"/>
  <c r="F32" i="11"/>
  <c r="E40" i="12"/>
  <c r="C38" i="11"/>
  <c r="C40" i="12"/>
  <c r="F38" i="7"/>
  <c r="F30" i="7"/>
  <c r="F40" i="7"/>
  <c r="F32" i="7"/>
  <c r="G40" i="11"/>
  <c r="E38" i="7"/>
  <c r="E30" i="7"/>
  <c r="G38" i="7"/>
  <c r="G30" i="7"/>
  <c r="G32" i="7"/>
  <c r="G40" i="7"/>
  <c r="D32" i="11"/>
  <c r="D32" i="7"/>
  <c r="D40" i="7"/>
  <c r="E40" i="7"/>
  <c r="E32" i="7"/>
  <c r="M26" i="4" l="1"/>
  <c r="Y25" i="4"/>
  <c r="AY38" i="4"/>
  <c r="AO38" i="4"/>
  <c r="AE38" i="4"/>
  <c r="U38" i="4"/>
  <c r="K38" i="4"/>
  <c r="E30" i="3"/>
  <c r="F29" i="3"/>
  <c r="AT39" i="4" s="1"/>
  <c r="E29" i="3"/>
  <c r="AG39" i="4" s="1"/>
  <c r="AT14" i="4"/>
  <c r="E27" i="3"/>
  <c r="AG14" i="4" s="1"/>
  <c r="AP12" i="4"/>
  <c r="F26" i="3"/>
  <c r="AP13" i="4" s="1"/>
  <c r="E25" i="3"/>
  <c r="AF12" i="4" s="1"/>
  <c r="F23" i="3"/>
  <c r="E23" i="3"/>
  <c r="AT8" i="4"/>
  <c r="AF8" i="4"/>
  <c r="AT38" i="4"/>
  <c r="AQ38" i="4"/>
  <c r="AP38" i="4"/>
  <c r="AJ38" i="4"/>
  <c r="AG38" i="4"/>
  <c r="AF38" i="4"/>
  <c r="Z38" i="4"/>
  <c r="W38" i="4"/>
  <c r="V38" i="4"/>
  <c r="M38" i="4"/>
  <c r="L38" i="4"/>
  <c r="F38" i="4"/>
  <c r="C38" i="4"/>
  <c r="B38" i="4"/>
  <c r="K62" i="4"/>
  <c r="U62" i="4" s="1"/>
  <c r="AE62" i="4" s="1"/>
  <c r="AO62" i="4" s="1"/>
  <c r="AY62" i="4" s="1"/>
  <c r="AP45" i="4"/>
  <c r="AF45" i="4"/>
  <c r="AI45" i="4" s="1"/>
  <c r="V45" i="4"/>
  <c r="L45" i="4"/>
  <c r="B45" i="4"/>
  <c r="B44" i="4" s="1"/>
  <c r="L46" i="4"/>
  <c r="M46" i="4"/>
  <c r="AS56" i="4"/>
  <c r="AH56" i="4"/>
  <c r="AI56" i="4" s="1"/>
  <c r="X56" i="4"/>
  <c r="Y56" i="4" s="1"/>
  <c r="N56" i="4"/>
  <c r="O56" i="4" s="1"/>
  <c r="D52" i="4"/>
  <c r="D53" i="4"/>
  <c r="D54" i="4"/>
  <c r="D55" i="4"/>
  <c r="D56" i="4"/>
  <c r="E56" i="4" s="1"/>
  <c r="AI38" i="4" l="1"/>
  <c r="AP10" i="4"/>
  <c r="AJ10" i="4"/>
  <c r="AO39" i="4"/>
  <c r="AY39" i="4"/>
  <c r="AI12" i="12"/>
  <c r="AI12" i="11"/>
  <c r="AI12" i="7"/>
  <c r="W26" i="4"/>
  <c r="K9" i="11"/>
  <c r="M9" i="11" s="1"/>
  <c r="K9" i="12"/>
  <c r="M9" i="12" s="1"/>
  <c r="K9" i="7"/>
  <c r="M9" i="7" s="1"/>
  <c r="AE14" i="7"/>
  <c r="AE14" i="12"/>
  <c r="AE14" i="11"/>
  <c r="W46" i="4"/>
  <c r="K14" i="7"/>
  <c r="K14" i="12"/>
  <c r="K14" i="11"/>
  <c r="Y12" i="12"/>
  <c r="Y12" i="11"/>
  <c r="Y12" i="7"/>
  <c r="Q14" i="12"/>
  <c r="Q14" i="7"/>
  <c r="Q14" i="11"/>
  <c r="C14" i="12"/>
  <c r="F14" i="12" s="1"/>
  <c r="C14" i="11"/>
  <c r="F14" i="11" s="1"/>
  <c r="C14" i="7"/>
  <c r="X14" i="12"/>
  <c r="X14" i="7"/>
  <c r="X14" i="11"/>
  <c r="E38" i="4"/>
  <c r="J14" i="7"/>
  <c r="J14" i="12"/>
  <c r="J14" i="11"/>
  <c r="AP39" i="4"/>
  <c r="AE12" i="7" s="1"/>
  <c r="AQ39" i="4"/>
  <c r="AF12" i="12" s="1"/>
  <c r="AF39" i="4"/>
  <c r="AI39" i="4" s="1"/>
  <c r="AJ39" i="4"/>
  <c r="AB12" i="12" s="1"/>
  <c r="AQ14" i="4"/>
  <c r="AP14" i="4"/>
  <c r="AF14" i="4"/>
  <c r="AI14" i="4" s="1"/>
  <c r="AJ14" i="4"/>
  <c r="AT12" i="4"/>
  <c r="AQ12" i="4"/>
  <c r="AQ13" i="4"/>
  <c r="AT13" i="4"/>
  <c r="AJ12" i="4"/>
  <c r="AG12" i="4"/>
  <c r="AI12" i="4" s="1"/>
  <c r="AT10" i="4"/>
  <c r="AQ10" i="4"/>
  <c r="AG10" i="4"/>
  <c r="AF10" i="4"/>
  <c r="AI10" i="4" s="1"/>
  <c r="AP8" i="4"/>
  <c r="AQ8" i="4"/>
  <c r="AJ8" i="4"/>
  <c r="AG8" i="4"/>
  <c r="AI8" i="4" s="1"/>
  <c r="AF12" i="7" l="1"/>
  <c r="AH12" i="7" s="1"/>
  <c r="G31" i="7" s="1"/>
  <c r="AF12" i="11"/>
  <c r="M14" i="7"/>
  <c r="AB12" i="7"/>
  <c r="AB12" i="11"/>
  <c r="AG46" i="4"/>
  <c r="R14" i="7"/>
  <c r="T14" i="7" s="1"/>
  <c r="R14" i="12"/>
  <c r="T14" i="12" s="1"/>
  <c r="R14" i="11"/>
  <c r="T14" i="11" s="1"/>
  <c r="AG26" i="4"/>
  <c r="AI26" i="4" s="1"/>
  <c r="R9" i="11"/>
  <c r="T9" i="11" s="1"/>
  <c r="R9" i="12"/>
  <c r="T9" i="12" s="1"/>
  <c r="R9" i="7"/>
  <c r="T9" i="7" s="1"/>
  <c r="X12" i="11"/>
  <c r="AA12" i="11" s="1"/>
  <c r="M14" i="11"/>
  <c r="AE12" i="11"/>
  <c r="X12" i="12"/>
  <c r="AA12" i="12" s="1"/>
  <c r="M14" i="12"/>
  <c r="AE12" i="12"/>
  <c r="AH12" i="12" s="1"/>
  <c r="X12" i="7"/>
  <c r="AA12" i="7" s="1"/>
  <c r="AS39" i="4"/>
  <c r="AQ46" i="4" l="1"/>
  <c r="AI46" i="4"/>
  <c r="AH12" i="11"/>
  <c r="G39" i="11" s="1"/>
  <c r="G39" i="7"/>
  <c r="F39" i="7"/>
  <c r="F31" i="7"/>
  <c r="F31" i="11"/>
  <c r="F39" i="11"/>
  <c r="AQ26" i="4"/>
  <c r="Y9" i="11"/>
  <c r="AA9" i="11" s="1"/>
  <c r="Y9" i="12"/>
  <c r="AA9" i="12" s="1"/>
  <c r="Y9" i="7"/>
  <c r="AA9" i="7" s="1"/>
  <c r="Y14" i="12"/>
  <c r="AA14" i="12" s="1"/>
  <c r="Y14" i="7"/>
  <c r="AA14" i="7" s="1"/>
  <c r="Y14" i="11"/>
  <c r="AA14" i="11" s="1"/>
  <c r="G39" i="12"/>
  <c r="G31" i="12"/>
  <c r="F39" i="12"/>
  <c r="F31" i="12"/>
  <c r="G31" i="11" l="1"/>
  <c r="AF14" i="7"/>
  <c r="AH14" i="7" s="1"/>
  <c r="AF14" i="12"/>
  <c r="AH14" i="12" s="1"/>
  <c r="AF14" i="11"/>
  <c r="AH14" i="11" s="1"/>
  <c r="AF9" i="11"/>
  <c r="AH9" i="11" s="1"/>
  <c r="AF9" i="12"/>
  <c r="AH9" i="12" s="1"/>
  <c r="AF9" i="7"/>
  <c r="AH9" i="7" s="1"/>
  <c r="AH52" i="4" l="1"/>
  <c r="AI52" i="4" s="1"/>
  <c r="AH53" i="4"/>
  <c r="AI53" i="4" s="1"/>
  <c r="AH54" i="4"/>
  <c r="AI54" i="4" s="1"/>
  <c r="AH55" i="4"/>
  <c r="AI55" i="4" s="1"/>
  <c r="AH51" i="4"/>
  <c r="X52" i="4"/>
  <c r="X53" i="4"/>
  <c r="X54" i="4"/>
  <c r="X55" i="4"/>
  <c r="X51" i="4"/>
  <c r="N52" i="4"/>
  <c r="N53" i="4"/>
  <c r="N54" i="4"/>
  <c r="N55" i="4"/>
  <c r="N51" i="4"/>
  <c r="D51" i="4"/>
  <c r="E16" i="12" l="1"/>
  <c r="E16" i="7"/>
  <c r="D50" i="4"/>
  <c r="E16" i="11"/>
  <c r="L16" i="11"/>
  <c r="L16" i="12"/>
  <c r="L16" i="7"/>
  <c r="Z16" i="11"/>
  <c r="AI51" i="4"/>
  <c r="AH50" i="4"/>
  <c r="Z16" i="12"/>
  <c r="Z16" i="7"/>
  <c r="S16" i="12"/>
  <c r="S16" i="7"/>
  <c r="S16" i="11"/>
  <c r="E17" i="7"/>
  <c r="C23" i="7" s="1"/>
  <c r="AH58" i="4" l="1"/>
  <c r="F16" i="11"/>
  <c r="E17" i="11"/>
  <c r="C23" i="11" s="1"/>
  <c r="M16" i="11"/>
  <c r="L17" i="11"/>
  <c r="D23" i="11" s="1"/>
  <c r="AH16" i="11"/>
  <c r="AG17" i="11"/>
  <c r="G23" i="11" s="1"/>
  <c r="E17" i="12"/>
  <c r="C23" i="12" s="1"/>
  <c r="F16" i="12"/>
  <c r="T16" i="7"/>
  <c r="S17" i="7"/>
  <c r="E23" i="7" s="1"/>
  <c r="L17" i="12"/>
  <c r="D23" i="12" s="1"/>
  <c r="M16" i="12"/>
  <c r="T16" i="11"/>
  <c r="S17" i="11"/>
  <c r="E23" i="11" s="1"/>
  <c r="AA16" i="7"/>
  <c r="Z17" i="7"/>
  <c r="F23" i="7" s="1"/>
  <c r="AH16" i="12"/>
  <c r="AG17" i="12"/>
  <c r="G23" i="12" s="1"/>
  <c r="T16" i="12"/>
  <c r="S17" i="12"/>
  <c r="E23" i="12" s="1"/>
  <c r="AA16" i="11"/>
  <c r="Z17" i="11"/>
  <c r="F23" i="11" s="1"/>
  <c r="L17" i="7"/>
  <c r="D23" i="7" s="1"/>
  <c r="M16" i="7"/>
  <c r="AG17" i="7"/>
  <c r="G23" i="7" s="1"/>
  <c r="AH16" i="7"/>
  <c r="AA16" i="12"/>
  <c r="Z17" i="12"/>
  <c r="F23" i="12" s="1"/>
  <c r="AY22" i="4" l="1"/>
  <c r="AY18" i="4"/>
  <c r="AY19" i="4"/>
  <c r="AY20" i="4"/>
  <c r="AY21" i="4"/>
  <c r="AY17" i="4"/>
  <c r="AO22" i="4"/>
  <c r="AO18" i="4"/>
  <c r="AO19" i="4"/>
  <c r="AO20" i="4"/>
  <c r="AO21" i="4"/>
  <c r="AO17" i="4"/>
  <c r="AE22" i="4"/>
  <c r="AE18" i="4"/>
  <c r="AE19" i="4"/>
  <c r="AE20" i="4"/>
  <c r="AE21" i="4"/>
  <c r="AE17" i="4"/>
  <c r="U18" i="4"/>
  <c r="U19" i="4"/>
  <c r="U20" i="4"/>
  <c r="U21" i="4"/>
  <c r="U22" i="4"/>
  <c r="U17" i="4"/>
  <c r="K18" i="4"/>
  <c r="K19" i="4"/>
  <c r="K20" i="4"/>
  <c r="K21" i="4"/>
  <c r="K17" i="4"/>
  <c r="P22" i="4" l="1"/>
  <c r="P21" i="4"/>
  <c r="P20" i="4"/>
  <c r="P19" i="4"/>
  <c r="P18" i="4"/>
  <c r="P17" i="4"/>
  <c r="P16" i="4" s="1"/>
  <c r="Z22" i="4"/>
  <c r="Z21" i="4"/>
  <c r="Z20" i="4"/>
  <c r="Z19" i="4"/>
  <c r="Z18" i="4"/>
  <c r="Z17" i="4"/>
  <c r="AJ22" i="4"/>
  <c r="AJ21" i="4"/>
  <c r="AJ20" i="4"/>
  <c r="AJ19" i="4"/>
  <c r="AJ18" i="4"/>
  <c r="AJ17" i="4"/>
  <c r="AT22" i="4"/>
  <c r="AT21" i="4"/>
  <c r="AT20" i="4"/>
  <c r="AT19" i="4"/>
  <c r="AT18" i="4"/>
  <c r="AT17" i="4"/>
  <c r="AT16" i="4" s="1"/>
  <c r="AQ22" i="4"/>
  <c r="AQ21" i="4"/>
  <c r="AQ20" i="4"/>
  <c r="AQ19" i="4"/>
  <c r="AQ18" i="4"/>
  <c r="AQ17" i="4"/>
  <c r="AQ16" i="4" s="1"/>
  <c r="AG22" i="4"/>
  <c r="AG21" i="4"/>
  <c r="AG20" i="4"/>
  <c r="AG19" i="4"/>
  <c r="AG18" i="4"/>
  <c r="AG17" i="4"/>
  <c r="W22" i="4"/>
  <c r="W21" i="4"/>
  <c r="W20" i="4"/>
  <c r="W19" i="4"/>
  <c r="W18" i="4"/>
  <c r="W17" i="4"/>
  <c r="M22" i="4"/>
  <c r="M21" i="4"/>
  <c r="M20" i="4"/>
  <c r="M19" i="4"/>
  <c r="M18" i="4"/>
  <c r="M17" i="4"/>
  <c r="M16" i="4" s="1"/>
  <c r="AP22" i="4"/>
  <c r="AS22" i="4" s="1"/>
  <c r="AP21" i="4"/>
  <c r="AP20" i="4"/>
  <c r="AS20" i="4" s="1"/>
  <c r="AP19" i="4"/>
  <c r="AP18" i="4"/>
  <c r="AS18" i="4" s="1"/>
  <c r="AP17" i="4"/>
  <c r="AP16" i="4" s="1"/>
  <c r="AF22" i="4"/>
  <c r="AI22" i="4" s="1"/>
  <c r="AF21" i="4"/>
  <c r="AI21" i="4" s="1"/>
  <c r="AF20" i="4"/>
  <c r="AI20" i="4" s="1"/>
  <c r="AF19" i="4"/>
  <c r="AI19" i="4" s="1"/>
  <c r="AF18" i="4"/>
  <c r="AI18" i="4" s="1"/>
  <c r="AF17" i="4"/>
  <c r="AI17" i="4" s="1"/>
  <c r="V22" i="4"/>
  <c r="Y22" i="4" s="1"/>
  <c r="V21" i="4"/>
  <c r="Y21" i="4" s="1"/>
  <c r="V20" i="4"/>
  <c r="V19" i="4"/>
  <c r="V18" i="4"/>
  <c r="V17" i="4"/>
  <c r="L22" i="4"/>
  <c r="O22" i="4" s="1"/>
  <c r="L21" i="4"/>
  <c r="L20" i="4"/>
  <c r="L19" i="4"/>
  <c r="L18" i="4"/>
  <c r="O18" i="4" s="1"/>
  <c r="L17" i="4"/>
  <c r="B49" i="4"/>
  <c r="B47" i="4" s="1"/>
  <c r="E57" i="4"/>
  <c r="E55" i="4"/>
  <c r="E54" i="4"/>
  <c r="E53" i="4"/>
  <c r="E52" i="4"/>
  <c r="E51" i="4"/>
  <c r="E48" i="4"/>
  <c r="E46" i="4"/>
  <c r="E45" i="4"/>
  <c r="E44" i="4" s="1"/>
  <c r="O57" i="4"/>
  <c r="O55" i="4"/>
  <c r="O54" i="4"/>
  <c r="O53" i="4"/>
  <c r="O52" i="4"/>
  <c r="O51" i="4"/>
  <c r="O48" i="4"/>
  <c r="O46" i="4"/>
  <c r="Y46" i="4" s="1"/>
  <c r="O45" i="4"/>
  <c r="Y57" i="4"/>
  <c r="Y55" i="4"/>
  <c r="Y54" i="4"/>
  <c r="Y53" i="4"/>
  <c r="Y52" i="4"/>
  <c r="Y51" i="4"/>
  <c r="Y48" i="4"/>
  <c r="Y45" i="4"/>
  <c r="AS52" i="4"/>
  <c r="AS53" i="4"/>
  <c r="AS54" i="4"/>
  <c r="AS55" i="4"/>
  <c r="AS57" i="4"/>
  <c r="AS51" i="4"/>
  <c r="AS48" i="4"/>
  <c r="AS46" i="4"/>
  <c r="AS45" i="4"/>
  <c r="AS43" i="4"/>
  <c r="AS42" i="4"/>
  <c r="AS40" i="4"/>
  <c r="AS38" i="4"/>
  <c r="Y43" i="4"/>
  <c r="Y42" i="4"/>
  <c r="Y40" i="4"/>
  <c r="Y38" i="4"/>
  <c r="O43" i="4"/>
  <c r="O42" i="4"/>
  <c r="O38" i="4"/>
  <c r="E43" i="4"/>
  <c r="E42" i="4"/>
  <c r="E40" i="4"/>
  <c r="E35" i="4"/>
  <c r="E36" i="4"/>
  <c r="E33" i="4"/>
  <c r="E32" i="4"/>
  <c r="O36" i="4"/>
  <c r="O35" i="4"/>
  <c r="O33" i="4"/>
  <c r="Y36" i="4"/>
  <c r="Y35" i="4"/>
  <c r="Y33" i="4"/>
  <c r="AS35" i="4"/>
  <c r="AS28" i="4"/>
  <c r="Y28" i="4"/>
  <c r="O30" i="4"/>
  <c r="O29" i="4"/>
  <c r="O28" i="4"/>
  <c r="E29" i="4"/>
  <c r="E30" i="4"/>
  <c r="E28" i="4"/>
  <c r="E27" i="4" s="1"/>
  <c r="AS26" i="4"/>
  <c r="AS24" i="4"/>
  <c r="Y26" i="4"/>
  <c r="Y24" i="4"/>
  <c r="O26" i="4"/>
  <c r="O25" i="4"/>
  <c r="O24" i="4"/>
  <c r="E26" i="4"/>
  <c r="E25" i="4"/>
  <c r="E24" i="4"/>
  <c r="AT50" i="4"/>
  <c r="AR50" i="4"/>
  <c r="AQ50" i="4"/>
  <c r="AP50" i="4"/>
  <c r="AT47" i="4"/>
  <c r="AR47" i="4"/>
  <c r="AQ47" i="4"/>
  <c r="AT44" i="4"/>
  <c r="AR44" i="4"/>
  <c r="AQ44" i="4"/>
  <c r="AP44" i="4"/>
  <c r="AT41" i="4"/>
  <c r="AR41" i="4"/>
  <c r="AQ41" i="4"/>
  <c r="AP41" i="4"/>
  <c r="AT37" i="4"/>
  <c r="AR37" i="4"/>
  <c r="AQ37" i="4"/>
  <c r="AP37" i="4"/>
  <c r="AT31" i="4"/>
  <c r="AR31" i="4"/>
  <c r="AQ31" i="4"/>
  <c r="AP31" i="4"/>
  <c r="AT27" i="4"/>
  <c r="AR27" i="4"/>
  <c r="AQ27" i="4"/>
  <c r="AP27" i="4"/>
  <c r="AT23" i="4"/>
  <c r="AR23" i="4"/>
  <c r="AQ23" i="4"/>
  <c r="AP23" i="4"/>
  <c r="AJ23" i="4"/>
  <c r="AG23" i="4"/>
  <c r="AF23" i="4"/>
  <c r="AJ27" i="4"/>
  <c r="AG27" i="4"/>
  <c r="AF27" i="4"/>
  <c r="AJ31" i="4"/>
  <c r="AG31" i="4"/>
  <c r="AF31" i="4"/>
  <c r="AJ37" i="4"/>
  <c r="AG37" i="4"/>
  <c r="AF37" i="4"/>
  <c r="AJ41" i="4"/>
  <c r="AG41" i="4"/>
  <c r="AF41" i="4"/>
  <c r="AJ44" i="4"/>
  <c r="AG44" i="4"/>
  <c r="AF44" i="4"/>
  <c r="AJ47" i="4"/>
  <c r="AG47" i="4"/>
  <c r="AJ50" i="4"/>
  <c r="AG50" i="4"/>
  <c r="AF50" i="4"/>
  <c r="Z50" i="4"/>
  <c r="X50" i="4"/>
  <c r="W50" i="4"/>
  <c r="V50" i="4"/>
  <c r="Z47" i="4"/>
  <c r="X47" i="4"/>
  <c r="W47" i="4"/>
  <c r="Z44" i="4"/>
  <c r="X44" i="4"/>
  <c r="V44" i="4"/>
  <c r="Z41" i="4"/>
  <c r="X41" i="4"/>
  <c r="W41" i="4"/>
  <c r="V41" i="4"/>
  <c r="X37" i="4"/>
  <c r="Z31" i="4"/>
  <c r="X31" i="4"/>
  <c r="W31" i="4"/>
  <c r="V31" i="4"/>
  <c r="Z27" i="4"/>
  <c r="X27" i="4"/>
  <c r="W27" i="4"/>
  <c r="V27" i="4"/>
  <c r="Z23" i="4"/>
  <c r="X23" i="4"/>
  <c r="W23" i="4"/>
  <c r="V23" i="4"/>
  <c r="P50" i="4"/>
  <c r="N50" i="4"/>
  <c r="M50" i="4"/>
  <c r="L50" i="4"/>
  <c r="P47" i="4"/>
  <c r="N47" i="4"/>
  <c r="M47" i="4"/>
  <c r="P44" i="4"/>
  <c r="N44" i="4"/>
  <c r="M44" i="4"/>
  <c r="L44" i="4"/>
  <c r="P41" i="4"/>
  <c r="N41" i="4"/>
  <c r="M41" i="4"/>
  <c r="L41" i="4"/>
  <c r="N37" i="4"/>
  <c r="P31" i="4"/>
  <c r="N31" i="4"/>
  <c r="M31" i="4"/>
  <c r="L31" i="4"/>
  <c r="P27" i="4"/>
  <c r="N27" i="4"/>
  <c r="M27" i="4"/>
  <c r="L27" i="4"/>
  <c r="P23" i="4"/>
  <c r="N23" i="4"/>
  <c r="M23" i="4"/>
  <c r="L23" i="4"/>
  <c r="L16" i="4" l="1"/>
  <c r="E23" i="4"/>
  <c r="E50" i="4"/>
  <c r="E31" i="4"/>
  <c r="Z16" i="4"/>
  <c r="V16" i="4"/>
  <c r="W16" i="4"/>
  <c r="O20" i="4"/>
  <c r="AE8" i="12"/>
  <c r="AE8" i="11"/>
  <c r="AE8" i="7"/>
  <c r="AF8" i="12"/>
  <c r="AF8" i="11"/>
  <c r="AF8" i="7"/>
  <c r="N8" i="12"/>
  <c r="N8" i="11"/>
  <c r="N8" i="7"/>
  <c r="X8" i="12"/>
  <c r="X8" i="11"/>
  <c r="X8" i="7"/>
  <c r="Y8" i="12"/>
  <c r="Y8" i="11"/>
  <c r="Y8" i="7"/>
  <c r="U8" i="12"/>
  <c r="U8" i="11"/>
  <c r="U8" i="7"/>
  <c r="C15" i="11"/>
  <c r="F15" i="11" s="1"/>
  <c r="C15" i="7"/>
  <c r="C15" i="12"/>
  <c r="F15" i="12" s="1"/>
  <c r="Q8" i="12"/>
  <c r="Q8" i="11"/>
  <c r="Q8" i="7"/>
  <c r="R8" i="12"/>
  <c r="R8" i="11"/>
  <c r="R8" i="7"/>
  <c r="AB8" i="12"/>
  <c r="AB8" i="7"/>
  <c r="AB8" i="11"/>
  <c r="J8" i="12"/>
  <c r="J8" i="11"/>
  <c r="J8" i="7"/>
  <c r="K8" i="12"/>
  <c r="K8" i="11"/>
  <c r="K8" i="7"/>
  <c r="AI8" i="12"/>
  <c r="AI8" i="7"/>
  <c r="AI8" i="11"/>
  <c r="E41" i="4"/>
  <c r="S16" i="8"/>
  <c r="AE14" i="8"/>
  <c r="G58" i="8" s="1"/>
  <c r="Z11" i="8"/>
  <c r="K10" i="8"/>
  <c r="D75" i="8" s="1"/>
  <c r="K14" i="8"/>
  <c r="D79" i="8" s="1"/>
  <c r="K16" i="8"/>
  <c r="D81" i="8" s="1"/>
  <c r="R10" i="8"/>
  <c r="E75" i="8" s="1"/>
  <c r="S14" i="8"/>
  <c r="U16" i="8"/>
  <c r="AB15" i="8"/>
  <c r="AB13" i="8"/>
  <c r="AB11" i="8"/>
  <c r="AB9" i="8"/>
  <c r="AF10" i="8"/>
  <c r="G75" i="8" s="1"/>
  <c r="AF12" i="8"/>
  <c r="G77" i="8" s="1"/>
  <c r="AF14" i="8"/>
  <c r="G79" i="8" s="1"/>
  <c r="AG16" i="8"/>
  <c r="Q14" i="8"/>
  <c r="E58" i="8" s="1"/>
  <c r="AF16" i="8"/>
  <c r="G81" i="8" s="1"/>
  <c r="L10" i="8"/>
  <c r="L12" i="8"/>
  <c r="L14" i="8"/>
  <c r="L16" i="8"/>
  <c r="S10" i="8"/>
  <c r="S12" i="8"/>
  <c r="U14" i="8"/>
  <c r="X16" i="8"/>
  <c r="F60" i="8" s="1"/>
  <c r="X14" i="8"/>
  <c r="F58" i="8" s="1"/>
  <c r="X12" i="8"/>
  <c r="F56" i="8" s="1"/>
  <c r="X10" i="8"/>
  <c r="F54" i="8" s="1"/>
  <c r="Z8" i="8"/>
  <c r="AG10" i="8"/>
  <c r="AG12" i="8"/>
  <c r="AG14" i="8"/>
  <c r="AI16" i="8"/>
  <c r="E49" i="4"/>
  <c r="E47" i="4" s="1"/>
  <c r="L49" i="4"/>
  <c r="Z15" i="8"/>
  <c r="AE12" i="8"/>
  <c r="G56" i="8" s="1"/>
  <c r="N10" i="8"/>
  <c r="N14" i="8"/>
  <c r="N16" i="8"/>
  <c r="U10" i="8"/>
  <c r="R15" i="8"/>
  <c r="E80" i="8" s="1"/>
  <c r="Y16" i="8"/>
  <c r="F81" i="8" s="1"/>
  <c r="Y14" i="8"/>
  <c r="F79" i="8" s="1"/>
  <c r="Y12" i="8"/>
  <c r="F77" i="8" s="1"/>
  <c r="Y10" i="8"/>
  <c r="F75" i="8" s="1"/>
  <c r="AG8" i="8"/>
  <c r="AI10" i="8"/>
  <c r="AI12" i="8"/>
  <c r="AI14" i="8"/>
  <c r="J16" i="8"/>
  <c r="D60" i="8" s="1"/>
  <c r="L8" i="8"/>
  <c r="J9" i="8"/>
  <c r="D53" i="8" s="1"/>
  <c r="J11" i="8"/>
  <c r="D55" i="8" s="1"/>
  <c r="J13" i="8"/>
  <c r="D57" i="8" s="1"/>
  <c r="Q9" i="8"/>
  <c r="E53" i="8" s="1"/>
  <c r="Q11" i="8"/>
  <c r="E55" i="8" s="1"/>
  <c r="Q13" i="8"/>
  <c r="E57" i="8" s="1"/>
  <c r="S15" i="8"/>
  <c r="Z16" i="8"/>
  <c r="Z14" i="8"/>
  <c r="Z12" i="8"/>
  <c r="Z10" i="8"/>
  <c r="AE9" i="8"/>
  <c r="G53" i="8" s="1"/>
  <c r="AE11" i="8"/>
  <c r="G55" i="8" s="1"/>
  <c r="AE13" i="8"/>
  <c r="G57" i="8" s="1"/>
  <c r="AF15" i="8"/>
  <c r="G80" i="8" s="1"/>
  <c r="S8" i="8"/>
  <c r="Q10" i="8"/>
  <c r="E54" i="8" s="1"/>
  <c r="AE10" i="8"/>
  <c r="G54" i="8" s="1"/>
  <c r="K9" i="8"/>
  <c r="K11" i="8"/>
  <c r="D76" i="8" s="1"/>
  <c r="K13" i="8"/>
  <c r="D78" i="8" s="1"/>
  <c r="K15" i="8"/>
  <c r="D80" i="8" s="1"/>
  <c r="R9" i="8"/>
  <c r="E74" i="8" s="1"/>
  <c r="R11" i="8"/>
  <c r="E76" i="8" s="1"/>
  <c r="R13" i="8"/>
  <c r="E78" i="8" s="1"/>
  <c r="U15" i="8"/>
  <c r="AB16" i="8"/>
  <c r="AB14" i="8"/>
  <c r="AB12" i="8"/>
  <c r="AB10" i="8"/>
  <c r="AF9" i="8"/>
  <c r="G74" i="8" s="1"/>
  <c r="AF11" i="8"/>
  <c r="G76" i="8" s="1"/>
  <c r="AF13" i="8"/>
  <c r="G78" i="8" s="1"/>
  <c r="AG15" i="8"/>
  <c r="J14" i="8"/>
  <c r="D58" i="8" s="1"/>
  <c r="Z9" i="8"/>
  <c r="L9" i="8"/>
  <c r="L11" i="8"/>
  <c r="L13" i="8"/>
  <c r="L15" i="8"/>
  <c r="S9" i="8"/>
  <c r="S11" i="8"/>
  <c r="S13" i="8"/>
  <c r="Q16" i="8"/>
  <c r="E60" i="8" s="1"/>
  <c r="X13" i="8"/>
  <c r="F57" i="8" s="1"/>
  <c r="X11" i="8"/>
  <c r="F55" i="8" s="1"/>
  <c r="X9" i="8"/>
  <c r="F53" i="8" s="1"/>
  <c r="AG9" i="8"/>
  <c r="AG11" i="8"/>
  <c r="AG13" i="8"/>
  <c r="AI15" i="8"/>
  <c r="J10" i="8"/>
  <c r="D54" i="8" s="1"/>
  <c r="Z13" i="8"/>
  <c r="N9" i="8"/>
  <c r="N11" i="8"/>
  <c r="N13" i="8"/>
  <c r="N15" i="8"/>
  <c r="U9" i="8"/>
  <c r="U11" i="8"/>
  <c r="U13" i="8"/>
  <c r="R16" i="8"/>
  <c r="E81" i="8" s="1"/>
  <c r="Y15" i="8"/>
  <c r="F80" i="8" s="1"/>
  <c r="Y13" i="8"/>
  <c r="F78" i="8" s="1"/>
  <c r="Y11" i="8"/>
  <c r="F76" i="8" s="1"/>
  <c r="Y9" i="8"/>
  <c r="F74" i="8" s="1"/>
  <c r="AI9" i="8"/>
  <c r="AI11" i="8"/>
  <c r="AI13" i="8"/>
  <c r="AE16" i="8"/>
  <c r="G60" i="8" s="1"/>
  <c r="AS41" i="4"/>
  <c r="AS23" i="4"/>
  <c r="AI37" i="4"/>
  <c r="Y41" i="4"/>
  <c r="O31" i="4"/>
  <c r="W44" i="4"/>
  <c r="AS44" i="4"/>
  <c r="Y44" i="4"/>
  <c r="O44" i="4"/>
  <c r="O23" i="4"/>
  <c r="AS37" i="4"/>
  <c r="Y23" i="4"/>
  <c r="Y27" i="4"/>
  <c r="AS31" i="4"/>
  <c r="AI44" i="4"/>
  <c r="AS50" i="4"/>
  <c r="AI50" i="4"/>
  <c r="O50" i="4"/>
  <c r="O19" i="4"/>
  <c r="Y50" i="4"/>
  <c r="AI31" i="4"/>
  <c r="O21" i="4"/>
  <c r="AS19" i="4"/>
  <c r="O27" i="4"/>
  <c r="AS27" i="4"/>
  <c r="O41" i="4"/>
  <c r="AI23" i="4"/>
  <c r="AI41" i="4"/>
  <c r="Y31" i="4"/>
  <c r="Y19" i="4"/>
  <c r="AI27" i="4"/>
  <c r="Y20" i="4"/>
  <c r="AF16" i="4"/>
  <c r="AS21" i="4"/>
  <c r="Y18" i="4"/>
  <c r="AS17" i="4"/>
  <c r="AJ16" i="4"/>
  <c r="AG16" i="4"/>
  <c r="Y17" i="4"/>
  <c r="Y16" i="4" s="1"/>
  <c r="O17" i="4"/>
  <c r="F18" i="4"/>
  <c r="F19" i="4"/>
  <c r="F20" i="4"/>
  <c r="F21" i="4"/>
  <c r="F22" i="4"/>
  <c r="F17" i="4"/>
  <c r="F16" i="4" s="1"/>
  <c r="C18" i="4"/>
  <c r="C19" i="4"/>
  <c r="C20" i="4"/>
  <c r="C21" i="4"/>
  <c r="C22" i="4"/>
  <c r="C17" i="4"/>
  <c r="B22" i="4"/>
  <c r="B18" i="4"/>
  <c r="B19" i="4"/>
  <c r="B20" i="4"/>
  <c r="B21" i="4"/>
  <c r="B17" i="4"/>
  <c r="B25" i="3"/>
  <c r="D30" i="3"/>
  <c r="C30" i="3"/>
  <c r="B30" i="3"/>
  <c r="K22" i="4" s="1"/>
  <c r="D29" i="3"/>
  <c r="C29" i="3"/>
  <c r="B29" i="3"/>
  <c r="F28" i="3"/>
  <c r="E28" i="3"/>
  <c r="D28" i="3"/>
  <c r="C28" i="3"/>
  <c r="B28" i="3"/>
  <c r="AY14" i="4"/>
  <c r="AO14" i="4"/>
  <c r="D27" i="3"/>
  <c r="C27" i="3"/>
  <c r="B27" i="3"/>
  <c r="AY13" i="4"/>
  <c r="E26" i="3"/>
  <c r="D26" i="3"/>
  <c r="C26" i="3"/>
  <c r="B26" i="3"/>
  <c r="AY12" i="4"/>
  <c r="AO12" i="4"/>
  <c r="D25" i="3"/>
  <c r="C25" i="3"/>
  <c r="F24" i="3"/>
  <c r="E24" i="3"/>
  <c r="D24" i="3"/>
  <c r="C24" i="3"/>
  <c r="B24" i="3"/>
  <c r="AY10" i="4"/>
  <c r="AO10" i="4"/>
  <c r="D23" i="3"/>
  <c r="C23" i="3"/>
  <c r="B23" i="3"/>
  <c r="F22" i="3"/>
  <c r="E22" i="3"/>
  <c r="D22" i="3"/>
  <c r="C22" i="3"/>
  <c r="B22" i="3"/>
  <c r="AY8" i="4"/>
  <c r="AO8" i="4"/>
  <c r="D21" i="3"/>
  <c r="C21" i="3"/>
  <c r="B21" i="3"/>
  <c r="B32" i="3" s="1"/>
  <c r="H5" i="3"/>
  <c r="I5" i="3"/>
  <c r="J5" i="3"/>
  <c r="K5" i="3"/>
  <c r="L5" i="3"/>
  <c r="I6" i="3"/>
  <c r="J6" i="3"/>
  <c r="K6" i="3"/>
  <c r="L6" i="3"/>
  <c r="I8" i="3"/>
  <c r="J8" i="3"/>
  <c r="K8" i="3"/>
  <c r="L8" i="3"/>
  <c r="H8" i="3"/>
  <c r="H6" i="3"/>
  <c r="F41" i="4"/>
  <c r="D41" i="4"/>
  <c r="C41" i="4"/>
  <c r="B41" i="4"/>
  <c r="AR7" i="4"/>
  <c r="X7" i="4"/>
  <c r="N7" i="4"/>
  <c r="F32" i="3" l="1"/>
  <c r="F13" i="8"/>
  <c r="C28" i="8" s="1"/>
  <c r="AS16" i="4"/>
  <c r="C16" i="4"/>
  <c r="B16" i="4"/>
  <c r="O16" i="4"/>
  <c r="F12" i="1"/>
  <c r="E32" i="3"/>
  <c r="C32" i="3"/>
  <c r="D32" i="3"/>
  <c r="K13" i="4"/>
  <c r="C13" i="4"/>
  <c r="F13" i="4"/>
  <c r="B13" i="4"/>
  <c r="AE10" i="4"/>
  <c r="Z10" i="4"/>
  <c r="V10" i="4"/>
  <c r="W10" i="4"/>
  <c r="AE15" i="4"/>
  <c r="Z15" i="4"/>
  <c r="W15" i="4"/>
  <c r="V15" i="4"/>
  <c r="AE9" i="4"/>
  <c r="V9" i="4"/>
  <c r="W9" i="4"/>
  <c r="Z9" i="4"/>
  <c r="K11" i="4"/>
  <c r="C11" i="4"/>
  <c r="F11" i="4"/>
  <c r="B11" i="4"/>
  <c r="AE14" i="4"/>
  <c r="Z14" i="4"/>
  <c r="W14" i="4"/>
  <c r="V14" i="4"/>
  <c r="K39" i="4"/>
  <c r="B39" i="4"/>
  <c r="B37" i="4" s="1"/>
  <c r="F39" i="4"/>
  <c r="F37" i="4" s="1"/>
  <c r="C39" i="4"/>
  <c r="C37" i="4" s="1"/>
  <c r="P39" i="4"/>
  <c r="U39" i="4"/>
  <c r="M39" i="4"/>
  <c r="L39" i="4"/>
  <c r="AE11" i="4"/>
  <c r="Z11" i="4"/>
  <c r="W11" i="4"/>
  <c r="V11" i="4"/>
  <c r="V39" i="4"/>
  <c r="Z39" i="4"/>
  <c r="U12" i="12" s="1"/>
  <c r="W39" i="4"/>
  <c r="AE39" i="4"/>
  <c r="AE8" i="4"/>
  <c r="V8" i="4"/>
  <c r="Z8" i="4"/>
  <c r="W8" i="4"/>
  <c r="K10" i="4"/>
  <c r="F10" i="4"/>
  <c r="B10" i="4"/>
  <c r="C10" i="4"/>
  <c r="AO11" i="4"/>
  <c r="AG11" i="4"/>
  <c r="AJ11" i="4"/>
  <c r="AF11" i="4"/>
  <c r="AI11" i="4" s="1"/>
  <c r="AE13" i="4"/>
  <c r="Z13" i="4"/>
  <c r="W13" i="4"/>
  <c r="V13" i="4"/>
  <c r="K15" i="4"/>
  <c r="B15" i="4"/>
  <c r="C15" i="4"/>
  <c r="F15" i="4"/>
  <c r="AO9" i="4"/>
  <c r="AJ9" i="4"/>
  <c r="AF9" i="4"/>
  <c r="AG9" i="4"/>
  <c r="AY9" i="4"/>
  <c r="AP9" i="4"/>
  <c r="AT9" i="4"/>
  <c r="AQ9" i="4"/>
  <c r="U13" i="4"/>
  <c r="P13" i="4"/>
  <c r="M13" i="4"/>
  <c r="L13" i="4"/>
  <c r="U10" i="4"/>
  <c r="P10" i="4"/>
  <c r="M10" i="4"/>
  <c r="L10" i="4"/>
  <c r="AY11" i="4"/>
  <c r="AQ11" i="4"/>
  <c r="AP11" i="4"/>
  <c r="AT11" i="4"/>
  <c r="AO13" i="4"/>
  <c r="AG13" i="4"/>
  <c r="AJ13" i="4"/>
  <c r="AF13" i="4"/>
  <c r="AI13" i="4" s="1"/>
  <c r="U15" i="4"/>
  <c r="L15" i="4"/>
  <c r="P15" i="4"/>
  <c r="M15" i="4"/>
  <c r="U11" i="4"/>
  <c r="P11" i="4"/>
  <c r="M11" i="4"/>
  <c r="L11" i="4"/>
  <c r="U12" i="4"/>
  <c r="P12" i="4"/>
  <c r="M12" i="4"/>
  <c r="L12" i="4"/>
  <c r="K9" i="4"/>
  <c r="F9" i="4"/>
  <c r="B9" i="4"/>
  <c r="C9" i="4"/>
  <c r="AE12" i="4"/>
  <c r="Z12" i="4"/>
  <c r="W12" i="4"/>
  <c r="V12" i="4"/>
  <c r="K14" i="4"/>
  <c r="C14" i="4"/>
  <c r="F14" i="4"/>
  <c r="B14" i="4"/>
  <c r="AO15" i="4"/>
  <c r="AJ15" i="4"/>
  <c r="AF15" i="4"/>
  <c r="AI15" i="4" s="1"/>
  <c r="AG15" i="4"/>
  <c r="K12" i="4"/>
  <c r="C12" i="4"/>
  <c r="F12" i="4"/>
  <c r="B12" i="4"/>
  <c r="K8" i="4"/>
  <c r="C8" i="4"/>
  <c r="C7" i="4" s="1"/>
  <c r="B8" i="4"/>
  <c r="F8" i="4"/>
  <c r="U8" i="4"/>
  <c r="P8" i="4"/>
  <c r="M8" i="4"/>
  <c r="L8" i="4"/>
  <c r="U9" i="4"/>
  <c r="M9" i="4"/>
  <c r="P9" i="4"/>
  <c r="L9" i="4"/>
  <c r="U14" i="4"/>
  <c r="P14" i="4"/>
  <c r="M14" i="4"/>
  <c r="L14" i="4"/>
  <c r="AY15" i="4"/>
  <c r="AP15" i="4"/>
  <c r="AT15" i="4"/>
  <c r="AQ15" i="4"/>
  <c r="C8" i="12"/>
  <c r="C8" i="11"/>
  <c r="C8" i="7"/>
  <c r="M8" i="11"/>
  <c r="T8" i="7"/>
  <c r="M8" i="12"/>
  <c r="T8" i="11"/>
  <c r="T8" i="12"/>
  <c r="C33" i="12"/>
  <c r="C41" i="12"/>
  <c r="G8" i="12"/>
  <c r="G8" i="7"/>
  <c r="G8" i="11"/>
  <c r="AA8" i="7"/>
  <c r="C41" i="11"/>
  <c r="C33" i="11"/>
  <c r="AA8" i="11"/>
  <c r="AH8" i="7"/>
  <c r="D8" i="12"/>
  <c r="D8" i="11"/>
  <c r="D8" i="7"/>
  <c r="J15" i="11"/>
  <c r="M15" i="11" s="1"/>
  <c r="J15" i="7"/>
  <c r="M15" i="7" s="1"/>
  <c r="J15" i="12"/>
  <c r="M15" i="12" s="1"/>
  <c r="AA8" i="12"/>
  <c r="AH8" i="11"/>
  <c r="M8" i="7"/>
  <c r="AH8" i="12"/>
  <c r="F15" i="8"/>
  <c r="C30" i="8" s="1"/>
  <c r="F14" i="1"/>
  <c r="H27" i="1" s="1"/>
  <c r="E12" i="8"/>
  <c r="E11" i="1"/>
  <c r="M13" i="8"/>
  <c r="D28" i="8" s="1"/>
  <c r="R14" i="8"/>
  <c r="E79" i="8" s="1"/>
  <c r="G9" i="1"/>
  <c r="G10" i="8"/>
  <c r="V49" i="4"/>
  <c r="L47" i="4"/>
  <c r="O49" i="4"/>
  <c r="O47" i="4" s="1"/>
  <c r="E9" i="1"/>
  <c r="E10" i="8"/>
  <c r="AA16" i="8"/>
  <c r="F31" i="8" s="1"/>
  <c r="AE8" i="8"/>
  <c r="G52" i="8" s="1"/>
  <c r="AH11" i="8"/>
  <c r="G26" i="8" s="1"/>
  <c r="D10" i="1"/>
  <c r="H75" i="1" s="1"/>
  <c r="D11" i="8"/>
  <c r="C76" i="8" s="1"/>
  <c r="F16" i="8"/>
  <c r="C31" i="8" s="1"/>
  <c r="F15" i="1"/>
  <c r="H29" i="1" s="1"/>
  <c r="AH13" i="8"/>
  <c r="G28" i="8" s="1"/>
  <c r="E8" i="8"/>
  <c r="E7" i="1"/>
  <c r="C16" i="8"/>
  <c r="C60" i="8" s="1"/>
  <c r="C15" i="1"/>
  <c r="H58" i="1" s="1"/>
  <c r="C12" i="1"/>
  <c r="C13" i="8"/>
  <c r="C57" i="8" s="1"/>
  <c r="R8" i="8"/>
  <c r="E73" i="8" s="1"/>
  <c r="AF8" i="8"/>
  <c r="G73" i="8" s="1"/>
  <c r="AA10" i="8"/>
  <c r="F25" i="8" s="1"/>
  <c r="AH10" i="8"/>
  <c r="G25" i="8" s="1"/>
  <c r="G16" i="8"/>
  <c r="G15" i="1"/>
  <c r="AI8" i="8"/>
  <c r="M10" i="8"/>
  <c r="D25" i="8" s="1"/>
  <c r="AH12" i="8"/>
  <c r="G27" i="8" s="1"/>
  <c r="E16" i="8"/>
  <c r="E15" i="1"/>
  <c r="AH16" i="8"/>
  <c r="G31" i="8" s="1"/>
  <c r="M9" i="8"/>
  <c r="D24" i="8" s="1"/>
  <c r="M11" i="8"/>
  <c r="D26" i="8" s="1"/>
  <c r="E11" i="8"/>
  <c r="E10" i="1"/>
  <c r="AH14" i="8"/>
  <c r="G29" i="8" s="1"/>
  <c r="C13" i="1"/>
  <c r="H57" i="1" s="1"/>
  <c r="C14" i="8"/>
  <c r="C58" i="8" s="1"/>
  <c r="M16" i="8"/>
  <c r="D31" i="8" s="1"/>
  <c r="C9" i="8"/>
  <c r="C53" i="8" s="1"/>
  <c r="C8" i="1"/>
  <c r="H52" i="1" s="1"/>
  <c r="D13" i="8"/>
  <c r="C78" i="8" s="1"/>
  <c r="D12" i="1"/>
  <c r="G8" i="1"/>
  <c r="G9" i="8"/>
  <c r="E13" i="1"/>
  <c r="E14" i="8"/>
  <c r="E12" i="1"/>
  <c r="E13" i="8"/>
  <c r="E7" i="8"/>
  <c r="E6" i="1"/>
  <c r="F9" i="8"/>
  <c r="C24" i="8" s="1"/>
  <c r="F8" i="1"/>
  <c r="H23" i="1" s="1"/>
  <c r="C11" i="8"/>
  <c r="C55" i="8" s="1"/>
  <c r="C10" i="1"/>
  <c r="H54" i="1" s="1"/>
  <c r="D16" i="8"/>
  <c r="C81" i="8" s="1"/>
  <c r="D15" i="1"/>
  <c r="H79" i="1" s="1"/>
  <c r="D13" i="1"/>
  <c r="H78" i="1" s="1"/>
  <c r="D14" i="8"/>
  <c r="C79" i="8" s="1"/>
  <c r="G12" i="1"/>
  <c r="G13" i="8"/>
  <c r="Y8" i="8"/>
  <c r="F73" i="8" s="1"/>
  <c r="T11" i="8"/>
  <c r="E26" i="8" s="1"/>
  <c r="F14" i="8"/>
  <c r="C29" i="8" s="1"/>
  <c r="F13" i="1"/>
  <c r="H28" i="1" s="1"/>
  <c r="Z7" i="8"/>
  <c r="Z17" i="8" s="1"/>
  <c r="T9" i="8"/>
  <c r="E24" i="8" s="1"/>
  <c r="G14" i="8"/>
  <c r="G13" i="1"/>
  <c r="U8" i="8"/>
  <c r="D10" i="8"/>
  <c r="C75" i="8" s="1"/>
  <c r="D9" i="1"/>
  <c r="H74" i="1" s="1"/>
  <c r="N58" i="4"/>
  <c r="L7" i="8"/>
  <c r="L17" i="8" s="1"/>
  <c r="E9" i="8"/>
  <c r="E8" i="1"/>
  <c r="G10" i="1"/>
  <c r="G11" i="8"/>
  <c r="C15" i="8"/>
  <c r="C59" i="8" s="1"/>
  <c r="C14" i="1"/>
  <c r="H56" i="1" s="1"/>
  <c r="J8" i="8"/>
  <c r="D52" i="8" s="1"/>
  <c r="X8" i="8"/>
  <c r="F52" i="8" s="1"/>
  <c r="AA11" i="8"/>
  <c r="F26" i="8" s="1"/>
  <c r="M14" i="8"/>
  <c r="D29" i="8" s="1"/>
  <c r="T13" i="8"/>
  <c r="E28" i="8" s="1"/>
  <c r="C10" i="8"/>
  <c r="C54" i="8" s="1"/>
  <c r="C9" i="1"/>
  <c r="H53" i="1" s="1"/>
  <c r="AA9" i="8"/>
  <c r="F24" i="8" s="1"/>
  <c r="AR58" i="4"/>
  <c r="AG7" i="8"/>
  <c r="AG17" i="8" s="1"/>
  <c r="D15" i="8"/>
  <c r="C80" i="8" s="1"/>
  <c r="D14" i="1"/>
  <c r="H77" i="1" s="1"/>
  <c r="T10" i="8"/>
  <c r="E25" i="8" s="1"/>
  <c r="F10" i="8"/>
  <c r="C25" i="8" s="1"/>
  <c r="F9" i="1"/>
  <c r="H24" i="1" s="1"/>
  <c r="X58" i="4"/>
  <c r="S7" i="8"/>
  <c r="S17" i="8" s="1"/>
  <c r="D9" i="8"/>
  <c r="C74" i="8" s="1"/>
  <c r="D8" i="1"/>
  <c r="H73" i="1" s="1"/>
  <c r="F11" i="8"/>
  <c r="C26" i="8" s="1"/>
  <c r="F10" i="1"/>
  <c r="H25" i="1" s="1"/>
  <c r="G15" i="8"/>
  <c r="G14" i="1"/>
  <c r="K8" i="8"/>
  <c r="D73" i="8" s="1"/>
  <c r="AB8" i="8"/>
  <c r="N8" i="8"/>
  <c r="AA13" i="8"/>
  <c r="F28" i="8" s="1"/>
  <c r="T16" i="8"/>
  <c r="E31" i="8" s="1"/>
  <c r="AA14" i="8"/>
  <c r="F29" i="8" s="1"/>
  <c r="T14" i="8"/>
  <c r="E29" i="8" s="1"/>
  <c r="AA12" i="8"/>
  <c r="F27" i="8" s="1"/>
  <c r="E15" i="8"/>
  <c r="E14" i="1"/>
  <c r="Q8" i="8"/>
  <c r="E52" i="8" s="1"/>
  <c r="AH9" i="8"/>
  <c r="G24" i="8" s="1"/>
  <c r="D74" i="8"/>
  <c r="E22" i="4"/>
  <c r="E21" i="4"/>
  <c r="E19" i="4"/>
  <c r="E18" i="4"/>
  <c r="D58" i="4"/>
  <c r="E20" i="4"/>
  <c r="AI16" i="4"/>
  <c r="E17" i="4"/>
  <c r="AS14" i="4"/>
  <c r="AS13" i="4"/>
  <c r="AS10" i="4"/>
  <c r="AS12" i="4"/>
  <c r="AS8" i="4"/>
  <c r="M28" i="1"/>
  <c r="M27" i="1"/>
  <c r="M26" i="1"/>
  <c r="M25" i="1"/>
  <c r="M24" i="1"/>
  <c r="M23" i="1"/>
  <c r="M22" i="1"/>
  <c r="M21" i="1"/>
  <c r="M20" i="1"/>
  <c r="C72" i="1"/>
  <c r="D72" i="1"/>
  <c r="E72" i="1"/>
  <c r="F72" i="1"/>
  <c r="G72" i="1"/>
  <c r="C73" i="1"/>
  <c r="D73" i="1"/>
  <c r="E73" i="1"/>
  <c r="F73" i="1"/>
  <c r="G73" i="1"/>
  <c r="C74" i="1"/>
  <c r="D74" i="1"/>
  <c r="E74" i="1"/>
  <c r="F74" i="1"/>
  <c r="G74" i="1"/>
  <c r="C75" i="1"/>
  <c r="D75" i="1"/>
  <c r="E75" i="1"/>
  <c r="F75" i="1"/>
  <c r="G75" i="1"/>
  <c r="C76" i="1"/>
  <c r="D76" i="1"/>
  <c r="E76" i="1"/>
  <c r="F76" i="1"/>
  <c r="G76" i="1"/>
  <c r="C77" i="1"/>
  <c r="D77" i="1"/>
  <c r="E77" i="1"/>
  <c r="F77" i="1"/>
  <c r="G77" i="1"/>
  <c r="C78" i="1"/>
  <c r="D78" i="1"/>
  <c r="E78" i="1"/>
  <c r="F78" i="1"/>
  <c r="G78" i="1"/>
  <c r="C79" i="1"/>
  <c r="D79" i="1"/>
  <c r="E79" i="1"/>
  <c r="F79" i="1"/>
  <c r="G79" i="1"/>
  <c r="G71" i="1"/>
  <c r="F71" i="1"/>
  <c r="E71" i="1"/>
  <c r="D71" i="1"/>
  <c r="C71" i="1"/>
  <c r="B79" i="1"/>
  <c r="B78" i="1"/>
  <c r="B77" i="1"/>
  <c r="B76" i="1"/>
  <c r="B75" i="1"/>
  <c r="B74" i="1"/>
  <c r="B73" i="1"/>
  <c r="B72" i="1"/>
  <c r="B71" i="1"/>
  <c r="C51" i="1"/>
  <c r="D51" i="1"/>
  <c r="E51" i="1"/>
  <c r="F51" i="1"/>
  <c r="G51" i="1"/>
  <c r="C52" i="1"/>
  <c r="D52" i="1"/>
  <c r="E52" i="1"/>
  <c r="F52" i="1"/>
  <c r="G52" i="1"/>
  <c r="C53" i="1"/>
  <c r="D53" i="1"/>
  <c r="E53" i="1"/>
  <c r="F53" i="1"/>
  <c r="G53" i="1"/>
  <c r="C54" i="1"/>
  <c r="D54" i="1"/>
  <c r="E54" i="1"/>
  <c r="F54" i="1"/>
  <c r="G54" i="1"/>
  <c r="C55" i="1"/>
  <c r="D55" i="1"/>
  <c r="E55" i="1"/>
  <c r="F55" i="1"/>
  <c r="G55" i="1"/>
  <c r="C56" i="1"/>
  <c r="D56" i="1"/>
  <c r="E56" i="1"/>
  <c r="F56" i="1"/>
  <c r="G56" i="1"/>
  <c r="C57" i="1"/>
  <c r="D57" i="1"/>
  <c r="E57" i="1"/>
  <c r="F57" i="1"/>
  <c r="G57" i="1"/>
  <c r="C58" i="1"/>
  <c r="D58" i="1"/>
  <c r="E58" i="1"/>
  <c r="F58" i="1"/>
  <c r="G58" i="1"/>
  <c r="G50" i="1"/>
  <c r="F50" i="1"/>
  <c r="E50" i="1"/>
  <c r="D50" i="1"/>
  <c r="C50" i="1"/>
  <c r="D21" i="1"/>
  <c r="C21" i="1"/>
  <c r="B58" i="1"/>
  <c r="B57" i="1"/>
  <c r="B56" i="1"/>
  <c r="B55" i="1"/>
  <c r="B54" i="1"/>
  <c r="B53" i="1"/>
  <c r="B52" i="1"/>
  <c r="B51" i="1"/>
  <c r="B50" i="1"/>
  <c r="B29" i="1"/>
  <c r="B28" i="1"/>
  <c r="B27" i="1"/>
  <c r="B26" i="1"/>
  <c r="B25" i="1"/>
  <c r="B24" i="1"/>
  <c r="B23" i="1"/>
  <c r="B22" i="1"/>
  <c r="B21" i="1"/>
  <c r="C22" i="1"/>
  <c r="D22" i="1"/>
  <c r="E22" i="1"/>
  <c r="F22" i="1"/>
  <c r="G22" i="1"/>
  <c r="C23" i="1"/>
  <c r="D23" i="1"/>
  <c r="E23" i="1"/>
  <c r="F23" i="1"/>
  <c r="G23" i="1"/>
  <c r="C24" i="1"/>
  <c r="D24" i="1"/>
  <c r="E24" i="1"/>
  <c r="F24" i="1"/>
  <c r="G24" i="1"/>
  <c r="C25" i="1"/>
  <c r="D25" i="1"/>
  <c r="E25" i="1"/>
  <c r="F25" i="1"/>
  <c r="G25" i="1"/>
  <c r="C26" i="1"/>
  <c r="D26" i="1"/>
  <c r="E26" i="1"/>
  <c r="F26" i="1"/>
  <c r="G26" i="1"/>
  <c r="C27" i="1"/>
  <c r="D27" i="1"/>
  <c r="E27" i="1"/>
  <c r="F27" i="1"/>
  <c r="G27" i="1"/>
  <c r="C28" i="1"/>
  <c r="D28" i="1"/>
  <c r="E28" i="1"/>
  <c r="F28" i="1"/>
  <c r="G28" i="1"/>
  <c r="C29" i="1"/>
  <c r="D29" i="1"/>
  <c r="E29" i="1"/>
  <c r="F29" i="1"/>
  <c r="G29" i="1"/>
  <c r="E21" i="1"/>
  <c r="F21" i="1"/>
  <c r="G21" i="1"/>
  <c r="F7" i="4" l="1"/>
  <c r="B7" i="4"/>
  <c r="AI9" i="4"/>
  <c r="E16" i="4"/>
  <c r="AE7" i="7"/>
  <c r="Y8" i="4"/>
  <c r="O11" i="4"/>
  <c r="Y11" i="4"/>
  <c r="Y15" i="4"/>
  <c r="E9" i="4"/>
  <c r="O10" i="4"/>
  <c r="E15" i="4"/>
  <c r="AS9" i="4"/>
  <c r="E13" i="4"/>
  <c r="E12" i="4"/>
  <c r="E14" i="4"/>
  <c r="E11" i="4"/>
  <c r="C7" i="8"/>
  <c r="AS11" i="4"/>
  <c r="Y10" i="4"/>
  <c r="AS15" i="4"/>
  <c r="AG7" i="4"/>
  <c r="O8" i="4"/>
  <c r="AT7" i="4"/>
  <c r="Y12" i="4"/>
  <c r="O9" i="4"/>
  <c r="D6" i="1"/>
  <c r="H71" i="1" s="1"/>
  <c r="O15" i="4"/>
  <c r="G6" i="1"/>
  <c r="Z7" i="4"/>
  <c r="Y14" i="4"/>
  <c r="O12" i="4"/>
  <c r="O13" i="4"/>
  <c r="E10" i="4"/>
  <c r="E8" i="4"/>
  <c r="W7" i="4"/>
  <c r="Y13" i="4"/>
  <c r="V7" i="4"/>
  <c r="L7" i="4"/>
  <c r="AQ7" i="4"/>
  <c r="AP7" i="4"/>
  <c r="O14" i="4"/>
  <c r="AI7" i="12"/>
  <c r="AI17" i="12" s="1"/>
  <c r="G25" i="12" s="1"/>
  <c r="AI7" i="7"/>
  <c r="AI17" i="7" s="1"/>
  <c r="G25" i="7" s="1"/>
  <c r="AI7" i="11"/>
  <c r="AI17" i="11" s="1"/>
  <c r="G25" i="11" s="1"/>
  <c r="Y39" i="4"/>
  <c r="Y37" i="4" s="1"/>
  <c r="Q12" i="7"/>
  <c r="Q12" i="12"/>
  <c r="Q12" i="11"/>
  <c r="V37" i="4"/>
  <c r="K12" i="12"/>
  <c r="K12" i="11"/>
  <c r="K12" i="7"/>
  <c r="M37" i="4"/>
  <c r="G12" i="7"/>
  <c r="G12" i="11"/>
  <c r="G12" i="12"/>
  <c r="J7" i="11"/>
  <c r="J7" i="12"/>
  <c r="J7" i="7"/>
  <c r="AB7" i="7"/>
  <c r="AB17" i="7" s="1"/>
  <c r="F25" i="7" s="1"/>
  <c r="AB7" i="11"/>
  <c r="AB17" i="11" s="1"/>
  <c r="F25" i="11" s="1"/>
  <c r="AB7" i="12"/>
  <c r="AB17" i="12" s="1"/>
  <c r="F25" i="12" s="1"/>
  <c r="Y9" i="4"/>
  <c r="AF7" i="12"/>
  <c r="AF17" i="12" s="1"/>
  <c r="G22" i="12" s="1"/>
  <c r="AF7" i="11"/>
  <c r="AF17" i="11" s="1"/>
  <c r="G22" i="11" s="1"/>
  <c r="AF7" i="7"/>
  <c r="AF17" i="7" s="1"/>
  <c r="G22" i="7" s="1"/>
  <c r="J12" i="7"/>
  <c r="O39" i="4"/>
  <c r="O37" i="4" s="1"/>
  <c r="J12" i="11"/>
  <c r="J12" i="12"/>
  <c r="L37" i="4"/>
  <c r="D12" i="11"/>
  <c r="D12" i="7"/>
  <c r="D12" i="12"/>
  <c r="G7" i="11"/>
  <c r="G7" i="7"/>
  <c r="G7" i="12"/>
  <c r="AE7" i="11"/>
  <c r="AE7" i="12"/>
  <c r="R7" i="12"/>
  <c r="R7" i="7"/>
  <c r="R7" i="11"/>
  <c r="C12" i="7"/>
  <c r="E39" i="4"/>
  <c r="E37" i="4" s="1"/>
  <c r="C12" i="12"/>
  <c r="C12" i="11"/>
  <c r="C7" i="11"/>
  <c r="C7" i="12"/>
  <c r="C7" i="7"/>
  <c r="U7" i="7"/>
  <c r="U7" i="12"/>
  <c r="U7" i="11"/>
  <c r="N12" i="12"/>
  <c r="N12" i="11"/>
  <c r="N12" i="7"/>
  <c r="P37" i="4"/>
  <c r="X7" i="11"/>
  <c r="X7" i="7"/>
  <c r="X7" i="12"/>
  <c r="AJ7" i="4"/>
  <c r="K7" i="12"/>
  <c r="K7" i="7"/>
  <c r="K7" i="11"/>
  <c r="R12" i="12"/>
  <c r="R12" i="11"/>
  <c r="R12" i="7"/>
  <c r="W37" i="4"/>
  <c r="AF7" i="4"/>
  <c r="N7" i="12"/>
  <c r="N7" i="11"/>
  <c r="N7" i="7"/>
  <c r="U12" i="11"/>
  <c r="U12" i="7"/>
  <c r="Z37" i="4"/>
  <c r="M7" i="4"/>
  <c r="P7" i="4"/>
  <c r="D7" i="12"/>
  <c r="D7" i="7"/>
  <c r="D7" i="11"/>
  <c r="Y7" i="7"/>
  <c r="Y17" i="7" s="1"/>
  <c r="F22" i="7" s="1"/>
  <c r="Y7" i="11"/>
  <c r="Y17" i="11" s="1"/>
  <c r="F22" i="11" s="1"/>
  <c r="Y7" i="12"/>
  <c r="Y17" i="12" s="1"/>
  <c r="F22" i="12" s="1"/>
  <c r="Q7" i="11"/>
  <c r="Q7" i="12"/>
  <c r="Q7" i="7"/>
  <c r="D33" i="11"/>
  <c r="D41" i="11"/>
  <c r="Q15" i="11"/>
  <c r="Q15" i="12"/>
  <c r="Q15" i="7"/>
  <c r="D33" i="12"/>
  <c r="D41" i="12"/>
  <c r="F8" i="11"/>
  <c r="D33" i="7"/>
  <c r="D41" i="7"/>
  <c r="F8" i="12"/>
  <c r="C7" i="1"/>
  <c r="H51" i="1" s="1"/>
  <c r="C8" i="8"/>
  <c r="C52" i="8" s="1"/>
  <c r="AA8" i="8"/>
  <c r="F23" i="8" s="1"/>
  <c r="G7" i="1"/>
  <c r="G8" i="8"/>
  <c r="AH8" i="8"/>
  <c r="G23" i="8" s="1"/>
  <c r="M15" i="8"/>
  <c r="D30" i="8" s="1"/>
  <c r="J15" i="8"/>
  <c r="D59" i="8" s="1"/>
  <c r="D7" i="1"/>
  <c r="H72" i="1" s="1"/>
  <c r="D8" i="8"/>
  <c r="C73" i="8" s="1"/>
  <c r="T8" i="8"/>
  <c r="E23" i="8" s="1"/>
  <c r="E17" i="8"/>
  <c r="AF49" i="4"/>
  <c r="AI49" i="4" s="1"/>
  <c r="Y49" i="4"/>
  <c r="Y47" i="4" s="1"/>
  <c r="V47" i="4"/>
  <c r="M8" i="8"/>
  <c r="D23" i="8" s="1"/>
  <c r="N12" i="8" l="1"/>
  <c r="AE7" i="8"/>
  <c r="Q12" i="8"/>
  <c r="E56" i="8" s="1"/>
  <c r="AQ58" i="4"/>
  <c r="AI7" i="8"/>
  <c r="AI17" i="8" s="1"/>
  <c r="J7" i="8"/>
  <c r="Q7" i="8"/>
  <c r="E51" i="8" s="1"/>
  <c r="U7" i="8"/>
  <c r="U17" i="8" s="1"/>
  <c r="AG58" i="4"/>
  <c r="X7" i="8"/>
  <c r="AB7" i="8"/>
  <c r="AB17" i="8" s="1"/>
  <c r="K7" i="8"/>
  <c r="R7" i="8"/>
  <c r="U12" i="8"/>
  <c r="E7" i="4"/>
  <c r="F7" i="8" s="1"/>
  <c r="C22" i="8" s="1"/>
  <c r="K12" i="8"/>
  <c r="D77" i="8" s="1"/>
  <c r="J12" i="8"/>
  <c r="D56" i="8" s="1"/>
  <c r="M12" i="8"/>
  <c r="D27" i="8" s="1"/>
  <c r="T12" i="8"/>
  <c r="E27" i="8" s="1"/>
  <c r="R12" i="8"/>
  <c r="E77" i="8" s="1"/>
  <c r="N17" i="11"/>
  <c r="D25" i="11" s="1"/>
  <c r="M12" i="7"/>
  <c r="D31" i="7" s="1"/>
  <c r="N17" i="12"/>
  <c r="D25" i="12" s="1"/>
  <c r="K17" i="11"/>
  <c r="D22" i="11" s="1"/>
  <c r="N17" i="7"/>
  <c r="D25" i="7" s="1"/>
  <c r="C6" i="1"/>
  <c r="H50" i="1" s="1"/>
  <c r="G17" i="7"/>
  <c r="C25" i="7" s="1"/>
  <c r="D7" i="8"/>
  <c r="C72" i="8" s="1"/>
  <c r="AS7" i="4"/>
  <c r="Y7" i="8"/>
  <c r="Y17" i="8" s="1"/>
  <c r="C58" i="4"/>
  <c r="AT58" i="4"/>
  <c r="T7" i="11"/>
  <c r="E37" i="11" s="1"/>
  <c r="C17" i="7"/>
  <c r="C21" i="7" s="1"/>
  <c r="J17" i="7"/>
  <c r="D21" i="7" s="1"/>
  <c r="J17" i="12"/>
  <c r="D21" i="12" s="1"/>
  <c r="O7" i="4"/>
  <c r="M12" i="11"/>
  <c r="D39" i="11" s="1"/>
  <c r="D17" i="12"/>
  <c r="C22" i="12" s="1"/>
  <c r="K17" i="7"/>
  <c r="D22" i="7" s="1"/>
  <c r="Y7" i="4"/>
  <c r="G17" i="12"/>
  <c r="C25" i="12" s="1"/>
  <c r="Z58" i="4"/>
  <c r="L58" i="4"/>
  <c r="AI7" i="4"/>
  <c r="P58" i="4"/>
  <c r="G7" i="8"/>
  <c r="AH7" i="11"/>
  <c r="G37" i="11" s="1"/>
  <c r="F58" i="4"/>
  <c r="U17" i="12"/>
  <c r="E25" i="12" s="1"/>
  <c r="G17" i="11"/>
  <c r="C25" i="11" s="1"/>
  <c r="F7" i="12"/>
  <c r="C37" i="12" s="1"/>
  <c r="AA7" i="12"/>
  <c r="F29" i="12" s="1"/>
  <c r="T12" i="7"/>
  <c r="E31" i="7" s="1"/>
  <c r="AJ58" i="4"/>
  <c r="D17" i="11"/>
  <c r="C22" i="11" s="1"/>
  <c r="R17" i="7"/>
  <c r="E22" i="7" s="1"/>
  <c r="AF7" i="8"/>
  <c r="AF17" i="8" s="1"/>
  <c r="D17" i="7"/>
  <c r="C22" i="7" s="1"/>
  <c r="F7" i="11"/>
  <c r="C29" i="11" s="1"/>
  <c r="W58" i="4"/>
  <c r="AH7" i="12"/>
  <c r="T12" i="12"/>
  <c r="T7" i="7"/>
  <c r="J17" i="11"/>
  <c r="D21" i="11" s="1"/>
  <c r="T7" i="12"/>
  <c r="C12" i="8"/>
  <c r="C56" i="8" s="1"/>
  <c r="C11" i="1"/>
  <c r="H55" i="1" s="1"/>
  <c r="D12" i="8"/>
  <c r="C77" i="8" s="1"/>
  <c r="D11" i="1"/>
  <c r="H76" i="1" s="1"/>
  <c r="M58" i="4"/>
  <c r="K17" i="12"/>
  <c r="D22" i="12" s="1"/>
  <c r="F12" i="11"/>
  <c r="M7" i="7"/>
  <c r="B58" i="4"/>
  <c r="C17" i="12"/>
  <c r="C21" i="12" s="1"/>
  <c r="U17" i="11"/>
  <c r="E25" i="11" s="1"/>
  <c r="F12" i="12"/>
  <c r="AH7" i="7"/>
  <c r="M7" i="12"/>
  <c r="R17" i="12"/>
  <c r="E22" i="12" s="1"/>
  <c r="F11" i="1"/>
  <c r="H26" i="1" s="1"/>
  <c r="F12" i="8"/>
  <c r="C27" i="8" s="1"/>
  <c r="M7" i="11"/>
  <c r="N7" i="8"/>
  <c r="N17" i="8" s="1"/>
  <c r="C17" i="11"/>
  <c r="C21" i="11" s="1"/>
  <c r="AA7" i="7"/>
  <c r="U17" i="7"/>
  <c r="E25" i="7" s="1"/>
  <c r="G12" i="8"/>
  <c r="G11" i="1"/>
  <c r="AA7" i="11"/>
  <c r="R17" i="11"/>
  <c r="E22" i="11" s="1"/>
  <c r="M12" i="12"/>
  <c r="T12" i="11"/>
  <c r="T15" i="7"/>
  <c r="Q17" i="7"/>
  <c r="E21" i="7" s="1"/>
  <c r="X15" i="11"/>
  <c r="X15" i="7"/>
  <c r="X15" i="12"/>
  <c r="T15" i="12"/>
  <c r="Q17" i="12"/>
  <c r="E21" i="12" s="1"/>
  <c r="T15" i="11"/>
  <c r="Q17" i="11"/>
  <c r="E21" i="11" s="1"/>
  <c r="AP49" i="4"/>
  <c r="AF47" i="4"/>
  <c r="AI47" i="4"/>
  <c r="F8" i="8"/>
  <c r="C23" i="8" s="1"/>
  <c r="F7" i="1"/>
  <c r="H22" i="1" s="1"/>
  <c r="E72" i="8"/>
  <c r="D51" i="8"/>
  <c r="D72" i="8"/>
  <c r="F51" i="8"/>
  <c r="C51" i="8"/>
  <c r="G51" i="8"/>
  <c r="Q15" i="8"/>
  <c r="E59" i="8" s="1"/>
  <c r="T15" i="8"/>
  <c r="E30" i="8" s="1"/>
  <c r="V58" i="4"/>
  <c r="T7" i="8" l="1"/>
  <c r="E22" i="8" s="1"/>
  <c r="AA7" i="8"/>
  <c r="O58" i="4"/>
  <c r="AH7" i="8"/>
  <c r="J17" i="8"/>
  <c r="K17" i="8"/>
  <c r="R17" i="8"/>
  <c r="F17" i="8"/>
  <c r="C32" i="8" s="1"/>
  <c r="D39" i="7"/>
  <c r="F72" i="8"/>
  <c r="E39" i="7"/>
  <c r="E58" i="4"/>
  <c r="G23" i="4" s="1"/>
  <c r="F6" i="1"/>
  <c r="H21" i="1" s="1"/>
  <c r="M7" i="8"/>
  <c r="D22" i="8" s="1"/>
  <c r="G17" i="8"/>
  <c r="E29" i="11"/>
  <c r="Y58" i="4"/>
  <c r="AA7" i="4" s="1"/>
  <c r="F17" i="12"/>
  <c r="D31" i="11"/>
  <c r="G29" i="11"/>
  <c r="D17" i="8"/>
  <c r="C29" i="12"/>
  <c r="AI58" i="4"/>
  <c r="AK44" i="4" s="1"/>
  <c r="C37" i="11"/>
  <c r="F17" i="11"/>
  <c r="F37" i="12"/>
  <c r="G72" i="8"/>
  <c r="G37" i="12"/>
  <c r="G29" i="12"/>
  <c r="M17" i="7"/>
  <c r="D29" i="7"/>
  <c r="D37" i="7"/>
  <c r="E39" i="11"/>
  <c r="E31" i="11"/>
  <c r="F29" i="7"/>
  <c r="F37" i="7"/>
  <c r="D29" i="12"/>
  <c r="M17" i="12"/>
  <c r="D37" i="12"/>
  <c r="E37" i="12"/>
  <c r="E29" i="12"/>
  <c r="E37" i="7"/>
  <c r="E29" i="7"/>
  <c r="E39" i="12"/>
  <c r="E31" i="12"/>
  <c r="D39" i="12"/>
  <c r="D31" i="12"/>
  <c r="G37" i="7"/>
  <c r="G29" i="7"/>
  <c r="F29" i="11"/>
  <c r="F37" i="11"/>
  <c r="C39" i="12"/>
  <c r="C31" i="12"/>
  <c r="C17" i="8"/>
  <c r="M17" i="11"/>
  <c r="D29" i="11"/>
  <c r="D37" i="11"/>
  <c r="C31" i="11"/>
  <c r="C39" i="11"/>
  <c r="E41" i="12"/>
  <c r="E33" i="12"/>
  <c r="T17" i="12"/>
  <c r="E41" i="7"/>
  <c r="E33" i="7"/>
  <c r="T17" i="7"/>
  <c r="AA15" i="12"/>
  <c r="X17" i="12"/>
  <c r="F21" i="12" s="1"/>
  <c r="AA15" i="7"/>
  <c r="X17" i="7"/>
  <c r="F21" i="7" s="1"/>
  <c r="AE15" i="11"/>
  <c r="AE15" i="12"/>
  <c r="AE15" i="7"/>
  <c r="AA15" i="11"/>
  <c r="X17" i="11"/>
  <c r="F21" i="11" s="1"/>
  <c r="E33" i="11"/>
  <c r="E41" i="11"/>
  <c r="T17" i="11"/>
  <c r="Q17" i="8"/>
  <c r="M17" i="8"/>
  <c r="AA15" i="8"/>
  <c r="X15" i="8"/>
  <c r="AF58" i="4"/>
  <c r="AP47" i="4"/>
  <c r="AS49" i="4"/>
  <c r="AS47" i="4" s="1"/>
  <c r="G22" i="8"/>
  <c r="F22" i="8"/>
  <c r="U5" i="4"/>
  <c r="Q27" i="4"/>
  <c r="Q16" i="4"/>
  <c r="Q23" i="4"/>
  <c r="Q47" i="4"/>
  <c r="Q44" i="4"/>
  <c r="Q41" i="4"/>
  <c r="Q37" i="4"/>
  <c r="Q31" i="4"/>
  <c r="Q50" i="4"/>
  <c r="Q7" i="4"/>
  <c r="U63" i="4" l="1"/>
  <c r="D33" i="17"/>
  <c r="H8" i="12"/>
  <c r="K18" i="13"/>
  <c r="C105" i="13"/>
  <c r="H8" i="11"/>
  <c r="K17" i="13"/>
  <c r="C27" i="13"/>
  <c r="M18" i="13"/>
  <c r="E105" i="13"/>
  <c r="O7" i="12"/>
  <c r="L18" i="13"/>
  <c r="D105" i="13"/>
  <c r="O7" i="7"/>
  <c r="D60" i="13"/>
  <c r="L16" i="13"/>
  <c r="D27" i="13"/>
  <c r="L17" i="13"/>
  <c r="E27" i="13"/>
  <c r="M17" i="13"/>
  <c r="V15" i="7"/>
  <c r="E60" i="13"/>
  <c r="M16" i="13"/>
  <c r="T17" i="8"/>
  <c r="V7" i="8" s="1"/>
  <c r="P21" i="8" s="1"/>
  <c r="AA17" i="8"/>
  <c r="AC13" i="8" s="1"/>
  <c r="Q27" i="8" s="1"/>
  <c r="F30" i="8"/>
  <c r="H8" i="8"/>
  <c r="N22" i="8" s="1"/>
  <c r="O7" i="8"/>
  <c r="O21" i="8" s="1"/>
  <c r="D32" i="8"/>
  <c r="G37" i="4"/>
  <c r="G50" i="4"/>
  <c r="G47" i="4"/>
  <c r="G7" i="4"/>
  <c r="G31" i="4"/>
  <c r="K5" i="4"/>
  <c r="G27" i="4"/>
  <c r="G41" i="4"/>
  <c r="G44" i="4"/>
  <c r="G16" i="4"/>
  <c r="AK50" i="4"/>
  <c r="AK16" i="4"/>
  <c r="AK7" i="4"/>
  <c r="AK37" i="4"/>
  <c r="AK47" i="4"/>
  <c r="AK23" i="4"/>
  <c r="AO5" i="4"/>
  <c r="AK41" i="4"/>
  <c r="AK27" i="4"/>
  <c r="AK31" i="4"/>
  <c r="AA16" i="4"/>
  <c r="H16" i="12"/>
  <c r="AA47" i="4"/>
  <c r="H7" i="12"/>
  <c r="AA31" i="4"/>
  <c r="AA27" i="4"/>
  <c r="H12" i="12"/>
  <c r="H15" i="11"/>
  <c r="AA23" i="4"/>
  <c r="H14" i="12"/>
  <c r="AA37" i="4"/>
  <c r="AE5" i="4"/>
  <c r="H11" i="12"/>
  <c r="H12" i="11"/>
  <c r="AA50" i="4"/>
  <c r="AA41" i="4"/>
  <c r="H9" i="12"/>
  <c r="H14" i="11"/>
  <c r="C24" i="12"/>
  <c r="AA44" i="4"/>
  <c r="H13" i="12"/>
  <c r="C24" i="11"/>
  <c r="H15" i="12"/>
  <c r="H10" i="12"/>
  <c r="H7" i="11"/>
  <c r="H10" i="11"/>
  <c r="H9" i="11"/>
  <c r="H13" i="11"/>
  <c r="H16" i="11"/>
  <c r="H11" i="11"/>
  <c r="O8" i="11"/>
  <c r="O13" i="11"/>
  <c r="O10" i="11"/>
  <c r="O7" i="11"/>
  <c r="O14" i="11"/>
  <c r="O16" i="11"/>
  <c r="O11" i="11"/>
  <c r="O9" i="11"/>
  <c r="O15" i="11"/>
  <c r="O12" i="11"/>
  <c r="D24" i="11"/>
  <c r="O15" i="12"/>
  <c r="O16" i="12"/>
  <c r="D24" i="12"/>
  <c r="O8" i="12"/>
  <c r="O10" i="12"/>
  <c r="O13" i="12"/>
  <c r="O11" i="12"/>
  <c r="O12" i="12"/>
  <c r="O9" i="12"/>
  <c r="O14" i="12"/>
  <c r="O15" i="7"/>
  <c r="O8" i="7"/>
  <c r="O11" i="7"/>
  <c r="O13" i="7"/>
  <c r="O14" i="7"/>
  <c r="O12" i="7"/>
  <c r="O9" i="7"/>
  <c r="O10" i="7"/>
  <c r="D24" i="7"/>
  <c r="O16" i="7"/>
  <c r="F33" i="11"/>
  <c r="F41" i="11"/>
  <c r="AA17" i="11"/>
  <c r="V7" i="11"/>
  <c r="E24" i="11"/>
  <c r="V13" i="11"/>
  <c r="V10" i="11"/>
  <c r="V11" i="11"/>
  <c r="V12" i="11"/>
  <c r="V14" i="11"/>
  <c r="V9" i="11"/>
  <c r="V16" i="11"/>
  <c r="V8" i="11"/>
  <c r="V11" i="12"/>
  <c r="E24" i="12"/>
  <c r="V13" i="12"/>
  <c r="V10" i="12"/>
  <c r="V12" i="12"/>
  <c r="V9" i="12"/>
  <c r="V14" i="12"/>
  <c r="V7" i="12"/>
  <c r="V16" i="12"/>
  <c r="V8" i="12"/>
  <c r="AH15" i="7"/>
  <c r="AE17" i="7"/>
  <c r="G21" i="7" s="1"/>
  <c r="AH15" i="12"/>
  <c r="AE17" i="12"/>
  <c r="G21" i="12" s="1"/>
  <c r="F33" i="7"/>
  <c r="F41" i="7"/>
  <c r="AA17" i="7"/>
  <c r="V15" i="11"/>
  <c r="AH15" i="11"/>
  <c r="AE17" i="11"/>
  <c r="G21" i="11" s="1"/>
  <c r="F41" i="12"/>
  <c r="F33" i="12"/>
  <c r="AA17" i="12"/>
  <c r="V15" i="12"/>
  <c r="E24" i="7"/>
  <c r="V10" i="7"/>
  <c r="V13" i="7"/>
  <c r="V11" i="7"/>
  <c r="V7" i="7"/>
  <c r="V14" i="7"/>
  <c r="V9" i="7"/>
  <c r="V12" i="7"/>
  <c r="V16" i="7"/>
  <c r="V8" i="7"/>
  <c r="F59" i="8"/>
  <c r="X17" i="8"/>
  <c r="AH15" i="8"/>
  <c r="G30" i="8" s="1"/>
  <c r="AS58" i="4"/>
  <c r="AE15" i="8"/>
  <c r="AP58" i="4"/>
  <c r="H7" i="8"/>
  <c r="H13" i="8"/>
  <c r="N27" i="8" s="1"/>
  <c r="H12" i="8"/>
  <c r="N26" i="8" s="1"/>
  <c r="H16" i="8"/>
  <c r="N30" i="8" s="1"/>
  <c r="H11" i="8"/>
  <c r="N25" i="8" s="1"/>
  <c r="H14" i="8"/>
  <c r="N28" i="8" s="1"/>
  <c r="H15" i="8"/>
  <c r="N29" i="8" s="1"/>
  <c r="H10" i="8"/>
  <c r="N24" i="8" s="1"/>
  <c r="H9" i="8"/>
  <c r="N23" i="8" s="1"/>
  <c r="V10" i="8"/>
  <c r="P24" i="8" s="1"/>
  <c r="O13" i="8"/>
  <c r="O27" i="8" s="1"/>
  <c r="O12" i="8"/>
  <c r="O26" i="8" s="1"/>
  <c r="O9" i="8"/>
  <c r="O23" i="8" s="1"/>
  <c r="O16" i="8"/>
  <c r="O30" i="8" s="1"/>
  <c r="O10" i="8"/>
  <c r="O24" i="8" s="1"/>
  <c r="O14" i="8"/>
  <c r="O28" i="8" s="1"/>
  <c r="O11" i="8"/>
  <c r="O25" i="8" s="1"/>
  <c r="O8" i="8"/>
  <c r="O22" i="8" s="1"/>
  <c r="O15" i="8"/>
  <c r="O29" i="8" s="1"/>
  <c r="Q58" i="4"/>
  <c r="V14" i="8" l="1"/>
  <c r="P28" i="8" s="1"/>
  <c r="V15" i="8"/>
  <c r="P29" i="8" s="1"/>
  <c r="V11" i="8"/>
  <c r="P25" i="8" s="1"/>
  <c r="V16" i="8"/>
  <c r="P30" i="8" s="1"/>
  <c r="K63" i="4"/>
  <c r="C33" i="17"/>
  <c r="AO63" i="4"/>
  <c r="F33" i="17"/>
  <c r="AE63" i="4"/>
  <c r="E33" i="17"/>
  <c r="V12" i="8"/>
  <c r="P26" i="8" s="1"/>
  <c r="V8" i="8"/>
  <c r="P22" i="8" s="1"/>
  <c r="V13" i="8"/>
  <c r="P27" i="8" s="1"/>
  <c r="V9" i="8"/>
  <c r="P23" i="8" s="1"/>
  <c r="C32" i="13"/>
  <c r="C173" i="13" s="1"/>
  <c r="C31" i="13"/>
  <c r="C162" i="13" s="1"/>
  <c r="C29" i="13"/>
  <c r="C28" i="13"/>
  <c r="C30" i="13"/>
  <c r="E7" i="13"/>
  <c r="E155" i="13" s="1"/>
  <c r="E32" i="8"/>
  <c r="C107" i="13"/>
  <c r="C172" i="13" s="1"/>
  <c r="C110" i="13"/>
  <c r="C112" i="13"/>
  <c r="C117" i="13"/>
  <c r="C109" i="13"/>
  <c r="C116" i="13"/>
  <c r="C118" i="13"/>
  <c r="C106" i="13"/>
  <c r="C119" i="13"/>
  <c r="C111" i="13"/>
  <c r="C114" i="13"/>
  <c r="C115" i="13"/>
  <c r="C113" i="13"/>
  <c r="C121" i="13"/>
  <c r="C108" i="13"/>
  <c r="C174" i="13" s="1"/>
  <c r="C120" i="13"/>
  <c r="D7" i="13"/>
  <c r="D65" i="13"/>
  <c r="D74" i="13"/>
  <c r="D71" i="13"/>
  <c r="D69" i="13"/>
  <c r="D64" i="13"/>
  <c r="D61" i="13"/>
  <c r="D73" i="13"/>
  <c r="D75" i="13"/>
  <c r="D62" i="13"/>
  <c r="D72" i="13"/>
  <c r="D63" i="13"/>
  <c r="D66" i="13"/>
  <c r="D67" i="13"/>
  <c r="D68" i="13"/>
  <c r="D70" i="13"/>
  <c r="F60" i="13"/>
  <c r="N16" i="13"/>
  <c r="E68" i="13"/>
  <c r="E74" i="13"/>
  <c r="E65" i="13"/>
  <c r="E71" i="13"/>
  <c r="E69" i="13"/>
  <c r="E63" i="13"/>
  <c r="E75" i="13"/>
  <c r="E62" i="13"/>
  <c r="E64" i="13"/>
  <c r="E72" i="13"/>
  <c r="E73" i="13"/>
  <c r="E67" i="13"/>
  <c r="E61" i="13"/>
  <c r="E66" i="13"/>
  <c r="E70" i="13"/>
  <c r="D110" i="13"/>
  <c r="D108" i="13"/>
  <c r="D174" i="13" s="1"/>
  <c r="D119" i="13"/>
  <c r="D112" i="13"/>
  <c r="D120" i="13"/>
  <c r="D113" i="13"/>
  <c r="D107" i="13"/>
  <c r="D172" i="13" s="1"/>
  <c r="D121" i="13"/>
  <c r="D114" i="13"/>
  <c r="D109" i="13"/>
  <c r="D117" i="13"/>
  <c r="D106" i="13"/>
  <c r="D111" i="13"/>
  <c r="D116" i="13"/>
  <c r="D118" i="13"/>
  <c r="D115" i="13"/>
  <c r="AC15" i="12"/>
  <c r="F105" i="13"/>
  <c r="N18" i="13"/>
  <c r="F27" i="13"/>
  <c r="N17" i="13"/>
  <c r="E29" i="13"/>
  <c r="E31" i="13"/>
  <c r="E162" i="13" s="1"/>
  <c r="E32" i="13"/>
  <c r="E173" i="13" s="1"/>
  <c r="E28" i="13"/>
  <c r="E30" i="13"/>
  <c r="E113" i="13"/>
  <c r="E116" i="13"/>
  <c r="E107" i="13"/>
  <c r="E172" i="13" s="1"/>
  <c r="E115" i="13"/>
  <c r="E119" i="13"/>
  <c r="E117" i="13"/>
  <c r="E167" i="13" s="1"/>
  <c r="E112" i="13"/>
  <c r="E120" i="13"/>
  <c r="E121" i="13"/>
  <c r="E108" i="13"/>
  <c r="E174" i="13" s="1"/>
  <c r="E109" i="13"/>
  <c r="E110" i="13"/>
  <c r="E114" i="13"/>
  <c r="E118" i="13"/>
  <c r="E106" i="13"/>
  <c r="E111" i="13"/>
  <c r="D29" i="13"/>
  <c r="D28" i="13"/>
  <c r="D31" i="13"/>
  <c r="D162" i="13" s="1"/>
  <c r="D32" i="13"/>
  <c r="D173" i="13" s="1"/>
  <c r="D30" i="13"/>
  <c r="F32" i="8"/>
  <c r="AC8" i="8"/>
  <c r="Q22" i="8" s="1"/>
  <c r="U3" i="4"/>
  <c r="AC15" i="7"/>
  <c r="AC7" i="7"/>
  <c r="AC16" i="8"/>
  <c r="Q30" i="8" s="1"/>
  <c r="AC7" i="8"/>
  <c r="Q21" i="8" s="1"/>
  <c r="AC9" i="8"/>
  <c r="Q23" i="8" s="1"/>
  <c r="AC12" i="8"/>
  <c r="Q26" i="8" s="1"/>
  <c r="AC14" i="8"/>
  <c r="Q28" i="8" s="1"/>
  <c r="AC11" i="8"/>
  <c r="Q25" i="8" s="1"/>
  <c r="AC15" i="8"/>
  <c r="Q29" i="8" s="1"/>
  <c r="AC10" i="8"/>
  <c r="Q24" i="8" s="1"/>
  <c r="AE3" i="4"/>
  <c r="G58" i="4"/>
  <c r="AK58" i="4"/>
  <c r="D46" i="11"/>
  <c r="H17" i="12"/>
  <c r="AA58" i="4"/>
  <c r="D46" i="12"/>
  <c r="H17" i="11"/>
  <c r="O17" i="12"/>
  <c r="O17" i="7"/>
  <c r="O17" i="11"/>
  <c r="D45" i="11"/>
  <c r="D45" i="12"/>
  <c r="E46" i="11"/>
  <c r="E45" i="11"/>
  <c r="V17" i="11"/>
  <c r="E45" i="7"/>
  <c r="G41" i="12"/>
  <c r="G33" i="12"/>
  <c r="AH17" i="12"/>
  <c r="G41" i="11"/>
  <c r="G33" i="11"/>
  <c r="AH17" i="11"/>
  <c r="F24" i="11"/>
  <c r="AC13" i="11"/>
  <c r="AC10" i="11"/>
  <c r="AC11" i="11"/>
  <c r="AC12" i="11"/>
  <c r="AC7" i="11"/>
  <c r="AC9" i="11"/>
  <c r="AC14" i="11"/>
  <c r="AC16" i="11"/>
  <c r="AC8" i="11"/>
  <c r="AC10" i="7"/>
  <c r="AC11" i="7"/>
  <c r="F24" i="7"/>
  <c r="AC13" i="7"/>
  <c r="AC12" i="7"/>
  <c r="AC14" i="7"/>
  <c r="AC9" i="7"/>
  <c r="AC16" i="7"/>
  <c r="AC8" i="7"/>
  <c r="E46" i="12"/>
  <c r="E45" i="12"/>
  <c r="V17" i="7"/>
  <c r="F24" i="12"/>
  <c r="AC13" i="12"/>
  <c r="AC10" i="12"/>
  <c r="AC11" i="12"/>
  <c r="AC12" i="12"/>
  <c r="AC7" i="12"/>
  <c r="AC14" i="12"/>
  <c r="AC9" i="12"/>
  <c r="AC16" i="12"/>
  <c r="AC8" i="12"/>
  <c r="G33" i="7"/>
  <c r="G41" i="7"/>
  <c r="AH17" i="7"/>
  <c r="V17" i="12"/>
  <c r="AC15" i="11"/>
  <c r="G59" i="8"/>
  <c r="AE17" i="8"/>
  <c r="N21" i="8"/>
  <c r="H17" i="8"/>
  <c r="O17" i="8"/>
  <c r="AU31" i="4"/>
  <c r="AU27" i="4"/>
  <c r="AU23" i="4"/>
  <c r="AY5" i="4"/>
  <c r="AU16" i="4"/>
  <c r="AU7" i="4"/>
  <c r="AU47" i="4"/>
  <c r="AU50" i="4"/>
  <c r="AU44" i="4"/>
  <c r="AU37" i="4"/>
  <c r="AU41" i="4"/>
  <c r="AH17" i="8"/>
  <c r="G32" i="8" s="1"/>
  <c r="V17" i="8"/>
  <c r="AE16" i="1"/>
  <c r="AP16" i="1"/>
  <c r="AO16" i="1"/>
  <c r="AQ15" i="1" s="1"/>
  <c r="N28" i="1" s="1"/>
  <c r="AN16" i="1"/>
  <c r="AM16" i="1"/>
  <c r="AL16" i="1"/>
  <c r="AI16" i="1"/>
  <c r="AH16" i="1"/>
  <c r="AG16" i="1"/>
  <c r="AF16" i="1"/>
  <c r="AB16" i="1"/>
  <c r="AA16" i="1"/>
  <c r="AC13" i="1" s="1"/>
  <c r="P27" i="1" s="1"/>
  <c r="Z16" i="1"/>
  <c r="Y16" i="1"/>
  <c r="X16" i="1"/>
  <c r="R16" i="1"/>
  <c r="S16" i="1"/>
  <c r="T16" i="1"/>
  <c r="V11" i="1" s="1"/>
  <c r="Q25" i="1" s="1"/>
  <c r="U16" i="1"/>
  <c r="Q16" i="1"/>
  <c r="K16" i="1"/>
  <c r="L16" i="1"/>
  <c r="M16" i="1"/>
  <c r="O8" i="1" s="1"/>
  <c r="R22" i="1" s="1"/>
  <c r="N16" i="1"/>
  <c r="J16" i="1"/>
  <c r="G16" i="1"/>
  <c r="F24" i="2"/>
  <c r="D2" i="2" s="1"/>
  <c r="F60" i="4" s="1"/>
  <c r="E19" i="2"/>
  <c r="D19" i="2"/>
  <c r="F18" i="2"/>
  <c r="F17" i="2"/>
  <c r="F16" i="2"/>
  <c r="F15" i="2"/>
  <c r="F14" i="2"/>
  <c r="F13" i="2"/>
  <c r="F12" i="2"/>
  <c r="F11" i="2"/>
  <c r="F10" i="2"/>
  <c r="F9" i="2"/>
  <c r="F8" i="2"/>
  <c r="F7" i="2"/>
  <c r="E170" i="13" l="1"/>
  <c r="E168" i="13"/>
  <c r="E164" i="13"/>
  <c r="D168" i="13"/>
  <c r="H1" i="4"/>
  <c r="G33" i="17"/>
  <c r="H33" i="17" s="1"/>
  <c r="D159" i="13"/>
  <c r="E156" i="13"/>
  <c r="D166" i="13"/>
  <c r="D167" i="13"/>
  <c r="D158" i="13"/>
  <c r="D164" i="13"/>
  <c r="E157" i="13"/>
  <c r="F7" i="13"/>
  <c r="F155" i="13" s="1"/>
  <c r="O17" i="13"/>
  <c r="K24" i="13" s="1"/>
  <c r="G27" i="13"/>
  <c r="D165" i="13"/>
  <c r="F28" i="13"/>
  <c r="F29" i="13"/>
  <c r="F30" i="13"/>
  <c r="F32" i="13"/>
  <c r="F173" i="13" s="1"/>
  <c r="F31" i="13"/>
  <c r="F162" i="13" s="1"/>
  <c r="AJ15" i="12"/>
  <c r="O18" i="13"/>
  <c r="G105" i="13"/>
  <c r="H105" i="13" s="1"/>
  <c r="E166" i="13"/>
  <c r="E171" i="13"/>
  <c r="F63" i="13"/>
  <c r="F65" i="13"/>
  <c r="F74" i="13"/>
  <c r="F64" i="13"/>
  <c r="F68" i="13"/>
  <c r="F61" i="13"/>
  <c r="F67" i="13"/>
  <c r="F62" i="13"/>
  <c r="F71" i="13"/>
  <c r="F66" i="13"/>
  <c r="F69" i="13"/>
  <c r="F73" i="13"/>
  <c r="F75" i="13"/>
  <c r="F70" i="13"/>
  <c r="F72" i="13"/>
  <c r="D157" i="13"/>
  <c r="E160" i="13"/>
  <c r="D160" i="13"/>
  <c r="D170" i="13"/>
  <c r="E161" i="13"/>
  <c r="E158" i="13"/>
  <c r="D171" i="13"/>
  <c r="AJ15" i="7"/>
  <c r="G60" i="13"/>
  <c r="O16" i="13"/>
  <c r="E33" i="13"/>
  <c r="F108" i="13"/>
  <c r="F174" i="13" s="1"/>
  <c r="F113" i="13"/>
  <c r="F112" i="13"/>
  <c r="F107" i="13"/>
  <c r="F172" i="13" s="1"/>
  <c r="F106" i="13"/>
  <c r="F120" i="13"/>
  <c r="F116" i="13"/>
  <c r="F117" i="13"/>
  <c r="F119" i="13"/>
  <c r="F109" i="13"/>
  <c r="F114" i="13"/>
  <c r="F115" i="13"/>
  <c r="F111" i="13"/>
  <c r="F110" i="13"/>
  <c r="F121" i="13"/>
  <c r="F118" i="13"/>
  <c r="D161" i="13"/>
  <c r="E165" i="13"/>
  <c r="D169" i="13"/>
  <c r="E169" i="13"/>
  <c r="E159" i="13"/>
  <c r="E163" i="13"/>
  <c r="D163" i="13"/>
  <c r="D156" i="13"/>
  <c r="D155" i="13"/>
  <c r="H4" i="4"/>
  <c r="P60" i="4"/>
  <c r="F61" i="4"/>
  <c r="AC17" i="8"/>
  <c r="AO3" i="4"/>
  <c r="AY63" i="4"/>
  <c r="AC17" i="7"/>
  <c r="F45" i="11"/>
  <c r="F46" i="11"/>
  <c r="F45" i="12"/>
  <c r="F46" i="12"/>
  <c r="G24" i="11"/>
  <c r="H16" i="13" s="1"/>
  <c r="AJ11" i="11"/>
  <c r="AJ13" i="11"/>
  <c r="AJ10" i="11"/>
  <c r="AJ12" i="11"/>
  <c r="AJ7" i="11"/>
  <c r="AJ14" i="11"/>
  <c r="AJ9" i="11"/>
  <c r="AJ16" i="11"/>
  <c r="AJ8" i="11"/>
  <c r="AC17" i="11"/>
  <c r="AJ10" i="7"/>
  <c r="AJ11" i="7"/>
  <c r="G24" i="7"/>
  <c r="AJ13" i="7"/>
  <c r="AJ12" i="7"/>
  <c r="AJ7" i="7"/>
  <c r="AJ14" i="7"/>
  <c r="AJ9" i="7"/>
  <c r="AJ16" i="7"/>
  <c r="AJ8" i="7"/>
  <c r="AC17" i="12"/>
  <c r="F45" i="7"/>
  <c r="AJ15" i="11"/>
  <c r="AJ7" i="12"/>
  <c r="AJ11" i="12"/>
  <c r="AJ13" i="12"/>
  <c r="AJ10" i="12"/>
  <c r="G24" i="12"/>
  <c r="H82" i="13" s="1"/>
  <c r="AJ12" i="12"/>
  <c r="AJ9" i="12"/>
  <c r="AJ14" i="12"/>
  <c r="AJ16" i="12"/>
  <c r="AJ8" i="12"/>
  <c r="AU58" i="4"/>
  <c r="AJ16" i="8"/>
  <c r="R30" i="8" s="1"/>
  <c r="AJ13" i="8"/>
  <c r="R27" i="8" s="1"/>
  <c r="AJ9" i="8"/>
  <c r="R23" i="8" s="1"/>
  <c r="AJ12" i="8"/>
  <c r="R26" i="8" s="1"/>
  <c r="AJ10" i="8"/>
  <c r="R24" i="8" s="1"/>
  <c r="AJ11" i="8"/>
  <c r="R25" i="8" s="1"/>
  <c r="AJ14" i="8"/>
  <c r="R28" i="8" s="1"/>
  <c r="AJ8" i="8"/>
  <c r="R22" i="8" s="1"/>
  <c r="AJ7" i="8"/>
  <c r="AJ15" i="8"/>
  <c r="R29" i="8" s="1"/>
  <c r="AJ11" i="1"/>
  <c r="O25" i="1" s="1"/>
  <c r="AJ15" i="1"/>
  <c r="O28" i="1" s="1"/>
  <c r="AJ8" i="1"/>
  <c r="O22" i="1" s="1"/>
  <c r="AJ7" i="1"/>
  <c r="O21" i="1" s="1"/>
  <c r="AJ6" i="1"/>
  <c r="O20" i="1" s="1"/>
  <c r="AJ9" i="1"/>
  <c r="O23" i="1" s="1"/>
  <c r="AJ10" i="1"/>
  <c r="O24" i="1" s="1"/>
  <c r="AJ14" i="1"/>
  <c r="O26" i="1" s="1"/>
  <c r="AJ13" i="1"/>
  <c r="O27" i="1" s="1"/>
  <c r="V10" i="1"/>
  <c r="Q24" i="1" s="1"/>
  <c r="O11" i="1"/>
  <c r="R25" i="1" s="1"/>
  <c r="O13" i="1"/>
  <c r="R27" i="1" s="1"/>
  <c r="O15" i="1"/>
  <c r="R28" i="1" s="1"/>
  <c r="O10" i="1"/>
  <c r="R24" i="1" s="1"/>
  <c r="O6" i="1"/>
  <c r="R20" i="1" s="1"/>
  <c r="O7" i="1"/>
  <c r="R21" i="1" s="1"/>
  <c r="O14" i="1"/>
  <c r="R26" i="1" s="1"/>
  <c r="V9" i="1"/>
  <c r="Q23" i="1" s="1"/>
  <c r="V7" i="1"/>
  <c r="Q21" i="1" s="1"/>
  <c r="V6" i="1"/>
  <c r="Q20" i="1" s="1"/>
  <c r="V13" i="1"/>
  <c r="Q27" i="1" s="1"/>
  <c r="V15" i="1"/>
  <c r="Q28" i="1" s="1"/>
  <c r="V14" i="1"/>
  <c r="Q26" i="1" s="1"/>
  <c r="AC14" i="1"/>
  <c r="P26" i="1" s="1"/>
  <c r="AC9" i="1"/>
  <c r="P23" i="1" s="1"/>
  <c r="AC11" i="1"/>
  <c r="P25" i="1" s="1"/>
  <c r="AC10" i="1"/>
  <c r="P24" i="1" s="1"/>
  <c r="AC8" i="1"/>
  <c r="P22" i="1" s="1"/>
  <c r="AC6" i="1"/>
  <c r="P20" i="1" s="1"/>
  <c r="AC7" i="1"/>
  <c r="P21" i="1" s="1"/>
  <c r="AC15" i="1"/>
  <c r="P28" i="1" s="1"/>
  <c r="AQ14" i="1"/>
  <c r="N26" i="1" s="1"/>
  <c r="AQ13" i="1"/>
  <c r="N27" i="1" s="1"/>
  <c r="AQ11" i="1"/>
  <c r="N25" i="1" s="1"/>
  <c r="AQ10" i="1"/>
  <c r="N24" i="1" s="1"/>
  <c r="AQ9" i="1"/>
  <c r="N23" i="1" s="1"/>
  <c r="AQ8" i="1"/>
  <c r="N22" i="1" s="1"/>
  <c r="AQ6" i="1"/>
  <c r="N20" i="1" s="1"/>
  <c r="AQ7" i="1"/>
  <c r="N21" i="1" s="1"/>
  <c r="V8" i="1"/>
  <c r="Q22" i="1" s="1"/>
  <c r="O9" i="1"/>
  <c r="R23" i="1" s="1"/>
  <c r="F16" i="1"/>
  <c r="H12" i="1" s="1"/>
  <c r="C16" i="1"/>
  <c r="D16" i="1"/>
  <c r="E16" i="1"/>
  <c r="F23" i="2"/>
  <c r="E4" i="2" s="1"/>
  <c r="F19" i="2"/>
  <c r="B35" i="17" l="1"/>
  <c r="B42" i="17"/>
  <c r="B51" i="17"/>
  <c r="B44" i="17"/>
  <c r="B50" i="17"/>
  <c r="B38" i="17"/>
  <c r="B36" i="17"/>
  <c r="B46" i="17"/>
  <c r="B39" i="17"/>
  <c r="B49" i="17"/>
  <c r="B37" i="17"/>
  <c r="B47" i="17"/>
  <c r="B48" i="17"/>
  <c r="B40" i="17"/>
  <c r="F171" i="13"/>
  <c r="F165" i="13"/>
  <c r="F157" i="13"/>
  <c r="F166" i="13"/>
  <c r="F156" i="13"/>
  <c r="F161" i="13"/>
  <c r="F170" i="13"/>
  <c r="F163" i="13"/>
  <c r="D175" i="13"/>
  <c r="F158" i="13"/>
  <c r="F164" i="13"/>
  <c r="G111" i="13"/>
  <c r="G113" i="13"/>
  <c r="G112" i="13"/>
  <c r="G116" i="13"/>
  <c r="G109" i="13"/>
  <c r="G120" i="13"/>
  <c r="G115" i="13"/>
  <c r="G110" i="13"/>
  <c r="G117" i="13"/>
  <c r="G106" i="13"/>
  <c r="G121" i="13"/>
  <c r="G108" i="13"/>
  <c r="G174" i="13" s="1"/>
  <c r="H174" i="13" s="1"/>
  <c r="G114" i="13"/>
  <c r="G118" i="13"/>
  <c r="G119" i="13"/>
  <c r="G107" i="13"/>
  <c r="G172" i="13" s="1"/>
  <c r="H172" i="13" s="1"/>
  <c r="F168" i="13"/>
  <c r="F169" i="13"/>
  <c r="P18" i="13"/>
  <c r="K25" i="13"/>
  <c r="G29" i="13"/>
  <c r="G30" i="13"/>
  <c r="G31" i="13"/>
  <c r="G162" i="13" s="1"/>
  <c r="G32" i="13"/>
  <c r="G173" i="13" s="1"/>
  <c r="H173" i="13" s="1"/>
  <c r="G28" i="13"/>
  <c r="P17" i="13"/>
  <c r="F159" i="13"/>
  <c r="G7" i="13"/>
  <c r="H27" i="13"/>
  <c r="F160" i="13"/>
  <c r="G66" i="13"/>
  <c r="G70" i="13"/>
  <c r="G65" i="13"/>
  <c r="G74" i="13"/>
  <c r="G72" i="13"/>
  <c r="G63" i="13"/>
  <c r="G61" i="13"/>
  <c r="G67" i="13"/>
  <c r="G73" i="13"/>
  <c r="G71" i="13"/>
  <c r="G69" i="13"/>
  <c r="G64" i="13"/>
  <c r="G75" i="13"/>
  <c r="G62" i="13"/>
  <c r="G68" i="13"/>
  <c r="F167" i="13"/>
  <c r="Z60" i="4"/>
  <c r="P61" i="4"/>
  <c r="AY3" i="4"/>
  <c r="AJ17" i="12"/>
  <c r="AJ17" i="7"/>
  <c r="G46" i="11"/>
  <c r="G45" i="11"/>
  <c r="G46" i="12"/>
  <c r="G45" i="12"/>
  <c r="G45" i="7"/>
  <c r="AJ17" i="11"/>
  <c r="H8" i="1"/>
  <c r="S22" i="1" s="1"/>
  <c r="H10" i="1"/>
  <c r="S24" i="1" s="1"/>
  <c r="AJ17" i="8"/>
  <c r="R21" i="8"/>
  <c r="AJ16" i="1"/>
  <c r="O16" i="1"/>
  <c r="H9" i="1"/>
  <c r="S23" i="1" s="1"/>
  <c r="H6" i="1"/>
  <c r="H11" i="1"/>
  <c r="S25" i="1" s="1"/>
  <c r="V16" i="1"/>
  <c r="AC16" i="1"/>
  <c r="AQ16" i="1"/>
  <c r="H13" i="1"/>
  <c r="S27" i="1" s="1"/>
  <c r="H15" i="1"/>
  <c r="S28" i="1" s="1"/>
  <c r="H7" i="1"/>
  <c r="S21" i="1" s="1"/>
  <c r="H14" i="1"/>
  <c r="S26" i="1" s="1"/>
  <c r="G158" i="13" l="1"/>
  <c r="G156" i="13"/>
  <c r="G167" i="13"/>
  <c r="G160" i="13"/>
  <c r="G159" i="13"/>
  <c r="G170" i="13"/>
  <c r="G169" i="13"/>
  <c r="G165" i="13"/>
  <c r="F175" i="13"/>
  <c r="G155" i="13"/>
  <c r="G157" i="13"/>
  <c r="G168" i="13"/>
  <c r="G164" i="13"/>
  <c r="G166" i="13"/>
  <c r="G163" i="13"/>
  <c r="G171" i="13"/>
  <c r="G161" i="13"/>
  <c r="AJ60" i="4"/>
  <c r="Z61" i="4"/>
  <c r="H16" i="1"/>
  <c r="S20" i="1"/>
  <c r="G175" i="13" l="1"/>
  <c r="AT60" i="4"/>
  <c r="AT61" i="4" s="1"/>
  <c r="AJ61" i="4"/>
  <c r="F33" i="13"/>
  <c r="C33" i="13"/>
  <c r="H117" i="13"/>
  <c r="H116" i="13"/>
  <c r="H120" i="13"/>
  <c r="H112" i="13"/>
  <c r="H32" i="13"/>
  <c r="H29" i="13"/>
  <c r="H119" i="13"/>
  <c r="H109" i="13"/>
  <c r="H113" i="13"/>
  <c r="H118" i="13"/>
  <c r="H31" i="13"/>
  <c r="H108" i="13"/>
  <c r="H121" i="13"/>
  <c r="H111" i="13"/>
  <c r="H30" i="13"/>
  <c r="H107" i="13"/>
  <c r="H28" i="13"/>
  <c r="G33" i="13"/>
  <c r="H115" i="13"/>
  <c r="F122" i="13"/>
  <c r="D122" i="13"/>
  <c r="C122" i="13"/>
  <c r="H110" i="13"/>
  <c r="E122" i="13"/>
  <c r="D33" i="13"/>
  <c r="H114" i="13"/>
  <c r="H106" i="13"/>
  <c r="G122" i="13"/>
  <c r="H33" i="13" l="1"/>
  <c r="H122" i="13"/>
  <c r="F9" i="7" l="1"/>
  <c r="F7" i="7"/>
  <c r="F16" i="7"/>
  <c r="F8" i="7"/>
  <c r="F11" i="7"/>
  <c r="F13" i="7"/>
  <c r="F12" i="7"/>
  <c r="F15" i="7"/>
  <c r="F10" i="7"/>
  <c r="F14" i="7"/>
  <c r="C29" i="7" l="1"/>
  <c r="C37" i="7"/>
  <c r="C41" i="7"/>
  <c r="C33" i="7"/>
  <c r="C30" i="7"/>
  <c r="C38" i="7"/>
  <c r="C39" i="7"/>
  <c r="C31" i="7"/>
  <c r="C40" i="7"/>
  <c r="C32" i="7"/>
  <c r="F17" i="7"/>
  <c r="K16" i="13" l="1"/>
  <c r="C60" i="13"/>
  <c r="H11" i="7"/>
  <c r="C24" i="7"/>
  <c r="H13" i="7"/>
  <c r="H14" i="7"/>
  <c r="H10" i="7"/>
  <c r="H7" i="7"/>
  <c r="H8" i="7"/>
  <c r="H16" i="7"/>
  <c r="H9" i="7"/>
  <c r="H12" i="7"/>
  <c r="H15" i="7"/>
  <c r="K3" i="4" l="1"/>
  <c r="H38" i="13"/>
  <c r="C62" i="13"/>
  <c r="C157" i="13" s="1"/>
  <c r="C66" i="13"/>
  <c r="C161" i="13" s="1"/>
  <c r="H161" i="13" s="1"/>
  <c r="C72" i="13"/>
  <c r="C168" i="13" s="1"/>
  <c r="H168" i="13" s="1"/>
  <c r="C64" i="13"/>
  <c r="C159" i="13" s="1"/>
  <c r="H159" i="13" s="1"/>
  <c r="C70" i="13"/>
  <c r="C166" i="13" s="1"/>
  <c r="H166" i="13" s="1"/>
  <c r="C74" i="13"/>
  <c r="C170" i="13" s="1"/>
  <c r="H170" i="13" s="1"/>
  <c r="C68" i="13"/>
  <c r="C164" i="13" s="1"/>
  <c r="H164" i="13" s="1"/>
  <c r="C71" i="13"/>
  <c r="C167" i="13" s="1"/>
  <c r="H167" i="13" s="1"/>
  <c r="C65" i="13"/>
  <c r="C160" i="13" s="1"/>
  <c r="H160" i="13" s="1"/>
  <c r="C67" i="13"/>
  <c r="C163" i="13" s="1"/>
  <c r="H163" i="13" s="1"/>
  <c r="C61" i="13"/>
  <c r="C156" i="13" s="1"/>
  <c r="C63" i="13"/>
  <c r="C158" i="13" s="1"/>
  <c r="H158" i="13" s="1"/>
  <c r="C69" i="13"/>
  <c r="C165" i="13" s="1"/>
  <c r="H165" i="13" s="1"/>
  <c r="C75" i="13"/>
  <c r="C171" i="13" s="1"/>
  <c r="H171" i="13" s="1"/>
  <c r="C73" i="13"/>
  <c r="C169" i="13" s="1"/>
  <c r="H169" i="13" s="1"/>
  <c r="H60" i="13"/>
  <c r="C7" i="13"/>
  <c r="P16" i="13"/>
  <c r="H3" i="4"/>
  <c r="D46" i="7"/>
  <c r="D45" i="7"/>
  <c r="E46" i="7"/>
  <c r="F46" i="7"/>
  <c r="G46" i="7"/>
  <c r="H17" i="7"/>
  <c r="Q16" i="13" l="1"/>
  <c r="Q17" i="13"/>
  <c r="E16" i="13" s="1"/>
  <c r="Q18" i="13"/>
  <c r="C82" i="13" s="1"/>
  <c r="C89" i="13" s="1"/>
  <c r="C155" i="13"/>
  <c r="H155" i="13" s="1"/>
  <c r="H7" i="13"/>
  <c r="F16" i="13"/>
  <c r="G16" i="13"/>
  <c r="C38" i="13"/>
  <c r="G38" i="13"/>
  <c r="D38" i="13"/>
  <c r="D52" i="13" s="1"/>
  <c r="F38" i="13"/>
  <c r="F39" i="13" s="1"/>
  <c r="E38" i="13"/>
  <c r="D16" i="13"/>
  <c r="C16" i="13"/>
  <c r="D82" i="13"/>
  <c r="E82" i="13"/>
  <c r="C175" i="13"/>
  <c r="H156" i="13"/>
  <c r="E89" i="13" l="1"/>
  <c r="E86" i="13"/>
  <c r="E85" i="13"/>
  <c r="E92" i="13"/>
  <c r="D89" i="13"/>
  <c r="G47" i="13"/>
  <c r="G40" i="13"/>
  <c r="G50" i="13"/>
  <c r="C46" i="13"/>
  <c r="C53" i="13"/>
  <c r="F82" i="13"/>
  <c r="F89" i="13" s="1"/>
  <c r="G82" i="13"/>
  <c r="G89" i="13" s="1"/>
  <c r="C91" i="13"/>
  <c r="C88" i="13"/>
  <c r="C94" i="13"/>
  <c r="C96" i="13"/>
  <c r="C129" i="13"/>
  <c r="C87" i="13"/>
  <c r="C95" i="13"/>
  <c r="C10" i="13"/>
  <c r="C86" i="13"/>
  <c r="C84" i="13"/>
  <c r="C90" i="13"/>
  <c r="C83" i="13"/>
  <c r="C97" i="13"/>
  <c r="C85" i="13"/>
  <c r="C98" i="13"/>
  <c r="C93" i="13"/>
  <c r="C92" i="13"/>
  <c r="E9" i="13"/>
  <c r="E20" i="13"/>
  <c r="E138" i="13" s="1"/>
  <c r="E18" i="13"/>
  <c r="E19" i="13"/>
  <c r="E17" i="13"/>
  <c r="E21" i="13"/>
  <c r="E144" i="13" s="1"/>
  <c r="G9" i="13"/>
  <c r="G20" i="13"/>
  <c r="G138" i="13" s="1"/>
  <c r="G21" i="13"/>
  <c r="G144" i="13" s="1"/>
  <c r="G17" i="13"/>
  <c r="G18" i="13"/>
  <c r="G19" i="13"/>
  <c r="D20" i="13"/>
  <c r="D138" i="13" s="1"/>
  <c r="D18" i="13"/>
  <c r="D17" i="13"/>
  <c r="D21" i="13"/>
  <c r="D144" i="13" s="1"/>
  <c r="D19" i="13"/>
  <c r="D9" i="13"/>
  <c r="D92" i="13"/>
  <c r="D85" i="13"/>
  <c r="D96" i="13"/>
  <c r="D88" i="13"/>
  <c r="D98" i="13"/>
  <c r="D84" i="13"/>
  <c r="D143" i="13" s="1"/>
  <c r="D90" i="13"/>
  <c r="D10" i="13"/>
  <c r="D94" i="13"/>
  <c r="D83" i="13"/>
  <c r="D95" i="13"/>
  <c r="D86" i="13"/>
  <c r="D87" i="13"/>
  <c r="D93" i="13"/>
  <c r="F20" i="13"/>
  <c r="F138" i="13" s="1"/>
  <c r="F9" i="13"/>
  <c r="F18" i="13"/>
  <c r="F21" i="13"/>
  <c r="F144" i="13" s="1"/>
  <c r="F17" i="13"/>
  <c r="F19" i="13"/>
  <c r="F49" i="13"/>
  <c r="F46" i="13"/>
  <c r="F45" i="13"/>
  <c r="F8" i="13"/>
  <c r="F53" i="13"/>
  <c r="F52" i="13"/>
  <c r="F43" i="13"/>
  <c r="F47" i="13"/>
  <c r="H162" i="13" s="1"/>
  <c r="F48" i="13"/>
  <c r="F44" i="13"/>
  <c r="F50" i="13"/>
  <c r="F40" i="13"/>
  <c r="F51" i="13"/>
  <c r="F42" i="13"/>
  <c r="F41" i="13"/>
  <c r="C139" i="13"/>
  <c r="C49" i="13"/>
  <c r="C40" i="13"/>
  <c r="C44" i="13"/>
  <c r="C136" i="13" s="1"/>
  <c r="C47" i="13"/>
  <c r="C41" i="13"/>
  <c r="C8" i="13"/>
  <c r="C45" i="13"/>
  <c r="C51" i="13"/>
  <c r="C39" i="13"/>
  <c r="C42" i="13"/>
  <c r="C43" i="13"/>
  <c r="C48" i="13"/>
  <c r="C140" i="13" s="1"/>
  <c r="C52" i="13"/>
  <c r="C50" i="13"/>
  <c r="E44" i="13"/>
  <c r="E39" i="13"/>
  <c r="E52" i="13"/>
  <c r="E48" i="13"/>
  <c r="E45" i="13"/>
  <c r="E50" i="13"/>
  <c r="E8" i="13"/>
  <c r="E40" i="13"/>
  <c r="E49" i="13"/>
  <c r="E41" i="13"/>
  <c r="E42" i="13"/>
  <c r="E53" i="13"/>
  <c r="E43" i="13"/>
  <c r="E51" i="13"/>
  <c r="E46" i="13"/>
  <c r="E175" i="13" s="1"/>
  <c r="E47" i="13"/>
  <c r="D40" i="13"/>
  <c r="D131" i="13" s="1"/>
  <c r="D47" i="13"/>
  <c r="D45" i="13"/>
  <c r="D137" i="13" s="1"/>
  <c r="D8" i="13"/>
  <c r="D43" i="13"/>
  <c r="D46" i="13"/>
  <c r="D49" i="13"/>
  <c r="D50" i="13"/>
  <c r="D53" i="13"/>
  <c r="D147" i="13" s="1"/>
  <c r="D44" i="13"/>
  <c r="D39" i="13"/>
  <c r="D51" i="13"/>
  <c r="D42" i="13"/>
  <c r="D48" i="13"/>
  <c r="D41" i="13"/>
  <c r="C20" i="13"/>
  <c r="C17" i="13"/>
  <c r="C19" i="13"/>
  <c r="C18" i="13"/>
  <c r="C21" i="13"/>
  <c r="C9" i="13"/>
  <c r="G129" i="13"/>
  <c r="G84" i="13"/>
  <c r="G143" i="13" s="1"/>
  <c r="G88" i="13"/>
  <c r="G96" i="13"/>
  <c r="G87" i="13"/>
  <c r="G92" i="13"/>
  <c r="G98" i="13"/>
  <c r="G10" i="13"/>
  <c r="G93" i="13"/>
  <c r="G94" i="13"/>
  <c r="G91" i="13"/>
  <c r="G83" i="13"/>
  <c r="G86" i="13"/>
  <c r="G90" i="13"/>
  <c r="G85" i="13"/>
  <c r="G95" i="13"/>
  <c r="G97" i="13"/>
  <c r="G53" i="13"/>
  <c r="G41" i="13"/>
  <c r="G46" i="13"/>
  <c r="G44" i="13"/>
  <c r="G48" i="13"/>
  <c r="G42" i="13"/>
  <c r="G49" i="13"/>
  <c r="G39" i="13"/>
  <c r="G8" i="13"/>
  <c r="G51" i="13"/>
  <c r="G52" i="13"/>
  <c r="G45" i="13"/>
  <c r="G43" i="13"/>
  <c r="F84" i="13"/>
  <c r="F143" i="13" s="1"/>
  <c r="F93" i="13"/>
  <c r="F87" i="13"/>
  <c r="F85" i="13"/>
  <c r="F83" i="13"/>
  <c r="F98" i="13"/>
  <c r="F97" i="13"/>
  <c r="F86" i="13"/>
  <c r="F94" i="13"/>
  <c r="F88" i="13"/>
  <c r="F92" i="13"/>
  <c r="F95" i="13"/>
  <c r="F10" i="13"/>
  <c r="F96" i="13"/>
  <c r="F146" i="13" s="1"/>
  <c r="F129" i="13"/>
  <c r="E87" i="13"/>
  <c r="E93" i="13"/>
  <c r="E88" i="13"/>
  <c r="E98" i="13"/>
  <c r="E84" i="13"/>
  <c r="E143" i="13" s="1"/>
  <c r="E83" i="13"/>
  <c r="E96" i="13"/>
  <c r="E10" i="13"/>
  <c r="E95" i="13"/>
  <c r="E97" i="13"/>
  <c r="E91" i="13"/>
  <c r="E129" i="13"/>
  <c r="E90" i="13"/>
  <c r="E94" i="13"/>
  <c r="D129" i="13"/>
  <c r="G136" i="13" l="1"/>
  <c r="D135" i="13"/>
  <c r="F142" i="13"/>
  <c r="C146" i="13"/>
  <c r="D136" i="13"/>
  <c r="E136" i="13"/>
  <c r="H157" i="13"/>
  <c r="H175" i="13" s="1"/>
  <c r="F136" i="13"/>
  <c r="E145" i="13"/>
  <c r="G146" i="13"/>
  <c r="F141" i="13"/>
  <c r="E139" i="13"/>
  <c r="F133" i="13"/>
  <c r="D146" i="13"/>
  <c r="E141" i="13"/>
  <c r="C142" i="13"/>
  <c r="E135" i="13"/>
  <c r="G142" i="13"/>
  <c r="G140" i="13"/>
  <c r="C135" i="13"/>
  <c r="D133" i="13"/>
  <c r="E146" i="13"/>
  <c r="D142" i="13"/>
  <c r="D141" i="13"/>
  <c r="D45" i="17" s="1"/>
  <c r="H45" i="17" s="1"/>
  <c r="B45" i="17" s="1"/>
  <c r="G141" i="13"/>
  <c r="D140" i="13"/>
  <c r="F135" i="13"/>
  <c r="D134" i="13"/>
  <c r="F134" i="13"/>
  <c r="G135" i="13"/>
  <c r="E140" i="13"/>
  <c r="C133" i="13"/>
  <c r="F145" i="13"/>
  <c r="E131" i="13"/>
  <c r="C145" i="13"/>
  <c r="E133" i="13"/>
  <c r="F137" i="13"/>
  <c r="F41" i="17" s="1"/>
  <c r="H41" i="17" s="1"/>
  <c r="B41" i="17" s="1"/>
  <c r="G134" i="13"/>
  <c r="C141" i="13"/>
  <c r="F140" i="13"/>
  <c r="G139" i="13"/>
  <c r="D139" i="13"/>
  <c r="D43" i="17" s="1"/>
  <c r="G131" i="13"/>
  <c r="E147" i="13"/>
  <c r="E132" i="13"/>
  <c r="G137" i="13"/>
  <c r="E134" i="13"/>
  <c r="E137" i="13"/>
  <c r="F131" i="13"/>
  <c r="F147" i="13"/>
  <c r="D145" i="13"/>
  <c r="D132" i="13"/>
  <c r="F132" i="13"/>
  <c r="E142" i="13"/>
  <c r="F99" i="13"/>
  <c r="G147" i="13"/>
  <c r="F139" i="13"/>
  <c r="F43" i="17" s="1"/>
  <c r="G132" i="13"/>
  <c r="C130" i="13"/>
  <c r="G133" i="13"/>
  <c r="H18" i="13"/>
  <c r="C132" i="13"/>
  <c r="D99" i="13"/>
  <c r="E22" i="13"/>
  <c r="H85" i="13"/>
  <c r="H95" i="13"/>
  <c r="H19" i="13"/>
  <c r="C134" i="13"/>
  <c r="H97" i="13"/>
  <c r="H87" i="13"/>
  <c r="H98" i="13"/>
  <c r="E99" i="13"/>
  <c r="E130" i="13"/>
  <c r="G99" i="13"/>
  <c r="H17" i="13"/>
  <c r="C131" i="13"/>
  <c r="C22" i="13"/>
  <c r="C99" i="13"/>
  <c r="H83" i="13"/>
  <c r="H10" i="13"/>
  <c r="C147" i="13"/>
  <c r="G54" i="13"/>
  <c r="G130" i="13"/>
  <c r="C138" i="13"/>
  <c r="H20" i="13"/>
  <c r="G22" i="13"/>
  <c r="H90" i="13"/>
  <c r="H96" i="13"/>
  <c r="F130" i="13"/>
  <c r="H8" i="13"/>
  <c r="H9" i="13"/>
  <c r="H84" i="13"/>
  <c r="C143" i="13"/>
  <c r="H94" i="13"/>
  <c r="C144" i="13"/>
  <c r="H21" i="13"/>
  <c r="F22" i="13"/>
  <c r="H92" i="13"/>
  <c r="H89" i="13"/>
  <c r="H88" i="13"/>
  <c r="G145" i="13"/>
  <c r="D22" i="13"/>
  <c r="H93" i="13"/>
  <c r="H86" i="13"/>
  <c r="H91" i="13"/>
  <c r="H129" i="13"/>
  <c r="H66" i="13"/>
  <c r="E76" i="13"/>
  <c r="H52" i="13"/>
  <c r="H45" i="13"/>
  <c r="H61" i="13"/>
  <c r="H49" i="13"/>
  <c r="H68" i="13"/>
  <c r="H46" i="13"/>
  <c r="C54" i="13"/>
  <c r="H72" i="13"/>
  <c r="D76" i="13"/>
  <c r="H42" i="13"/>
  <c r="H75" i="13"/>
  <c r="H39" i="13"/>
  <c r="C76" i="13"/>
  <c r="H67" i="13"/>
  <c r="C137" i="13"/>
  <c r="H65" i="13"/>
  <c r="H69" i="13"/>
  <c r="G76" i="13"/>
  <c r="H70" i="13"/>
  <c r="H50" i="13"/>
  <c r="H48" i="13"/>
  <c r="E54" i="13"/>
  <c r="H71" i="13"/>
  <c r="H51" i="13"/>
  <c r="H73" i="13"/>
  <c r="D130" i="13"/>
  <c r="H47" i="13"/>
  <c r="H74" i="13"/>
  <c r="F76" i="13"/>
  <c r="F54" i="13"/>
  <c r="D54" i="13"/>
  <c r="H64" i="13"/>
  <c r="H40" i="13"/>
  <c r="H53" i="13"/>
  <c r="H41" i="13"/>
  <c r="H62" i="13"/>
  <c r="H44" i="13"/>
  <c r="H43" i="13"/>
  <c r="H63" i="13"/>
  <c r="H43" i="17" l="1"/>
  <c r="B43" i="17" s="1"/>
  <c r="G34" i="17"/>
  <c r="H146" i="13"/>
  <c r="B146" i="13" s="1"/>
  <c r="H135" i="13"/>
  <c r="B135" i="13" s="1"/>
  <c r="H136" i="13"/>
  <c r="B136" i="13" s="1"/>
  <c r="H134" i="13"/>
  <c r="B134" i="13" s="1"/>
  <c r="H141" i="13"/>
  <c r="B141" i="13" s="1"/>
  <c r="H140" i="13"/>
  <c r="B140" i="13" s="1"/>
  <c r="H145" i="13"/>
  <c r="B145" i="13" s="1"/>
  <c r="H132" i="13"/>
  <c r="B132" i="13" s="1"/>
  <c r="G148" i="13"/>
  <c r="H133" i="13"/>
  <c r="B133" i="13" s="1"/>
  <c r="D148" i="13"/>
  <c r="D34" i="17"/>
  <c r="H131" i="13"/>
  <c r="B131" i="13" s="1"/>
  <c r="H144" i="13"/>
  <c r="B144" i="13" s="1"/>
  <c r="H139" i="13"/>
  <c r="B139" i="13" s="1"/>
  <c r="H137" i="13"/>
  <c r="B137" i="13" s="1"/>
  <c r="E148" i="13"/>
  <c r="E34" i="17" s="1"/>
  <c r="H138" i="13"/>
  <c r="B138" i="13" s="1"/>
  <c r="H142" i="13"/>
  <c r="B142" i="13" s="1"/>
  <c r="H143" i="13"/>
  <c r="B143" i="13" s="1"/>
  <c r="I8" i="13"/>
  <c r="C24" i="17"/>
  <c r="C12" i="17"/>
  <c r="F148" i="13"/>
  <c r="F34" i="17" s="1"/>
  <c r="H147" i="13"/>
  <c r="B147" i="13" s="1"/>
  <c r="I10" i="13"/>
  <c r="C25" i="17"/>
  <c r="I9" i="13"/>
  <c r="C13" i="17"/>
  <c r="H99" i="13"/>
  <c r="H22" i="13"/>
  <c r="C148" i="13"/>
  <c r="C34" i="17" s="1"/>
  <c r="B168" i="13"/>
  <c r="B166" i="13"/>
  <c r="B172" i="13"/>
  <c r="B165" i="13"/>
  <c r="B157" i="13"/>
  <c r="B160" i="13"/>
  <c r="B169" i="13"/>
  <c r="B170" i="13"/>
  <c r="B162" i="13"/>
  <c r="B156" i="13"/>
  <c r="B158" i="13"/>
  <c r="B171" i="13"/>
  <c r="B167" i="13"/>
  <c r="B159" i="13"/>
  <c r="B164" i="13"/>
  <c r="B163" i="13"/>
  <c r="B173" i="13"/>
  <c r="B161" i="13"/>
  <c r="B174" i="13"/>
  <c r="H130" i="13"/>
  <c r="H76" i="13"/>
  <c r="H54" i="13"/>
  <c r="D52" i="17" l="1"/>
  <c r="E52" i="17"/>
  <c r="C14" i="17"/>
  <c r="B12" i="17" s="1"/>
  <c r="C52" i="17"/>
  <c r="F52" i="17"/>
  <c r="H34" i="17"/>
  <c r="B34" i="17" s="1"/>
  <c r="G52" i="17"/>
  <c r="C26" i="17"/>
  <c r="B24" i="17" s="1"/>
  <c r="B175" i="13"/>
  <c r="B130" i="13"/>
  <c r="B148" i="13" s="1"/>
  <c r="H148" i="13"/>
  <c r="H2" i="4" s="1"/>
  <c r="B13" i="17" l="1"/>
  <c r="B14" i="17" s="1"/>
  <c r="H52" i="17"/>
  <c r="B25" i="17"/>
  <c r="B26" i="17" s="1"/>
  <c r="L25" i="13"/>
  <c r="L2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tc={2C0AE8E0-D9CF-4180-A189-C1F1C21EC929}</author>
    <author>tc={C1878426-2037-4ABD-AFDC-50C463B9B99F}</author>
    <author>tc={EF66B5CB-CE16-4364-8E3C-ACD675BB1381}</author>
  </authors>
  <commentList>
    <comment ref="E20" authorId="0" shapeId="0" xr:uid="{2C0AE8E0-D9CF-4180-A189-C1F1C21EC929}">
      <text>
        <t>[Threaded comment]
Your version of Excel allows you to read this threaded comment; however, any edits to it will get removed if the file is opened in a newer version of Excel. Learn more: https://go.microsoft.com/fwlink/?linkid=870924
Comment:
    Assumes new measured developed in 2025 will sunset this year.</t>
      </text>
    </comment>
    <comment ref="F20" authorId="1" shapeId="0" xr:uid="{C1878426-2037-4ABD-AFDC-50C463B9B99F}">
      <text>
        <t>[Threaded comment]
Your version of Excel allows you to read this threaded comment; however, any edits to it will get removed if the file is opened in a newer version of Excel. Learn more: https://go.microsoft.com/fwlink/?linkid=870924
Comment:
    Assumes new measures developed in 2026 will sunset this year.</t>
      </text>
    </comment>
    <comment ref="A25" authorId="2" shapeId="0" xr:uid="{EF66B5CB-CE16-4364-8E3C-ACD675BB1381}">
      <text>
        <t>[Threaded comment]
Your version of Excel allows you to read this threaded comment; however, any edits to it will get removed if the file is opened in a newer version of Excel. Learn more: https://go.microsoft.com/fwlink/?linkid=870924
Comment:
    Need to sort through this as there are some dual fuel that are flexible</t>
      </text>
    </comment>
  </commentList>
</comments>
</file>

<file path=xl/sharedStrings.xml><?xml version="1.0" encoding="utf-8"?>
<sst xmlns="http://schemas.openxmlformats.org/spreadsheetml/2006/main" count="2102" uniqueCount="589">
  <si>
    <t>Latest RTF Decision</t>
  </si>
  <si>
    <t>Sunset Date</t>
  </si>
  <si>
    <t>Notes</t>
  </si>
  <si>
    <t>Residential Refrigerators and Freezers</t>
  </si>
  <si>
    <t>residential</t>
  </si>
  <si>
    <t>appliances</t>
  </si>
  <si>
    <t>electric</t>
  </si>
  <si>
    <t>proven</t>
  </si>
  <si>
    <t>active</t>
  </si>
  <si>
    <t>January 2019</t>
  </si>
  <si>
    <t>UES</t>
  </si>
  <si>
    <t>x</t>
  </si>
  <si>
    <t>Assumes 1 update</t>
  </si>
  <si>
    <t>Steamers</t>
  </si>
  <si>
    <t>commercial</t>
  </si>
  <si>
    <t>cooking equipment</t>
  </si>
  <si>
    <t>small saver</t>
  </si>
  <si>
    <t>May 2021</t>
  </si>
  <si>
    <t>Convection Ovens</t>
  </si>
  <si>
    <t>June 2021</t>
  </si>
  <si>
    <t>Rack Ovens</t>
  </si>
  <si>
    <t>gas</t>
  </si>
  <si>
    <t>Combination Ovens</t>
  </si>
  <si>
    <t>planning</t>
  </si>
  <si>
    <t>July 2021</t>
  </si>
  <si>
    <t>Fryers</t>
  </si>
  <si>
    <t>planning, small saver</t>
  </si>
  <si>
    <t>Griddles</t>
  </si>
  <si>
    <t>Hot Food Holding Cabinets</t>
  </si>
  <si>
    <t>Doorway Air Curtains</t>
  </si>
  <si>
    <t>grocery</t>
  </si>
  <si>
    <t>March 2023</t>
  </si>
  <si>
    <t>Floating Head Pressure Controls for Single Compressor Systems</t>
  </si>
  <si>
    <t>July 2019</t>
  </si>
  <si>
    <t>Strip Curtains</t>
  </si>
  <si>
    <t>Residential Gas Furnaces</t>
  </si>
  <si>
    <t>HVAC</t>
  </si>
  <si>
    <t>Industrial SEM</t>
  </si>
  <si>
    <t>industrial</t>
  </si>
  <si>
    <t>whole buildings</t>
  </si>
  <si>
    <t>Potato/Onion Shed Variable Frequency Drives</t>
  </si>
  <si>
    <t>agricultural</t>
  </si>
  <si>
    <t>motors/drives</t>
  </si>
  <si>
    <t>August 2019</t>
  </si>
  <si>
    <t>Small Commercial DHPs</t>
  </si>
  <si>
    <t>August 2021</t>
  </si>
  <si>
    <t>Air Source Heat Pump Upgrades and Conversions MH</t>
  </si>
  <si>
    <t>planning, proven</t>
  </si>
  <si>
    <t>under review</t>
  </si>
  <si>
    <t>Air Source Heat Pump Upgrades and Conversions SF</t>
  </si>
  <si>
    <t>High Efficiency Residential Central Air Conditioners</t>
  </si>
  <si>
    <t>January 2023</t>
  </si>
  <si>
    <t>New Homes Standard Protocol</t>
  </si>
  <si>
    <t>new construction</t>
  </si>
  <si>
    <t>February 2022</t>
  </si>
  <si>
    <t>Standard Protocol</t>
  </si>
  <si>
    <t>Ductless Heat Pump for Forced Air Furnace SF and MH</t>
  </si>
  <si>
    <t>September 2021</t>
  </si>
  <si>
    <t>Ductless Heat Pumps for Multifamily</t>
  </si>
  <si>
    <t>Commercial Timers on Water Coolers</t>
  </si>
  <si>
    <t>plug loads</t>
  </si>
  <si>
    <t>October 2021</t>
  </si>
  <si>
    <t>Residential Air Purifiers</t>
  </si>
  <si>
    <t>Retrofit Doors on Existing Display Cases</t>
  </si>
  <si>
    <t>Ductless Heat Pumps for Zonal Heat MH</t>
  </si>
  <si>
    <t>October 2019</t>
  </si>
  <si>
    <t>Ductless Heat Pumps for Zonal Heat SF</t>
  </si>
  <si>
    <t>New Manufactured Homes and HVAC</t>
  </si>
  <si>
    <t>May 2023</t>
  </si>
  <si>
    <t>Consumer Heat Pump Water Heater in Commercial Applications</t>
  </si>
  <si>
    <t>DHW</t>
  </si>
  <si>
    <t>January 2021</t>
  </si>
  <si>
    <t>Assumes 2 updates</t>
  </si>
  <si>
    <t>Residential Heat Pump Water Heaters</t>
  </si>
  <si>
    <t>April 2022</t>
  </si>
  <si>
    <t>Non-Residential Lighting Midstream</t>
  </si>
  <si>
    <t>agricultural, commercial, industrial</t>
  </si>
  <si>
    <t>lighting</t>
  </si>
  <si>
    <t>December 2022</t>
  </si>
  <si>
    <t>MH Duct Sealing</t>
  </si>
  <si>
    <t>heating/cooling</t>
  </si>
  <si>
    <t>December 2021</t>
  </si>
  <si>
    <t>Door Sweeps</t>
  </si>
  <si>
    <t>weatherization</t>
  </si>
  <si>
    <t>DR Technologies</t>
  </si>
  <si>
    <t>commercial, residential</t>
  </si>
  <si>
    <t>High Efficiency Decoupled Commercial HVAC Retrofits (DOAS)</t>
  </si>
  <si>
    <t>February 2023</t>
  </si>
  <si>
    <t>Irrigation Reduction for Orchards and Vineyards</t>
  </si>
  <si>
    <t>Irrigation</t>
  </si>
  <si>
    <t>Irrigation Pump Controls Demand Response</t>
  </si>
  <si>
    <t>irrigation</t>
  </si>
  <si>
    <t>May 2019</t>
  </si>
  <si>
    <t>water heating</t>
  </si>
  <si>
    <t>June 2019</t>
  </si>
  <si>
    <t>to be determined</t>
  </si>
  <si>
    <t>Residential Lighting</t>
  </si>
  <si>
    <t>September 2023</t>
  </si>
  <si>
    <t>Assumes 3 updates</t>
  </si>
  <si>
    <t>Non-Residential Lighting Retrofits</t>
  </si>
  <si>
    <t>Connected Thermostats</t>
  </si>
  <si>
    <t>January 2022</t>
  </si>
  <si>
    <t>Commercial &amp; Industrial Fans</t>
  </si>
  <si>
    <t>commercial, industrial</t>
  </si>
  <si>
    <t>Fans</t>
  </si>
  <si>
    <t>Commercial Secondary Glazing Systems</t>
  </si>
  <si>
    <t>Commercial Connected Thermostats</t>
  </si>
  <si>
    <t>March 2021</t>
  </si>
  <si>
    <t>Commercial Unitary Heat Pump Water Heaters</t>
  </si>
  <si>
    <t>March 2022</t>
  </si>
  <si>
    <t>Irrigation Hardware Upgrades</t>
  </si>
  <si>
    <t>Commercial Refrigerators/Freezers</t>
  </si>
  <si>
    <t>March 2020</t>
  </si>
  <si>
    <t>Residential Electronic Line Voltage Thermostats</t>
  </si>
  <si>
    <t>Duct Sealing SF</t>
  </si>
  <si>
    <t>June 2022</t>
  </si>
  <si>
    <t>Anti-Sweat Heater Controls</t>
  </si>
  <si>
    <t>June 2020</t>
  </si>
  <si>
    <t>ENERGY STAR Ice Makers</t>
  </si>
  <si>
    <t>School Weatherization</t>
  </si>
  <si>
    <t>July 2020</t>
  </si>
  <si>
    <t>Voltage Optimization Protocol</t>
  </si>
  <si>
    <t>utility system efficiency</t>
  </si>
  <si>
    <t>utility distribution system</t>
  </si>
  <si>
    <t>ENERGY STAR Refrigerated Beverage Vending Machines</t>
  </si>
  <si>
    <t>refrigeration</t>
  </si>
  <si>
    <t>August 2020</t>
  </si>
  <si>
    <t>Residential Gas Fireplaces</t>
  </si>
  <si>
    <t>September 2022</t>
  </si>
  <si>
    <t>Commercial Boilers</t>
  </si>
  <si>
    <t>February 2021</t>
  </si>
  <si>
    <t>Commercial Boiler Systems</t>
  </si>
  <si>
    <t>November 2020</t>
  </si>
  <si>
    <t>Clothes Dryers - SF, MH, and MF in-unit</t>
  </si>
  <si>
    <t>December 2020</t>
  </si>
  <si>
    <t>Residential Clothes Washers</t>
  </si>
  <si>
    <t>Commercial Clothes Washers</t>
  </si>
  <si>
    <t>Irrigation Hardware Maintenance</t>
  </si>
  <si>
    <t>Compressor Head Fan Motor Retrofit to ECM</t>
  </si>
  <si>
    <t>April 2021</t>
  </si>
  <si>
    <t>Display Case Evaporator Fan Motor Retrofit</t>
  </si>
  <si>
    <t>Residential Gas Water Heaters</t>
  </si>
  <si>
    <t>Efficient Pumps</t>
  </si>
  <si>
    <t>pumps</t>
  </si>
  <si>
    <t>April 2023</t>
  </si>
  <si>
    <t>Assuems 2 updates</t>
  </si>
  <si>
    <t>Walk-in Evaporator Fan Motor Controllers</t>
  </si>
  <si>
    <t>Walk-In Evaporator Fan Motor Retrofit</t>
  </si>
  <si>
    <t>Level 2 Electric Vehicle Chargers</t>
  </si>
  <si>
    <t>Manufactured Home Weatherization</t>
  </si>
  <si>
    <t>Single Family Weatherization</t>
  </si>
  <si>
    <t>Multi-Family Weatherization</t>
  </si>
  <si>
    <t>June 2023</t>
  </si>
  <si>
    <t>Forced Circulation Generator Engine Block Heaters for Nonresidential Standby Generators</t>
  </si>
  <si>
    <t>non-residential</t>
  </si>
  <si>
    <t>building distribution system</t>
  </si>
  <si>
    <t>July 2023</t>
  </si>
  <si>
    <t>Vehicle Engine Block Heater Controls</t>
  </si>
  <si>
    <t>electronics</t>
  </si>
  <si>
    <t>Non-Residential Lighting Code Compliant</t>
  </si>
  <si>
    <t>standard protocol</t>
  </si>
  <si>
    <t>Advanced Rooftop Controls</t>
  </si>
  <si>
    <t>October 2023</t>
  </si>
  <si>
    <t>Variable Speed Drives</t>
  </si>
  <si>
    <t>fans</t>
  </si>
  <si>
    <t>Circulator Pumps</t>
  </si>
  <si>
    <t>Package Terminal Heat Pumps Multi-family</t>
  </si>
  <si>
    <t>Package Terminal Heat Pumps for Commercial Lodging</t>
  </si>
  <si>
    <t>Compressed Air</t>
  </si>
  <si>
    <t>compressed air</t>
  </si>
  <si>
    <t>May 2022</t>
  </si>
  <si>
    <t>Irrigation Pressure Reduction</t>
  </si>
  <si>
    <t>agriculture</t>
  </si>
  <si>
    <t>Manufactured Home Replacement</t>
  </si>
  <si>
    <t>Thermostatic Shower Restriction Valve</t>
  </si>
  <si>
    <t>Demand Controlled Kitchen Ventilation Standard Protocol</t>
  </si>
  <si>
    <t>July 2022</t>
  </si>
  <si>
    <t>Transformer De-energizing</t>
  </si>
  <si>
    <t>August 2022</t>
  </si>
  <si>
    <t>Efficient Spas (PES)</t>
  </si>
  <si>
    <t>Floating Pressure Controls for Multiplex Systems Standard Protocol</t>
  </si>
  <si>
    <t>N/A - Standard Protocol</t>
  </si>
  <si>
    <t>Green Motor Rewind</t>
  </si>
  <si>
    <t>agricultural, industrial</t>
  </si>
  <si>
    <t>October 2022</t>
  </si>
  <si>
    <t>Energy-Free Stock Watering Tanks</t>
  </si>
  <si>
    <t>Water Heating</t>
  </si>
  <si>
    <t>Thermostatically Controlled Outlet for Pump House Heaters</t>
  </si>
  <si>
    <t>On-Demand Overwrappers</t>
  </si>
  <si>
    <t>Display Case Lighting</t>
  </si>
  <si>
    <t>proven, small saver</t>
  </si>
  <si>
    <t>Refrigerated Warehouse Controls</t>
  </si>
  <si>
    <t>Whole Building Performance, Commercial</t>
  </si>
  <si>
    <t>whole building</t>
  </si>
  <si>
    <t>Built Up Heat Pump Water Heaters</t>
  </si>
  <si>
    <t>Chillers</t>
  </si>
  <si>
    <t>Commercial DOAS</t>
  </si>
  <si>
    <t>Commercial Gas PACs</t>
  </si>
  <si>
    <t>New Measures 1</t>
  </si>
  <si>
    <t>New Measure 2</t>
  </si>
  <si>
    <t>New Measure 3</t>
  </si>
  <si>
    <t>New Measure 4</t>
  </si>
  <si>
    <t>Assumes 1 update. Measure expected to be developed in 2024.</t>
  </si>
  <si>
    <t>Assumes 1 update. Expected completion in 2024.</t>
  </si>
  <si>
    <t>November 2023</t>
  </si>
  <si>
    <t>December 2023</t>
  </si>
  <si>
    <t>Estimate of NPCC In-Kind Costs</t>
  </si>
  <si>
    <t>Enter all-in staff rate</t>
  </si>
  <si>
    <t>FTE</t>
  </si>
  <si>
    <t>Name</t>
  </si>
  <si>
    <t>Admin Area</t>
  </si>
  <si>
    <t>Estimated Fraction of Time on RTF Administration</t>
  </si>
  <si>
    <t>Estimated Fraction of Time on RTF Technical Work</t>
  </si>
  <si>
    <t>Total Fraction FTE to RTF</t>
  </si>
  <si>
    <t xml:space="preserve">Division Director </t>
  </si>
  <si>
    <t>Kevin Smit</t>
  </si>
  <si>
    <t>Manager of Conservation Resources, RTF Chair</t>
  </si>
  <si>
    <t>Christian Douglass</t>
  </si>
  <si>
    <t>Senior Energy Efficiency Analyst, RTF Vice Chair</t>
  </si>
  <si>
    <t>TBD</t>
  </si>
  <si>
    <t>Senior Energy Efficiency Analyst</t>
  </si>
  <si>
    <t>Annika Roberts</t>
  </si>
  <si>
    <t>Regional Conservation Progress Survey</t>
  </si>
  <si>
    <t>Chad Madron</t>
  </si>
  <si>
    <t>Admin</t>
  </si>
  <si>
    <t>Trina Gerlack</t>
  </si>
  <si>
    <t>Travel</t>
  </si>
  <si>
    <t>Anne O'Reilly</t>
  </si>
  <si>
    <t>Billing</t>
  </si>
  <si>
    <t>John Shurts</t>
  </si>
  <si>
    <t>Legal &amp; Contracts</t>
  </si>
  <si>
    <t>Kendra Coles</t>
  </si>
  <si>
    <t>Peter Jensen</t>
  </si>
  <si>
    <t>Communications and RTF Annual Report</t>
  </si>
  <si>
    <t>Laura Thomas</t>
  </si>
  <si>
    <t>RTF Manager</t>
  </si>
  <si>
    <t>With RTF Manager as part of RTF funds</t>
  </si>
  <si>
    <t>Category</t>
  </si>
  <si>
    <t>Contract RFP
2020</t>
  </si>
  <si>
    <t>RTF Contract Analyst Team 
2020</t>
  </si>
  <si>
    <t>RTF Manager 2020</t>
  </si>
  <si>
    <t>Subtotal Funders 
2020</t>
  </si>
  <si>
    <t>Council In-Kind Contribution 2020</t>
  </si>
  <si>
    <t>% of total</t>
  </si>
  <si>
    <t>Existing Measure Review &amp; Updates</t>
  </si>
  <si>
    <t>Contract RFP</t>
  </si>
  <si>
    <t>New Measure Development &amp; Review of Unsolicited Proposals</t>
  </si>
  <si>
    <t>Standardization of Technical Analysis</t>
  </si>
  <si>
    <t>Tool Development</t>
  </si>
  <si>
    <t>Subtotal New Work</t>
  </si>
  <si>
    <t>Regional Coordination</t>
  </si>
  <si>
    <t>Demand Response</t>
  </si>
  <si>
    <t xml:space="preserve">Website, Database support, Conservation Tracking </t>
  </si>
  <si>
    <t>RTF Member Support &amp; Administration</t>
  </si>
  <si>
    <t>RTF Management</t>
  </si>
  <si>
    <t>Proposed 2025</t>
  </si>
  <si>
    <t>Approved 2020</t>
  </si>
  <si>
    <t>Contract RFP
2025</t>
  </si>
  <si>
    <t>RTF Contract Analyst Team 
2025</t>
  </si>
  <si>
    <t>RTF Manager 2025</t>
  </si>
  <si>
    <t>Subtotal Funders 
2025</t>
  </si>
  <si>
    <t>Council In-Kind Contribution 2025</t>
  </si>
  <si>
    <t>Contract RFP
2024</t>
  </si>
  <si>
    <t>RTF Contract Analyst Team 
2024</t>
  </si>
  <si>
    <t>RTF Manager 2024</t>
  </si>
  <si>
    <t>Subtotal Funders 
2024</t>
  </si>
  <si>
    <t>Council In-Kind Contribution 2024</t>
  </si>
  <si>
    <t>Contract RFP
2023</t>
  </si>
  <si>
    <t>RTF Contract Analyst Team 
2023</t>
  </si>
  <si>
    <t>RTF Manager 2023</t>
  </si>
  <si>
    <t>Subtotal Funders 
2023</t>
  </si>
  <si>
    <t>Council In-Kind Contribution 2023</t>
  </si>
  <si>
    <t>Contract RFP
2022</t>
  </si>
  <si>
    <t>RTF Contract Analyst Team 
2022</t>
  </si>
  <si>
    <t>RTF Manager 2022</t>
  </si>
  <si>
    <t>Subtotal Funders 
2022</t>
  </si>
  <si>
    <t>Council In-Kind Contribution 2022</t>
  </si>
  <si>
    <t>Contract RFP
2021</t>
  </si>
  <si>
    <t>RTF Contract Analyst Team 
2021</t>
  </si>
  <si>
    <t>RTF Manager 2021</t>
  </si>
  <si>
    <t>Subtotal Funders 
2021</t>
  </si>
  <si>
    <t>Council In-Kind Contribution 2021</t>
  </si>
  <si>
    <t>Estimated Approved 2023</t>
  </si>
  <si>
    <t>Estimated Approved 2022</t>
  </si>
  <si>
    <t>Estimated Approved 2021</t>
  </si>
  <si>
    <t>Estimated Approved 2024</t>
  </si>
  <si>
    <t>RTF Budgets (not including Council In-Kind Contribution)</t>
  </si>
  <si>
    <t>RTF Budgets - Contract RFP Allocation</t>
  </si>
  <si>
    <t>RTF Budgets - Contract Analyst Team Allocation</t>
  </si>
  <si>
    <t>Percentage Budget by Category</t>
  </si>
  <si>
    <t>Detail by Category</t>
  </si>
  <si>
    <t>Electric Only UES slated to sunset</t>
  </si>
  <si>
    <t>Electric Only Standard Protocol slated to sunset</t>
  </si>
  <si>
    <t>Dual Fuel Standard Protocol slated to sunset</t>
  </si>
  <si>
    <t>Dual Fuel UES slated to sunset</t>
  </si>
  <si>
    <t>Gas Only UES slated to sunset</t>
  </si>
  <si>
    <t>Gas Only Standard Protocol slated to sunset</t>
  </si>
  <si>
    <t>Contract Analyst Team</t>
  </si>
  <si>
    <t>Subtotal Funders</t>
  </si>
  <si>
    <t>Council Staff In-Kind Contribution</t>
  </si>
  <si>
    <t>Category Details</t>
  </si>
  <si>
    <t>Proposed Funding for 2025</t>
  </si>
  <si>
    <t>Proposed Funding for 2026</t>
  </si>
  <si>
    <t>Proposed Funding for 2027</t>
  </si>
  <si>
    <t>Proposed Funding for 2028</t>
  </si>
  <si>
    <t>Proposed Funding for 2029</t>
  </si>
  <si>
    <t>Small &amp; Rural utilities recommended measures</t>
  </si>
  <si>
    <t>New electric-only measures</t>
  </si>
  <si>
    <t>New dual fuel measures</t>
  </si>
  <si>
    <t>New gas only measures</t>
  </si>
  <si>
    <t>Guidelines review and updates</t>
  </si>
  <si>
    <t>Standard Information Workbook updates</t>
  </si>
  <si>
    <t>Coordination and review across measures</t>
  </si>
  <si>
    <t>ProCost: Engine updates and ongoing maintenance</t>
  </si>
  <si>
    <t>REEDR: Residential building model maintenance and updates</t>
  </si>
  <si>
    <t>ModelKit: Commercial building model maintenance and updates</t>
  </si>
  <si>
    <t>Regional Coordination on Energy Efficiency</t>
  </si>
  <si>
    <t>Regional Research Coordination</t>
  </si>
  <si>
    <t>Council Plan Support</t>
  </si>
  <si>
    <t>Market Analysis: NEEA/BPA Research Review</t>
  </si>
  <si>
    <t>Savings Shape Development</t>
  </si>
  <si>
    <t>Regional Studies and Analysis</t>
  </si>
  <si>
    <t>Development of new demand response technologies</t>
  </si>
  <si>
    <t>RTF Meetings and Member Support</t>
  </si>
  <si>
    <t>RTF Meetings, phone, web conference, meeting minutes</t>
  </si>
  <si>
    <t>Members and Contractor Meeting RTF Meeting Participation Travel</t>
  </si>
  <si>
    <t>Website, Database Support, and Conservation Tracking</t>
  </si>
  <si>
    <t>Website: Development and Management</t>
  </si>
  <si>
    <t>Annual Regional Conservation Progress Report</t>
  </si>
  <si>
    <t xml:space="preserve">Manage RTF work flow, develop agenda &amp; procedures &amp; budgets &amp; SOWs </t>
  </si>
  <si>
    <t>Review,  Analytical, and Subcommittee Support</t>
  </si>
  <si>
    <t xml:space="preserve">Manage RTF business activities, contracts, financial, bylaws, RTF PAC </t>
  </si>
  <si>
    <t>RTF Outreach and Training</t>
  </si>
  <si>
    <t>RTF/Council Coordination</t>
  </si>
  <si>
    <t>Primary Research</t>
  </si>
  <si>
    <t>Projects for Primary Research</t>
  </si>
  <si>
    <t>guidance document</t>
  </si>
  <si>
    <t>no</t>
  </si>
  <si>
    <t>yes</t>
  </si>
  <si>
    <t>Gas Split %</t>
  </si>
  <si>
    <t>Demand Response Split %</t>
  </si>
  <si>
    <t>Existing Measure Timing and Cost Assumptions</t>
  </si>
  <si>
    <t>QAQC Contract Cost per Unit</t>
  </si>
  <si>
    <t>Council Staff Cost per Unit</t>
  </si>
  <si>
    <t>New Measure Development Cost per Unit (Contractor or Contract Analyst Team)</t>
  </si>
  <si>
    <t>Existing Measure Update Cost per Unit (Contractor or Contract Analyst Team)</t>
  </si>
  <si>
    <t>Per Unit Assumptions</t>
  </si>
  <si>
    <t>dual</t>
  </si>
  <si>
    <t>Total 2025</t>
  </si>
  <si>
    <t>Total 2026</t>
  </si>
  <si>
    <t>Total 2027</t>
  </si>
  <si>
    <t>Total 2028</t>
  </si>
  <si>
    <t>Total 2029</t>
  </si>
  <si>
    <t>Subcategory Totals</t>
  </si>
  <si>
    <t>Existing Measure Title</t>
  </si>
  <si>
    <t>Sector</t>
  </si>
  <si>
    <t>Application</t>
  </si>
  <si>
    <t>Fuel</t>
  </si>
  <si>
    <t>Flexible Technology</t>
  </si>
  <si>
    <t>Status</t>
  </si>
  <si>
    <t>Type</t>
  </si>
  <si>
    <t>Small &amp; Rural Utilities</t>
  </si>
  <si>
    <t>Estimated Number of New Measures by Details</t>
  </si>
  <si>
    <t>Electric only</t>
  </si>
  <si>
    <t>Flexible electric only</t>
  </si>
  <si>
    <t>New flexible electric only measures</t>
  </si>
  <si>
    <t>Flexible Electric Only Standard Protocol slated to sunset</t>
  </si>
  <si>
    <t>Flexible Electric Only UES slated to sunset</t>
  </si>
  <si>
    <t>Dual fuel</t>
  </si>
  <si>
    <t>Gas only</t>
  </si>
  <si>
    <t>Summary of Existing Measures by Details</t>
  </si>
  <si>
    <t>DR Technology</t>
  </si>
  <si>
    <t>Impact Evaluation Guidance</t>
  </si>
  <si>
    <t>Residential Behavior</t>
  </si>
  <si>
    <t>Impact evaluation guidance</t>
  </si>
  <si>
    <t>Assumptions</t>
  </si>
  <si>
    <t>Cost Assumptions per Unit 2025</t>
  </si>
  <si>
    <t>Cost Assumptions per Unit 2026</t>
  </si>
  <si>
    <t>Cost Assumptions per Unit 2027</t>
  </si>
  <si>
    <t>Cost Assumptions per Unit 2028</t>
  </si>
  <si>
    <t>Cost Assumptions per Unit 2029</t>
  </si>
  <si>
    <t>Update of existing demand response technologies</t>
  </si>
  <si>
    <t>Percentage of RTF Manager Time Assumptions</t>
  </si>
  <si>
    <t>Jennifer Light</t>
  </si>
  <si>
    <t>Percentage</t>
  </si>
  <si>
    <t>Annual and Quarterly Reporting</t>
  </si>
  <si>
    <t>RTF Manager time spent reviewing work products and engaging with subcommittees</t>
  </si>
  <si>
    <t>Guidelines training, webinars, presentations related to RTF matters. Minimal contract analyst support</t>
  </si>
  <si>
    <t>Council meetings and other coordination with broader Council efforts</t>
  </si>
  <si>
    <t>Travel to relevant Council meetings, related conferences, and other related regional travel</t>
  </si>
  <si>
    <t>PAC materials preparation, contract and task order development, various business activities. Contract for Audit (estimated based on 2024 amount).</t>
  </si>
  <si>
    <t>Review, development and presentation of RTF Annual Report, Council support for development.</t>
  </si>
  <si>
    <t>RTF Manager time spent on improving general RTF processes and managing day to day work of contracts</t>
  </si>
  <si>
    <t>Assumes contracting all of the data analysis and Council Support to track electric regional savings.</t>
  </si>
  <si>
    <t>Wage + Inflation</t>
  </si>
  <si>
    <t>Assumes potential increase in member support with new member class</t>
  </si>
  <si>
    <t>Assumes steady state with current member class</t>
  </si>
  <si>
    <t>Assumes steady state with member class</t>
  </si>
  <si>
    <t>Assumes potential increase with new member class</t>
  </si>
  <si>
    <t>Assumes $24.8k for minutes, $4.5k for lunches at 7 in person meetings</t>
  </si>
  <si>
    <t>Assumes $25.4k for minutes, $5k for lunches at 8 in person meetings</t>
  </si>
  <si>
    <t>Assumes $26k for minutes, $5k for lunches at 8 in person meetings</t>
  </si>
  <si>
    <t>Assumes $26.7k for minutes, $6k for lunches at 10 in person meetings</t>
  </si>
  <si>
    <t>Assumes $24.2k for minutes, $4k for lunches at 6 in person meetings.</t>
  </si>
  <si>
    <t>Assumes major update in 2024</t>
  </si>
  <si>
    <t xml:space="preserve">Assumes minor updates  </t>
  </si>
  <si>
    <t>Assumes major update this year</t>
  </si>
  <si>
    <t>Assumes major update previous year</t>
  </si>
  <si>
    <t>Assumes minor updates</t>
  </si>
  <si>
    <t>Assumes no updates</t>
  </si>
  <si>
    <t>Assumes no updates and major update in 2030</t>
  </si>
  <si>
    <t>Assumes consistent level of CAT meeting time and coordination</t>
  </si>
  <si>
    <t>Assume updates and changes to support upcoming Council Power Plan</t>
  </si>
  <si>
    <t>Assume minor updates with increased use from previous year</t>
  </si>
  <si>
    <t>Assume maintenance year with minor updates</t>
  </si>
  <si>
    <t>Assume major updates or alignment needed</t>
  </si>
  <si>
    <t>Assume minor updates to savings shapes outside of measure work</t>
  </si>
  <si>
    <t>Assume larger updates of saving shape library incorporating new regional data</t>
  </si>
  <si>
    <t>Assume only minor updates outside of measure work</t>
  </si>
  <si>
    <t>Assume some updates of some shapes outside of planned measure work to update toward most recent regional data</t>
  </si>
  <si>
    <t>Assumes continued CAT participation in CBSA, RBSA, and EULR working groups and support to review of regional utilities evaluations</t>
  </si>
  <si>
    <t>Assumes support of Market Analysis Subcommittee and working with NEEA and BPA (ex. BPA Expert Panels) on understanding market data, including increasing granularity where possible.</t>
  </si>
  <si>
    <t>Assumes study on flexibility or gaining deeper understanding of whole building programs to scope work for RTF beyond the UES in future years</t>
  </si>
  <si>
    <t>Limited support due to release of 9th Power Plan previous year</t>
  </si>
  <si>
    <t>N/A</t>
  </si>
  <si>
    <t>Estimated 2026</t>
  </si>
  <si>
    <t>Estimated 2027</t>
  </si>
  <si>
    <t>Estimated 2028</t>
  </si>
  <si>
    <t>Estimated 2029</t>
  </si>
  <si>
    <t>Contract RFP
2026</t>
  </si>
  <si>
    <t>RTF Contract Analyst Team 
2026</t>
  </si>
  <si>
    <t>RTF Manager 2026</t>
  </si>
  <si>
    <t>Subtotal Funders 
2026</t>
  </si>
  <si>
    <t>Council In-Kind Contribution 2026</t>
  </si>
  <si>
    <t>Contract RFP
2027</t>
  </si>
  <si>
    <t>RTF Contract Analyst Team 
2027</t>
  </si>
  <si>
    <t>RTF Manager 2027</t>
  </si>
  <si>
    <t>Subtotal Funders 
2027</t>
  </si>
  <si>
    <t>Council In-Kind Contribution 2027</t>
  </si>
  <si>
    <t>Contract RFP
2028</t>
  </si>
  <si>
    <t>RTF Contract Analyst Team 
2028</t>
  </si>
  <si>
    <t>RTF Manager 2028</t>
  </si>
  <si>
    <t>Subtotal Funders 
2028</t>
  </si>
  <si>
    <t>Council In-Kind Contribution 2028</t>
  </si>
  <si>
    <t>Contract RFP
2029</t>
  </si>
  <si>
    <t>RTF Contract Analyst Team 
2029</t>
  </si>
  <si>
    <t>RTF Manager 2029</t>
  </si>
  <si>
    <t>Subtotal Funders 
2029</t>
  </si>
  <si>
    <t>Council In-Kind Contribution 2029</t>
  </si>
  <si>
    <t>NOTE: Annual totals from 2026-2029 are not final. Every year, the budget will be built up based on the funding shares on the summary analysis.</t>
  </si>
  <si>
    <t>Proposed Category Level Budget 2025-2029</t>
  </si>
  <si>
    <t>Proposed Category Level Budget 2025-2029 (Electric Only - Not including DR)</t>
  </si>
  <si>
    <t>Electric Split %</t>
  </si>
  <si>
    <t>RTF Manager (1.0 FTE)</t>
  </si>
  <si>
    <t>Council Staff (In-Kind of 1.1 FTE)</t>
  </si>
  <si>
    <t>Measure Review/Development &amp; Technical Analysis</t>
  </si>
  <si>
    <t>Tools, Research, Data &amp; Regional Coodination</t>
  </si>
  <si>
    <t>Total Including Council</t>
  </si>
  <si>
    <t>Total Funding Increase</t>
  </si>
  <si>
    <t>Annual increase year to year</t>
  </si>
  <si>
    <t>Annual increase from 2025 base year</t>
  </si>
  <si>
    <t>Proposed Category Level Budget 2025-2029 (Gas)</t>
  </si>
  <si>
    <t>Proposed Category Level Budget 2025-2029 (DR Only)</t>
  </si>
  <si>
    <t>Table of Contents</t>
  </si>
  <si>
    <t>Annual Funding Shares (Gas) for 2025-2029</t>
  </si>
  <si>
    <t>Organization</t>
  </si>
  <si>
    <t>NEEA Funding Allocation</t>
  </si>
  <si>
    <t>Share of RTF Budget</t>
  </si>
  <si>
    <t>Energy Trust of Oregon</t>
  </si>
  <si>
    <t>Puget Sound Energy</t>
  </si>
  <si>
    <t>Avista Corporation, Inc.</t>
  </si>
  <si>
    <t>Cascade Natural Gas</t>
  </si>
  <si>
    <t>NW Natural</t>
  </si>
  <si>
    <t>Total</t>
  </si>
  <si>
    <t>Annual Funding Shares (Gas) for 2025-2029 - USE to LEVEL OUT ROUNDED VALUES</t>
  </si>
  <si>
    <t>Bonneville Power Administration</t>
  </si>
  <si>
    <t>Idaho Power Company</t>
  </si>
  <si>
    <t>Avista Corporation, Inc</t>
  </si>
  <si>
    <t>PacifiCorp (Washington)</t>
  </si>
  <si>
    <t>PacifiCorp (Idaho)</t>
  </si>
  <si>
    <t>NorthWestern Energy</t>
  </si>
  <si>
    <t>Seattle City Light</t>
  </si>
  <si>
    <t>PUD No 1 of Clark County</t>
  </si>
  <si>
    <t>Tacoma Power</t>
  </si>
  <si>
    <t>Snohomish County PUD</t>
  </si>
  <si>
    <t>Chelan</t>
  </si>
  <si>
    <t>PUD No 1 of Cowlitz County</t>
  </si>
  <si>
    <t>NorthWestern Energy share represents a mid-point between share from previous cycles and what would be their in-region share.</t>
  </si>
  <si>
    <t>Eugene Water &amp; Electric Board</t>
  </si>
  <si>
    <t>Annual Funding Shares (DR) for 2025-2029</t>
  </si>
  <si>
    <t>Annual Funding Shares (Electric, excluding DR) for 2025-2029</t>
  </si>
  <si>
    <t>Annual Funding Shares (Electric, excluding DR) for 2025-2029 - USE to LEVEL OUT ROUNDED VALUES</t>
  </si>
  <si>
    <t>PacifiCorp (Energy Trust DR Share)</t>
  </si>
  <si>
    <t>Portland General Electric (Energy Trust DR Share)</t>
  </si>
  <si>
    <t>Annual Funding Shares ( DR) for 2025-2029 - USE to LEVEL OUT ROUNDED VALUES</t>
  </si>
  <si>
    <t>Annual Funding Shares (Combined) for 2025-2029</t>
  </si>
  <si>
    <t>RTF Proposed Funding Shares</t>
  </si>
  <si>
    <t>Regional Studies, Analysis and Coordination</t>
  </si>
  <si>
    <t>Estimate of NPCC Cost for RTF (2025)</t>
  </si>
  <si>
    <t>Category Level Budget &amp; 5-year look back</t>
  </si>
  <si>
    <t>Total on Category Detail</t>
  </si>
  <si>
    <t>Total on Funding Shares</t>
  </si>
  <si>
    <t>Total Measures Annually</t>
  </si>
  <si>
    <t>Assume this measure will be incorporated into another measure as we consolidate the HP portfolio in 2024</t>
  </si>
  <si>
    <t>Assumes 1 updates</t>
  </si>
  <si>
    <t>Assumes minor updates prior to next Power Plan</t>
  </si>
  <si>
    <t>Assumes major updates with 9th Power Plan</t>
  </si>
  <si>
    <t>Assumes moderate updates in preparation for next Power Plan</t>
  </si>
  <si>
    <t>Assumes support with the 9th Power Plan</t>
  </si>
  <si>
    <t>Assumes some support with the upcoming release of the 9th Power Plan</t>
  </si>
  <si>
    <t>Assumes updates to RTF resources and work with the release of the 9th Power Plan</t>
  </si>
  <si>
    <t>Assumes increased support in preparation for next Power Plan</t>
  </si>
  <si>
    <t>Assumes multiple studies to implement recommendations from the 9th Power Plan</t>
  </si>
  <si>
    <t>Potential work to develop shapes for DR program types</t>
  </si>
  <si>
    <t>Assumes potential study/work based on recommendations from the 9th Power Plan</t>
  </si>
  <si>
    <t>Assumes continued potential work around recommendations from the 9th Power Pland</t>
  </si>
  <si>
    <t>Assumes anticipated work to update DR shapes or study</t>
  </si>
  <si>
    <t>Assumes assessing data and potential for shape and library ipdate</t>
  </si>
  <si>
    <t>Total on Individual Catgories</t>
  </si>
  <si>
    <t>Total on Combined Category</t>
  </si>
  <si>
    <t>Gas Total</t>
  </si>
  <si>
    <t>DR Total</t>
  </si>
  <si>
    <t>Electric</t>
  </si>
  <si>
    <t>Gas</t>
  </si>
  <si>
    <t>DR</t>
  </si>
  <si>
    <t>Assumes 1 studies to support RTF work on recommendations from 9th Power Plan</t>
  </si>
  <si>
    <t>Percent of Total Budget</t>
  </si>
  <si>
    <t>Annual Funding Shares (Combined) for 2025-2029 - USE to LEVEL OUT ROUNDED VALUES</t>
  </si>
  <si>
    <t>2025-2029 Budget</t>
  </si>
  <si>
    <t>Funding Shares Combined and Adjusted Annually Based on Total Budget</t>
  </si>
  <si>
    <t>Total Funds</t>
  </si>
  <si>
    <t>Annual Electric Funds</t>
  </si>
  <si>
    <t>Annual Gas Funds</t>
  </si>
  <si>
    <t>Annual DR Funds</t>
  </si>
  <si>
    <t>Annual Wage + Inflation Increase of 2.5%</t>
  </si>
  <si>
    <t>Summary Analysis</t>
  </si>
  <si>
    <t>Gas Funding Percentage</t>
  </si>
  <si>
    <t>Gas Share Percentage</t>
  </si>
  <si>
    <t>The RTF Policy Advisory Committee agreed to a gas cost share for dual fuel work at 25% for the 2020-2024 funding period. This cost share is proposed for the 2025-2029 funding period.</t>
  </si>
  <si>
    <t>Total Budget and Cost Split</t>
  </si>
  <si>
    <t>5-Year Funding Totals</t>
  </si>
  <si>
    <t>Percent</t>
  </si>
  <si>
    <t>Dollars</t>
  </si>
  <si>
    <t>Electric ratepayer funded</t>
  </si>
  <si>
    <t>Gas ratepayer funded</t>
  </si>
  <si>
    <t>Total funds</t>
  </si>
  <si>
    <t>Demand Response Percentage</t>
  </si>
  <si>
    <t>DR Share Percentage</t>
  </si>
  <si>
    <t>RTF staff is proposing a similar cost share for Demand Response work measures and studies that have both energy efficiency and demand response potential for the 2025-2029 funding period.</t>
  </si>
  <si>
    <t>DR funds</t>
  </si>
  <si>
    <t>Funding Share</t>
  </si>
  <si>
    <t>Share of RTF Budget (rounded)**</t>
  </si>
  <si>
    <t>NorthWestern Energy share represents 52% of regional share.</t>
  </si>
  <si>
    <t>Inflation Rate Assumptions</t>
  </si>
  <si>
    <t>Wage + Inflation Rate:</t>
  </si>
  <si>
    <t>Rounding Assumption: Proposed Funding Shares have been rounded to the hundredth to support funders with clearer budgets.</t>
  </si>
  <si>
    <t>Energy Trust of Oregon share represents 22% of regional share, including DR portion funded by PacifiCorp and Portland General Electric</t>
  </si>
  <si>
    <t>Sheet Name</t>
  </si>
  <si>
    <t>Provides high level summary of funding levels and cost shares and cross-cutting assumptions.</t>
  </si>
  <si>
    <t>Funding Share Rounding Assumption</t>
  </si>
  <si>
    <t>Funding shares were rounded to the 100th</t>
  </si>
  <si>
    <t>Category History</t>
  </si>
  <si>
    <t>NWPCC In-Kind</t>
  </si>
  <si>
    <t>Breakdown of Northwest Power and Conservation Council staff cost estimates. Does not include other in-kind costs, such as space, computer equipment, website contracts, etc.</t>
  </si>
  <si>
    <t>Measure Timing and Costs</t>
  </si>
  <si>
    <t>Detail behind assumed number of measures each year, split out into electric only, dual fuel, and gas only, as well as flexibile measures that include both energy efficiency and demand response potential. This directly feeds into the 2025-2029 Category Detail tab to determine the the long-term measure analysis for the 5 years. This is based on best available data today.</t>
  </si>
  <si>
    <r>
      <t xml:space="preserve">This is the five year budget by category for all costs that focus on </t>
    </r>
    <r>
      <rPr>
        <b/>
        <sz val="12"/>
        <color theme="1"/>
        <rFont val="Calibri"/>
        <family val="2"/>
        <scheme val="minor"/>
      </rPr>
      <t>demand response</t>
    </r>
    <r>
      <rPr>
        <sz val="12"/>
        <color theme="1"/>
        <rFont val="Calibri"/>
        <family val="2"/>
        <scheme val="minor"/>
      </rPr>
      <t xml:space="preserve">, including DR only measures and work, as well as electric only measures that include both demand response and energy efficiency potential. The assumptions for each year are noted in the 2025-2029 Category Detail tab. </t>
    </r>
  </si>
  <si>
    <r>
      <t xml:space="preserve">This is a five year budget by category focusing on the </t>
    </r>
    <r>
      <rPr>
        <b/>
        <sz val="12"/>
        <color theme="1"/>
        <rFont val="Calibri"/>
        <family val="2"/>
        <scheme val="minor"/>
      </rPr>
      <t>gas</t>
    </r>
    <r>
      <rPr>
        <sz val="12"/>
        <color theme="1"/>
        <rFont val="Calibri"/>
        <family val="2"/>
        <scheme val="minor"/>
      </rPr>
      <t xml:space="preserve"> costs. The assumptions for each year are noted in the 2025-2029 Category Detail tab.</t>
    </r>
  </si>
  <si>
    <r>
      <t xml:space="preserve">This is a five year budget by category focusing on the </t>
    </r>
    <r>
      <rPr>
        <b/>
        <sz val="12"/>
        <color theme="1"/>
        <rFont val="Calibri"/>
        <family val="2"/>
        <scheme val="minor"/>
      </rPr>
      <t>electric</t>
    </r>
    <r>
      <rPr>
        <sz val="12"/>
        <color theme="1"/>
        <rFont val="Calibri"/>
        <family val="2"/>
        <scheme val="minor"/>
      </rPr>
      <t xml:space="preserve"> costs. The assumptions for each year are noted in the 2025-2029 Category Detail tab.</t>
    </r>
  </si>
  <si>
    <t>2025-2029 Combined Category</t>
  </si>
  <si>
    <t>This is the five year budget by category for all costs. This simply combines the costs from the 2025-2029 Category Electric, 2025-2029 Category Gas, and 2025-2029 Category DR tabs.</t>
  </si>
  <si>
    <t>2025-2029 Category Electric</t>
  </si>
  <si>
    <t>2025-2029 Category Gas</t>
  </si>
  <si>
    <t>2025-2029 Category DR (Demand Response)</t>
  </si>
  <si>
    <t>2025-2029 Category Detail</t>
  </si>
  <si>
    <t xml:space="preserve">This is the proposed detailed budget for 2025 and estimated for remaining years of 2026-2029. This includes both gas and electric and flexible/DR. Electric-only and gas-only items are broken out and a gas percentage of 0% and 100% are applied directly. Dual fuel and flexible measure items have their own row. The gas percentage applied to dual fuel items is assumed to be 25% and flexible measure have a 25% percentage for DR. </t>
  </si>
  <si>
    <t>Summary Categories</t>
  </si>
  <si>
    <t>Details on costs</t>
  </si>
  <si>
    <t>These categories account for all the RTF measure work and are typicaly variable in the number of reviews or new measures developed annual. The assumptions for these budget figures are based on the assumptions on the measure timing and costs tab.</t>
  </si>
  <si>
    <t>These categories include maintenace of the tools and sumplemental activities to the measures and are thought to provide value to the region.</t>
  </si>
  <si>
    <t>This cateogires are for demand response only work that are included in the proposed budget.</t>
  </si>
  <si>
    <t>These categories are fixed costs the RTF must bear for operations and to meet the by laws and charter.</t>
  </si>
  <si>
    <t>Proposed category-level budget for 2020-2024. Includes high-level definition of RTF work product categories. This includes electric, gas, and demand response costs.</t>
  </si>
  <si>
    <t>Electric Efficiency Only funds</t>
  </si>
  <si>
    <t>NOTE: NEEA Funding Assumptions are for previous cycle and will be updated prior to finalization.</t>
  </si>
  <si>
    <t>PacifiCorp WA (Energy Trust DR Share)</t>
  </si>
  <si>
    <t>This tab provides a summary of the DRAFT funding levels.  It shows the Average Annual Funding and 5-Year Total funding for each organization. Funding shares are based on NEEA's 2020-2024 funding share methodology for electric and gas and will be updated prior to finalization of the funding agreements.</t>
  </si>
  <si>
    <t>DRAFT Proposed Annual Funding Levels</t>
  </si>
  <si>
    <r>
      <t>DRAFT Proposed</t>
    </r>
    <r>
      <rPr>
        <sz val="10"/>
        <color theme="1"/>
        <rFont val="Arial"/>
        <family val="2"/>
      </rPr>
      <t xml:space="preserve"> 5-Year Funding Levels (2025-2029) for discussion at March 26, 2024 RTF Policy Advisory Committee Meeting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</si>
</sst>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4" formatCode="_(&quot;$&quot;* #,##0.00_);_(&quot;$&quot;* \(#,##0.00\);_(&quot;$&quot;* &quot;-&quot;??_);_(@_)"/>
    <numFmt numFmtId="43" formatCode="_(* #,##0.00_);_(* \(#,##0.00\);_(* &quot;-&quot;??_);_(@_)"/>
    <numFmt numFmtId="164" formatCode="mm/dd/yy"/>
    <numFmt numFmtId="165" formatCode="_(&quot;$&quot;* #,##0_);_(&quot;$&quot;* \(#,##0\);_(&quot;$&quot;* &quot;-&quot;??_);_(@_)"/>
    <numFmt numFmtId="166" formatCode="_(* #,##0.0_);_(* \(#,##0.0\);_(* &quot;-&quot;??_);_(@_)"/>
    <numFmt numFmtId="167" formatCode="_(&quot;$&quot;* #,##0.000_);_(&quot;$&quot;* \(#,##0.000\);_(&quot;$&quot;* &quot;-&quot;???_);_(@_)"/>
    <numFmt numFmtId="168" formatCode="&quot;$&quot;#,##0"/>
    <numFmt numFmtId="169" formatCode="_(&quot;$&quot;* #,##0.0_);_(&quot;$&quot;* \(#,##0.0\);_(&quot;$&quot;* &quot;-&quot;???_);_(@_)"/>
    <numFmt numFmtId="170" formatCode="_(&quot;$&quot;* #,##0_);_(&quot;$&quot;* \(#,##0\);_(&quot;$&quot;* &quot;-&quot;???_);_(@_)"/>
    <numFmt numFmtId="171" formatCode="0.0%"/>
  </numFmts>
  <fonts count="30" x14ac:knownFonts="1">
    <font>
      <sz val="10"/>
      <color theme="1"/>
      <name val="Arial"/>
      <family val="2"/>
    </font>
    <font>
      <sz val="10"/>
      <color theme="1"/>
      <name val="Arial"/>
      <family val="2"/>
    </font>
    <font>
      <sz val="11"/>
      <name val="Calibri"/>
      <family val="2"/>
      <scheme val="minor"/>
    </font>
    <font>
      <b/>
      <sz val="11"/>
      <name val="Calibri"/>
      <family val="2"/>
      <scheme val="minor"/>
    </font>
    <font>
      <b/>
      <sz val="14"/>
      <color theme="1"/>
      <name val="Calibri"/>
      <family val="2"/>
      <scheme val="minor"/>
    </font>
    <font>
      <sz val="10"/>
      <name val="Arial"/>
      <family val="2"/>
    </font>
    <font>
      <sz val="12"/>
      <name val="Calibri"/>
      <family val="2"/>
      <scheme val="minor"/>
    </font>
    <font>
      <i/>
      <sz val="11"/>
      <color theme="1"/>
      <name val="Calibri"/>
      <family val="2"/>
      <scheme val="minor"/>
    </font>
    <font>
      <sz val="12"/>
      <color theme="1"/>
      <name val="Calibri"/>
      <family val="2"/>
      <scheme val="minor"/>
    </font>
    <font>
      <b/>
      <sz val="12"/>
      <name val="Calibri"/>
      <family val="2"/>
      <scheme val="minor"/>
    </font>
    <font>
      <b/>
      <sz val="12"/>
      <color indexed="8"/>
      <name val="Calibri"/>
      <family val="2"/>
      <scheme val="minor"/>
    </font>
    <font>
      <sz val="12"/>
      <color indexed="8"/>
      <name val="Calibri"/>
      <family val="2"/>
      <scheme val="minor"/>
    </font>
    <font>
      <b/>
      <sz val="12"/>
      <color theme="1"/>
      <name val="Calibri"/>
      <family val="2"/>
      <scheme val="minor"/>
    </font>
    <font>
      <sz val="8"/>
      <name val="Arial"/>
      <family val="2"/>
    </font>
    <font>
      <sz val="12"/>
      <color rgb="FF000000"/>
      <name val="Calibri"/>
      <family val="2"/>
      <scheme val="minor"/>
    </font>
    <font>
      <sz val="10"/>
      <color theme="1"/>
      <name val="Calibri"/>
      <family val="2"/>
      <scheme val="minor"/>
    </font>
    <font>
      <b/>
      <i/>
      <sz val="12"/>
      <color theme="1"/>
      <name val="Calibri"/>
      <family val="2"/>
      <scheme val="minor"/>
    </font>
    <font>
      <b/>
      <sz val="14"/>
      <name val="Calibri"/>
      <family val="2"/>
      <scheme val="minor"/>
    </font>
    <font>
      <u/>
      <sz val="12"/>
      <color rgb="FF0000FF"/>
      <name val="Calibri"/>
      <family val="2"/>
      <scheme val="minor"/>
    </font>
    <font>
      <u/>
      <sz val="12"/>
      <color rgb="FF1061C3"/>
      <name val="Calibri"/>
      <family val="2"/>
      <scheme val="minor"/>
    </font>
    <font>
      <b/>
      <sz val="14"/>
      <color theme="0"/>
      <name val="Calibri"/>
      <family val="2"/>
      <scheme val="minor"/>
    </font>
    <font>
      <sz val="12"/>
      <color theme="0"/>
      <name val="Calibri"/>
      <family val="2"/>
      <scheme val="minor"/>
    </font>
    <font>
      <b/>
      <sz val="12"/>
      <color theme="0"/>
      <name val="Calibri"/>
      <family val="2"/>
      <scheme val="minor"/>
    </font>
    <font>
      <b/>
      <sz val="10"/>
      <color theme="1"/>
      <name val="Arial"/>
      <family val="2"/>
    </font>
    <font>
      <i/>
      <sz val="11"/>
      <color theme="5"/>
      <name val="Calibri"/>
      <family val="2"/>
      <scheme val="minor"/>
    </font>
    <font>
      <b/>
      <sz val="11"/>
      <color theme="1"/>
      <name val="Calibri"/>
      <family val="2"/>
      <scheme val="minor"/>
    </font>
    <font>
      <sz val="11"/>
      <color theme="1"/>
      <name val="Calibri"/>
      <family val="2"/>
      <scheme val="minor"/>
    </font>
    <font>
      <b/>
      <sz val="14"/>
      <color rgb="FFFF0000"/>
      <name val="Calibri"/>
      <family val="2"/>
      <scheme val="minor"/>
    </font>
    <font>
      <sz val="14"/>
      <color theme="1"/>
      <name val="Calibri"/>
      <family val="2"/>
      <scheme val="minor"/>
    </font>
    <font>
      <sz val="11"/>
      <color theme="5"/>
      <name val="Calibri"/>
      <family val="2"/>
      <scheme val="minor"/>
    </font>
  </fonts>
  <fills count="21">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indexed="41"/>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bgColor indexed="64"/>
      </patternFill>
    </fill>
    <fill>
      <patternFill patternType="solid">
        <fgColor theme="4" tint="0.39997558519241921"/>
        <bgColor indexed="64"/>
      </patternFill>
    </fill>
    <fill>
      <patternFill patternType="solid">
        <fgColor theme="7"/>
        <bgColor indexed="64"/>
      </patternFill>
    </fill>
    <fill>
      <patternFill patternType="solid">
        <fgColor theme="2"/>
        <bgColor indexed="64"/>
      </patternFill>
    </fill>
    <fill>
      <patternFill patternType="solid">
        <fgColor theme="2" tint="-0.249977111117893"/>
        <bgColor indexed="64"/>
      </patternFill>
    </fill>
    <fill>
      <patternFill patternType="solid">
        <fgColor theme="3"/>
        <bgColor indexed="64"/>
      </patternFill>
    </fill>
    <fill>
      <patternFill patternType="solid">
        <fgColor theme="1"/>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5"/>
        <bgColor indexed="64"/>
      </patternFill>
    </fill>
  </fills>
  <borders count="5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medium">
        <color auto="1"/>
      </left>
      <right style="thin">
        <color theme="1" tint="0.499984740745262"/>
      </right>
      <top/>
      <bottom/>
      <diagonal/>
    </border>
    <border>
      <left style="thin">
        <color theme="1" tint="0.499984740745262"/>
      </left>
      <right style="thin">
        <color theme="1" tint="0.499984740745262"/>
      </right>
      <top/>
      <bottom/>
      <diagonal/>
    </border>
    <border>
      <left style="thin">
        <color theme="1" tint="0.499984740745262"/>
      </left>
      <right style="medium">
        <color auto="1"/>
      </right>
      <top/>
      <bottom/>
      <diagonal/>
    </border>
    <border>
      <left style="medium">
        <color auto="1"/>
      </left>
      <right/>
      <top/>
      <bottom/>
      <diagonal/>
    </border>
    <border>
      <left style="medium">
        <color theme="0"/>
      </left>
      <right/>
      <top/>
      <bottom/>
      <diagonal/>
    </border>
    <border>
      <left/>
      <right style="medium">
        <color theme="0"/>
      </right>
      <top/>
      <bottom/>
      <diagonal/>
    </border>
    <border>
      <left/>
      <right style="thin">
        <color theme="1" tint="0.499984740745262"/>
      </right>
      <top/>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auto="1"/>
      </right>
      <top style="medium">
        <color auto="1"/>
      </top>
      <bottom style="medium">
        <color auto="1"/>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medium">
        <color indexed="64"/>
      </right>
      <top style="medium">
        <color indexed="64"/>
      </top>
      <bottom/>
      <diagonal/>
    </border>
    <border>
      <left style="medium">
        <color auto="1"/>
      </left>
      <right/>
      <top style="medium">
        <color auto="1"/>
      </top>
      <bottom/>
      <diagonal/>
    </border>
    <border>
      <left style="medium">
        <color indexed="64"/>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style="medium">
        <color indexed="64"/>
      </right>
      <top/>
      <bottom/>
      <diagonal/>
    </border>
    <border>
      <left style="medium">
        <color auto="1"/>
      </left>
      <right/>
      <top/>
      <bottom style="medium">
        <color auto="1"/>
      </bottom>
      <diagonal/>
    </border>
    <border>
      <left style="medium">
        <color indexed="64"/>
      </left>
      <right style="medium">
        <color indexed="64"/>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14996795556505021"/>
      </bottom>
      <diagonal/>
    </border>
    <border>
      <left style="medium">
        <color auto="1"/>
      </left>
      <right/>
      <top style="medium">
        <color indexed="64"/>
      </top>
      <bottom style="thin">
        <color theme="0" tint="-0.14996795556505021"/>
      </bottom>
      <diagonal/>
    </border>
    <border>
      <left/>
      <right/>
      <top style="medium">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diagonal/>
    </border>
    <border>
      <left style="medium">
        <color auto="1"/>
      </left>
      <right style="thin">
        <color auto="1"/>
      </right>
      <top/>
      <bottom style="thin">
        <color auto="1"/>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cellStyleXfs>
  <cellXfs count="372">
    <xf numFmtId="0" fontId="0" fillId="0" borderId="0" xfId="0"/>
    <xf numFmtId="0" fontId="2" fillId="0" borderId="0" xfId="0" applyFont="1"/>
    <xf numFmtId="0" fontId="2" fillId="0" borderId="0" xfId="0" applyFont="1" applyAlignment="1">
      <alignment horizontal="center"/>
    </xf>
    <xf numFmtId="0" fontId="3" fillId="0" borderId="0" xfId="0" applyFont="1"/>
    <xf numFmtId="0" fontId="4" fillId="0" borderId="0" xfId="0" applyFont="1"/>
    <xf numFmtId="0" fontId="6" fillId="0" borderId="0" xfId="3" applyFont="1"/>
    <xf numFmtId="0" fontId="6" fillId="2" borderId="0" xfId="3" applyFont="1" applyFill="1"/>
    <xf numFmtId="0" fontId="7" fillId="0" borderId="0" xfId="0" applyFont="1"/>
    <xf numFmtId="165" fontId="8" fillId="2" borderId="0" xfId="4" applyNumberFormat="1" applyFont="1" applyFill="1"/>
    <xf numFmtId="44" fontId="6" fillId="0" borderId="0" xfId="3" applyNumberFormat="1" applyFont="1"/>
    <xf numFmtId="0" fontId="8" fillId="0" borderId="0" xfId="0" applyFont="1"/>
    <xf numFmtId="0" fontId="9" fillId="0" borderId="0" xfId="3" applyFont="1"/>
    <xf numFmtId="166" fontId="8" fillId="3" borderId="1" xfId="5" applyNumberFormat="1" applyFont="1" applyFill="1" applyBorder="1"/>
    <xf numFmtId="0" fontId="6" fillId="3" borderId="2" xfId="3" applyFont="1" applyFill="1" applyBorder="1"/>
    <xf numFmtId="0" fontId="9" fillId="4" borderId="3" xfId="3" applyFont="1" applyFill="1" applyBorder="1" applyAlignment="1">
      <alignment wrapText="1"/>
    </xf>
    <xf numFmtId="0" fontId="6" fillId="0" borderId="3" xfId="3" applyFont="1" applyBorder="1"/>
    <xf numFmtId="9" fontId="6" fillId="0" borderId="3" xfId="3" applyNumberFormat="1" applyFont="1" applyBorder="1"/>
    <xf numFmtId="9" fontId="6" fillId="0" borderId="3" xfId="6" applyFont="1" applyFill="1" applyBorder="1"/>
    <xf numFmtId="9" fontId="6" fillId="0" borderId="3" xfId="6" applyFont="1" applyBorder="1"/>
    <xf numFmtId="9" fontId="6" fillId="5" borderId="3" xfId="3" applyNumberFormat="1" applyFont="1" applyFill="1" applyBorder="1"/>
    <xf numFmtId="0" fontId="6" fillId="6" borderId="3" xfId="3" applyFont="1" applyFill="1" applyBorder="1"/>
    <xf numFmtId="9" fontId="6" fillId="6" borderId="3" xfId="3" applyNumberFormat="1" applyFont="1" applyFill="1" applyBorder="1"/>
    <xf numFmtId="0" fontId="9" fillId="3" borderId="4" xfId="3" applyFont="1" applyFill="1" applyBorder="1"/>
    <xf numFmtId="166" fontId="9" fillId="3" borderId="3" xfId="5" applyNumberFormat="1" applyFont="1" applyFill="1" applyBorder="1"/>
    <xf numFmtId="165" fontId="8" fillId="0" borderId="0" xfId="4" applyNumberFormat="1" applyFont="1" applyFill="1"/>
    <xf numFmtId="0" fontId="9" fillId="3" borderId="3" xfId="3" applyFont="1" applyFill="1" applyBorder="1"/>
    <xf numFmtId="5" fontId="8" fillId="0" borderId="0" xfId="2" applyNumberFormat="1" applyFont="1"/>
    <xf numFmtId="9" fontId="8" fillId="0" borderId="0" xfId="2" applyFont="1"/>
    <xf numFmtId="0" fontId="11" fillId="2" borderId="1" xfId="3" applyFont="1" applyFill="1" applyBorder="1" applyAlignment="1">
      <alignment vertical="center" wrapText="1"/>
    </xf>
    <xf numFmtId="5" fontId="8" fillId="2" borderId="3" xfId="0" applyNumberFormat="1" applyFont="1" applyFill="1" applyBorder="1" applyAlignment="1">
      <alignment horizontal="center" vertical="center"/>
    </xf>
    <xf numFmtId="5" fontId="8" fillId="2" borderId="1" xfId="0" applyNumberFormat="1" applyFont="1" applyFill="1" applyBorder="1" applyAlignment="1">
      <alignment horizontal="center" vertical="center"/>
    </xf>
    <xf numFmtId="5" fontId="8" fillId="2" borderId="6" xfId="0" applyNumberFormat="1" applyFont="1" applyFill="1" applyBorder="1" applyAlignment="1">
      <alignment horizontal="center" vertical="center"/>
    </xf>
    <xf numFmtId="9" fontId="8" fillId="2" borderId="3" xfId="2" applyFont="1" applyFill="1" applyBorder="1" applyAlignment="1">
      <alignment horizontal="center" vertical="center" wrapText="1"/>
    </xf>
    <xf numFmtId="5" fontId="12" fillId="0" borderId="3" xfId="0" applyNumberFormat="1" applyFont="1" applyBorder="1" applyAlignment="1">
      <alignment horizontal="center" vertical="center"/>
    </xf>
    <xf numFmtId="0" fontId="11" fillId="7" borderId="1" xfId="3" applyFont="1" applyFill="1" applyBorder="1" applyAlignment="1">
      <alignment vertical="center" wrapText="1"/>
    </xf>
    <xf numFmtId="5" fontId="8" fillId="7" borderId="3" xfId="0" applyNumberFormat="1" applyFont="1" applyFill="1" applyBorder="1" applyAlignment="1">
      <alignment horizontal="center" vertical="center"/>
    </xf>
    <xf numFmtId="5" fontId="8" fillId="7" borderId="1" xfId="0" applyNumberFormat="1" applyFont="1" applyFill="1" applyBorder="1" applyAlignment="1">
      <alignment horizontal="center" vertical="center"/>
    </xf>
    <xf numFmtId="5" fontId="8" fillId="7" borderId="6" xfId="0" applyNumberFormat="1" applyFont="1" applyFill="1" applyBorder="1" applyAlignment="1">
      <alignment horizontal="center" vertical="center"/>
    </xf>
    <xf numFmtId="9" fontId="8" fillId="7" borderId="3" xfId="2" applyFont="1" applyFill="1" applyBorder="1" applyAlignment="1">
      <alignment horizontal="center" vertical="center" wrapText="1"/>
    </xf>
    <xf numFmtId="9" fontId="8" fillId="8" borderId="3" xfId="2" applyFont="1" applyFill="1" applyBorder="1" applyAlignment="1">
      <alignment horizontal="center" vertical="center" wrapText="1"/>
    </xf>
    <xf numFmtId="0" fontId="10" fillId="0" borderId="3" xfId="3" applyFont="1" applyBorder="1" applyAlignment="1">
      <alignment vertical="center" wrapText="1"/>
    </xf>
    <xf numFmtId="5" fontId="12" fillId="0" borderId="1" xfId="0" applyNumberFormat="1" applyFont="1" applyBorder="1" applyAlignment="1">
      <alignment horizontal="center" vertical="center"/>
    </xf>
    <xf numFmtId="5" fontId="12" fillId="0" borderId="6" xfId="0" applyNumberFormat="1" applyFont="1" applyBorder="1" applyAlignment="1">
      <alignment horizontal="center" vertical="center"/>
    </xf>
    <xf numFmtId="9" fontId="12" fillId="0" borderId="3" xfId="2" applyFont="1" applyBorder="1" applyAlignment="1">
      <alignment horizontal="center" vertical="center" wrapText="1"/>
    </xf>
    <xf numFmtId="5" fontId="12" fillId="0" borderId="7" xfId="0" applyNumberFormat="1" applyFont="1" applyBorder="1" applyAlignment="1">
      <alignment horizontal="center" vertical="center"/>
    </xf>
    <xf numFmtId="5" fontId="12" fillId="0" borderId="2" xfId="0" applyNumberFormat="1" applyFont="1" applyBorder="1" applyAlignment="1">
      <alignment horizontal="center" vertical="center"/>
    </xf>
    <xf numFmtId="0" fontId="11" fillId="9" borderId="1" xfId="3" applyFont="1" applyFill="1" applyBorder="1" applyAlignment="1">
      <alignment vertical="center" wrapText="1"/>
    </xf>
    <xf numFmtId="5" fontId="8" fillId="9" borderId="3" xfId="0" applyNumberFormat="1" applyFont="1" applyFill="1" applyBorder="1" applyAlignment="1">
      <alignment horizontal="center" vertical="center"/>
    </xf>
    <xf numFmtId="5" fontId="8" fillId="9" borderId="6" xfId="0" applyNumberFormat="1" applyFont="1" applyFill="1" applyBorder="1" applyAlignment="1">
      <alignment horizontal="center" vertical="center"/>
    </xf>
    <xf numFmtId="9" fontId="8" fillId="9" borderId="3" xfId="2" applyFont="1" applyFill="1" applyBorder="1" applyAlignment="1">
      <alignment horizontal="center" vertical="center" wrapText="1"/>
    </xf>
    <xf numFmtId="5" fontId="8" fillId="9" borderId="1" xfId="0" applyNumberFormat="1" applyFont="1" applyFill="1" applyBorder="1" applyAlignment="1">
      <alignment horizontal="center" vertical="center"/>
    </xf>
    <xf numFmtId="0" fontId="10" fillId="6" borderId="3" xfId="3" applyFont="1" applyFill="1" applyBorder="1"/>
    <xf numFmtId="0" fontId="10" fillId="6" borderId="3" xfId="3" applyFont="1" applyFill="1" applyBorder="1" applyAlignment="1">
      <alignment horizontal="center" wrapText="1"/>
    </xf>
    <xf numFmtId="0" fontId="10" fillId="6" borderId="1" xfId="3" applyFont="1" applyFill="1" applyBorder="1" applyAlignment="1">
      <alignment horizontal="center" wrapText="1"/>
    </xf>
    <xf numFmtId="0" fontId="10" fillId="6" borderId="6" xfId="3" applyFont="1" applyFill="1" applyBorder="1" applyAlignment="1">
      <alignment horizontal="center" wrapText="1"/>
    </xf>
    <xf numFmtId="5" fontId="0" fillId="0" borderId="0" xfId="0" applyNumberFormat="1"/>
    <xf numFmtId="0" fontId="0" fillId="0" borderId="0" xfId="0" applyAlignment="1">
      <alignment horizontal="right"/>
    </xf>
    <xf numFmtId="9" fontId="0" fillId="0" borderId="0" xfId="0" applyNumberFormat="1"/>
    <xf numFmtId="0" fontId="11" fillId="14" borderId="1" xfId="3" applyFont="1" applyFill="1" applyBorder="1" applyAlignment="1">
      <alignment vertical="center" wrapText="1"/>
    </xf>
    <xf numFmtId="5" fontId="8" fillId="14" borderId="3" xfId="0" applyNumberFormat="1" applyFont="1" applyFill="1" applyBorder="1" applyAlignment="1">
      <alignment horizontal="center" vertical="center"/>
    </xf>
    <xf numFmtId="5" fontId="8" fillId="14" borderId="1" xfId="0" applyNumberFormat="1" applyFont="1" applyFill="1" applyBorder="1" applyAlignment="1">
      <alignment horizontal="center" vertical="center"/>
    </xf>
    <xf numFmtId="5" fontId="8" fillId="14" borderId="6" xfId="0" applyNumberFormat="1" applyFont="1" applyFill="1" applyBorder="1" applyAlignment="1">
      <alignment horizontal="center" vertical="center"/>
    </xf>
    <xf numFmtId="9" fontId="8" fillId="14" borderId="3" xfId="2" applyFont="1" applyFill="1" applyBorder="1" applyAlignment="1">
      <alignment horizontal="center" vertical="center" wrapText="1"/>
    </xf>
    <xf numFmtId="0" fontId="15" fillId="0" borderId="0" xfId="0" applyFont="1"/>
    <xf numFmtId="0" fontId="12" fillId="0" borderId="0" xfId="0" applyFont="1"/>
    <xf numFmtId="0" fontId="12" fillId="0" borderId="8" xfId="0" applyFont="1" applyBorder="1" applyAlignment="1">
      <alignment wrapText="1"/>
    </xf>
    <xf numFmtId="0" fontId="12" fillId="0" borderId="9" xfId="0" applyFont="1" applyBorder="1" applyAlignment="1">
      <alignment wrapText="1"/>
    </xf>
    <xf numFmtId="0" fontId="12" fillId="0" borderId="10" xfId="0" applyFont="1" applyBorder="1" applyAlignment="1">
      <alignment wrapText="1"/>
    </xf>
    <xf numFmtId="0" fontId="16" fillId="11" borderId="0" xfId="0" applyFont="1" applyFill="1"/>
    <xf numFmtId="0" fontId="8" fillId="11" borderId="9" xfId="0" applyFont="1" applyFill="1" applyBorder="1"/>
    <xf numFmtId="0" fontId="8" fillId="11" borderId="10" xfId="0" applyFont="1" applyFill="1" applyBorder="1"/>
    <xf numFmtId="0" fontId="8" fillId="10" borderId="0" xfId="0" applyFont="1" applyFill="1"/>
    <xf numFmtId="0" fontId="8" fillId="10" borderId="9" xfId="0" applyFont="1" applyFill="1" applyBorder="1"/>
    <xf numFmtId="0" fontId="8" fillId="10" borderId="10" xfId="0" applyFont="1" applyFill="1" applyBorder="1"/>
    <xf numFmtId="0" fontId="16" fillId="12" borderId="0" xfId="0" applyFont="1" applyFill="1"/>
    <xf numFmtId="0" fontId="8" fillId="12" borderId="10" xfId="0" applyFont="1" applyFill="1" applyBorder="1"/>
    <xf numFmtId="0" fontId="8" fillId="8" borderId="0" xfId="0" applyFont="1" applyFill="1"/>
    <xf numFmtId="0" fontId="8" fillId="8" borderId="9" xfId="0" applyFont="1" applyFill="1" applyBorder="1"/>
    <xf numFmtId="0" fontId="8" fillId="8" borderId="10" xfId="0" applyFont="1" applyFill="1" applyBorder="1"/>
    <xf numFmtId="0" fontId="16" fillId="13" borderId="0" xfId="0" applyFont="1" applyFill="1"/>
    <xf numFmtId="0" fontId="8" fillId="13" borderId="10" xfId="0" applyFont="1" applyFill="1" applyBorder="1"/>
    <xf numFmtId="0" fontId="8" fillId="7" borderId="0" xfId="0" applyFont="1" applyFill="1"/>
    <xf numFmtId="0" fontId="8" fillId="7" borderId="9" xfId="0" applyFont="1" applyFill="1" applyBorder="1"/>
    <xf numFmtId="0" fontId="8" fillId="7" borderId="10" xfId="0" applyFont="1" applyFill="1" applyBorder="1"/>
    <xf numFmtId="0" fontId="16" fillId="15" borderId="0" xfId="0" applyFont="1" applyFill="1"/>
    <xf numFmtId="0" fontId="8" fillId="15" borderId="10" xfId="0" applyFont="1" applyFill="1" applyBorder="1"/>
    <xf numFmtId="0" fontId="8" fillId="14" borderId="0" xfId="0" applyFont="1" applyFill="1"/>
    <xf numFmtId="0" fontId="8" fillId="14" borderId="9" xfId="0" applyFont="1" applyFill="1" applyBorder="1"/>
    <xf numFmtId="0" fontId="8" fillId="14" borderId="10" xfId="0" applyFont="1" applyFill="1" applyBorder="1"/>
    <xf numFmtId="0" fontId="9" fillId="0" borderId="0" xfId="0" applyFont="1"/>
    <xf numFmtId="0" fontId="17" fillId="0" borderId="0" xfId="0" applyFont="1"/>
    <xf numFmtId="0" fontId="9" fillId="0" borderId="0" xfId="0" applyFont="1" applyAlignment="1">
      <alignment horizontal="center"/>
    </xf>
    <xf numFmtId="0" fontId="6" fillId="0" borderId="0" xfId="0" applyFont="1"/>
    <xf numFmtId="0" fontId="18" fillId="0" borderId="0" xfId="0" applyFont="1" applyAlignment="1">
      <alignment horizontal="left"/>
    </xf>
    <xf numFmtId="0" fontId="14" fillId="0" borderId="0" xfId="0" applyFont="1"/>
    <xf numFmtId="14" fontId="8" fillId="0" borderId="0" xfId="0" applyNumberFormat="1" applyFont="1"/>
    <xf numFmtId="164" fontId="14" fillId="0" borderId="0" xfId="0" applyNumberFormat="1" applyFont="1"/>
    <xf numFmtId="0" fontId="6" fillId="0" borderId="0" xfId="0" applyFont="1" applyAlignment="1">
      <alignment horizontal="center"/>
    </xf>
    <xf numFmtId="0" fontId="18" fillId="0" borderId="0" xfId="0" applyFont="1" applyAlignment="1">
      <alignment horizontal="left" vertical="top" wrapText="1"/>
    </xf>
    <xf numFmtId="49" fontId="8" fillId="0" borderId="0" xfId="0" applyNumberFormat="1" applyFont="1"/>
    <xf numFmtId="0" fontId="19" fillId="0" borderId="0" xfId="0" applyFont="1" applyAlignment="1">
      <alignment horizontal="left" vertical="top" wrapText="1"/>
    </xf>
    <xf numFmtId="14" fontId="14" fillId="0" borderId="0" xfId="0" applyNumberFormat="1" applyFont="1"/>
    <xf numFmtId="0" fontId="19" fillId="0" borderId="0" xfId="0" applyFont="1" applyAlignment="1">
      <alignment horizontal="left"/>
    </xf>
    <xf numFmtId="44" fontId="15" fillId="0" borderId="0" xfId="1" applyFont="1"/>
    <xf numFmtId="0" fontId="16" fillId="11" borderId="9" xfId="0" applyFont="1" applyFill="1" applyBorder="1"/>
    <xf numFmtId="0" fontId="16" fillId="11" borderId="10" xfId="0" applyFont="1" applyFill="1" applyBorder="1"/>
    <xf numFmtId="44" fontId="15" fillId="0" borderId="0" xfId="0" applyNumberFormat="1" applyFont="1"/>
    <xf numFmtId="0" fontId="20" fillId="16" borderId="0" xfId="0" applyFont="1" applyFill="1"/>
    <xf numFmtId="44" fontId="22" fillId="16" borderId="13" xfId="0" applyNumberFormat="1" applyFont="1" applyFill="1" applyBorder="1"/>
    <xf numFmtId="9" fontId="16" fillId="11" borderId="9" xfId="2" applyFont="1" applyFill="1" applyBorder="1"/>
    <xf numFmtId="9" fontId="16" fillId="15" borderId="9" xfId="2" applyFont="1" applyFill="1" applyBorder="1"/>
    <xf numFmtId="9" fontId="16" fillId="13" borderId="9" xfId="2" applyFont="1" applyFill="1" applyBorder="1"/>
    <xf numFmtId="9" fontId="16" fillId="12" borderId="9" xfId="2" applyFont="1" applyFill="1" applyBorder="1"/>
    <xf numFmtId="9" fontId="8" fillId="10" borderId="9" xfId="2" applyFont="1" applyFill="1" applyBorder="1"/>
    <xf numFmtId="9" fontId="8" fillId="8" borderId="9" xfId="2" applyFont="1" applyFill="1" applyBorder="1"/>
    <xf numFmtId="9" fontId="8" fillId="7" borderId="9" xfId="2" applyFont="1" applyFill="1" applyBorder="1"/>
    <xf numFmtId="9" fontId="8" fillId="14" borderId="9" xfId="2" applyFont="1" applyFill="1" applyBorder="1"/>
    <xf numFmtId="9" fontId="22" fillId="16" borderId="0" xfId="2" applyFont="1" applyFill="1" applyBorder="1"/>
    <xf numFmtId="9" fontId="8" fillId="11" borderId="9" xfId="2" applyFont="1" applyFill="1" applyBorder="1"/>
    <xf numFmtId="9" fontId="8" fillId="12" borderId="9" xfId="2" applyFont="1" applyFill="1" applyBorder="1"/>
    <xf numFmtId="9" fontId="8" fillId="13" borderId="9" xfId="2" applyFont="1" applyFill="1" applyBorder="1"/>
    <xf numFmtId="9" fontId="8" fillId="15" borderId="9" xfId="2" applyFont="1" applyFill="1" applyBorder="1"/>
    <xf numFmtId="0" fontId="16" fillId="0" borderId="0" xfId="0" applyFont="1"/>
    <xf numFmtId="0" fontId="21" fillId="0" borderId="0" xfId="0" applyFont="1"/>
    <xf numFmtId="10" fontId="8" fillId="0" borderId="0" xfId="0" applyNumberFormat="1" applyFont="1"/>
    <xf numFmtId="0" fontId="23" fillId="0" borderId="0" xfId="0" applyFont="1"/>
    <xf numFmtId="0" fontId="8" fillId="14" borderId="0" xfId="0" applyFont="1" applyFill="1" applyAlignment="1">
      <alignment wrapText="1"/>
    </xf>
    <xf numFmtId="165" fontId="0" fillId="0" borderId="0" xfId="0" applyNumberFormat="1"/>
    <xf numFmtId="5" fontId="12" fillId="0" borderId="15" xfId="0" applyNumberFormat="1" applyFont="1" applyBorder="1" applyAlignment="1">
      <alignment horizontal="center" vertical="center"/>
    </xf>
    <xf numFmtId="44" fontId="8" fillId="0" borderId="0" xfId="1" applyFont="1"/>
    <xf numFmtId="44" fontId="8" fillId="0" borderId="0" xfId="0" applyNumberFormat="1" applyFont="1"/>
    <xf numFmtId="0" fontId="3" fillId="0" borderId="0" xfId="0" applyFont="1" applyAlignment="1">
      <alignment wrapText="1"/>
    </xf>
    <xf numFmtId="44" fontId="8" fillId="9" borderId="3" xfId="0" applyNumberFormat="1" applyFont="1" applyFill="1" applyBorder="1" applyAlignment="1">
      <alignment horizontal="center" vertical="center"/>
    </xf>
    <xf numFmtId="44" fontId="8" fillId="2" borderId="3" xfId="0" applyNumberFormat="1" applyFont="1" applyFill="1" applyBorder="1" applyAlignment="1">
      <alignment horizontal="center" vertical="center"/>
    </xf>
    <xf numFmtId="44" fontId="8" fillId="7" borderId="3" xfId="0" applyNumberFormat="1" applyFont="1" applyFill="1" applyBorder="1" applyAlignment="1">
      <alignment horizontal="center" vertical="center"/>
    </xf>
    <xf numFmtId="44" fontId="8" fillId="14" borderId="3" xfId="0" applyNumberFormat="1" applyFont="1" applyFill="1" applyBorder="1" applyAlignment="1">
      <alignment horizontal="center" vertical="center"/>
    </xf>
    <xf numFmtId="44" fontId="0" fillId="0" borderId="0" xfId="0" applyNumberFormat="1"/>
    <xf numFmtId="44" fontId="0" fillId="0" borderId="0" xfId="1" applyFont="1"/>
    <xf numFmtId="0" fontId="24" fillId="0" borderId="0" xfId="0" applyFont="1"/>
    <xf numFmtId="165" fontId="8" fillId="9" borderId="3" xfId="0" applyNumberFormat="1" applyFont="1" applyFill="1" applyBorder="1" applyAlignment="1">
      <alignment horizontal="center" vertical="center"/>
    </xf>
    <xf numFmtId="165" fontId="8" fillId="2" borderId="3" xfId="0" applyNumberFormat="1" applyFont="1" applyFill="1" applyBorder="1" applyAlignment="1">
      <alignment horizontal="center" vertical="center"/>
    </xf>
    <xf numFmtId="165" fontId="8" fillId="7" borderId="3" xfId="0" applyNumberFormat="1" applyFont="1" applyFill="1" applyBorder="1" applyAlignment="1">
      <alignment horizontal="center" vertical="center"/>
    </xf>
    <xf numFmtId="165" fontId="8" fillId="14" borderId="3" xfId="0" applyNumberFormat="1" applyFont="1" applyFill="1" applyBorder="1" applyAlignment="1">
      <alignment horizontal="center" vertical="center"/>
    </xf>
    <xf numFmtId="0" fontId="10" fillId="6" borderId="2" xfId="3" applyFont="1" applyFill="1" applyBorder="1" applyAlignment="1">
      <alignment horizontal="center" wrapText="1"/>
    </xf>
    <xf numFmtId="165" fontId="8" fillId="9" borderId="2"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165" fontId="8" fillId="7" borderId="2" xfId="0" applyNumberFormat="1" applyFont="1" applyFill="1" applyBorder="1" applyAlignment="1">
      <alignment horizontal="center" vertical="center"/>
    </xf>
    <xf numFmtId="165" fontId="8" fillId="14" borderId="2" xfId="0" applyNumberFormat="1" applyFont="1" applyFill="1" applyBorder="1" applyAlignment="1">
      <alignment horizontal="center" vertical="center"/>
    </xf>
    <xf numFmtId="0" fontId="10" fillId="6" borderId="15" xfId="3" applyFont="1" applyFill="1" applyBorder="1" applyAlignment="1">
      <alignment horizontal="center" wrapText="1"/>
    </xf>
    <xf numFmtId="168" fontId="8" fillId="9" borderId="15" xfId="1" applyNumberFormat="1" applyFont="1" applyFill="1" applyBorder="1" applyAlignment="1">
      <alignment horizontal="center" vertical="center"/>
    </xf>
    <xf numFmtId="168" fontId="8" fillId="2" borderId="15" xfId="1" applyNumberFormat="1" applyFont="1" applyFill="1" applyBorder="1" applyAlignment="1">
      <alignment horizontal="center" vertical="center"/>
    </xf>
    <xf numFmtId="168" fontId="8" fillId="7" borderId="15" xfId="1" applyNumberFormat="1" applyFont="1" applyFill="1" applyBorder="1" applyAlignment="1">
      <alignment horizontal="center" vertical="center"/>
    </xf>
    <xf numFmtId="168" fontId="8" fillId="14" borderId="15" xfId="1" applyNumberFormat="1" applyFont="1" applyFill="1" applyBorder="1" applyAlignment="1">
      <alignment horizontal="center" vertical="center"/>
    </xf>
    <xf numFmtId="44" fontId="12" fillId="0" borderId="2" xfId="1" applyFont="1" applyBorder="1" applyAlignment="1">
      <alignment horizontal="center" vertical="center"/>
    </xf>
    <xf numFmtId="5" fontId="0" fillId="0" borderId="3" xfId="0" applyNumberFormat="1" applyBorder="1"/>
    <xf numFmtId="168" fontId="0" fillId="0" borderId="3" xfId="0" applyNumberFormat="1" applyBorder="1"/>
    <xf numFmtId="44" fontId="0" fillId="0" borderId="3" xfId="0" applyNumberFormat="1" applyBorder="1"/>
    <xf numFmtId="0" fontId="0" fillId="6" borderId="3" xfId="0" applyFill="1" applyBorder="1" applyAlignment="1">
      <alignment horizontal="right"/>
    </xf>
    <xf numFmtId="0" fontId="0" fillId="9" borderId="3" xfId="0" applyFill="1" applyBorder="1" applyAlignment="1">
      <alignment horizontal="right"/>
    </xf>
    <xf numFmtId="5" fontId="0" fillId="9" borderId="3" xfId="0" applyNumberFormat="1" applyFill="1" applyBorder="1"/>
    <xf numFmtId="0" fontId="0" fillId="2" borderId="3" xfId="0" applyFill="1" applyBorder="1" applyAlignment="1">
      <alignment horizontal="right"/>
    </xf>
    <xf numFmtId="5" fontId="0" fillId="2" borderId="3" xfId="0" applyNumberFormat="1" applyFill="1" applyBorder="1"/>
    <xf numFmtId="0" fontId="0" fillId="7" borderId="3" xfId="0" applyFill="1" applyBorder="1" applyAlignment="1">
      <alignment horizontal="right"/>
    </xf>
    <xf numFmtId="5" fontId="0" fillId="7" borderId="3" xfId="0" applyNumberFormat="1" applyFill="1" applyBorder="1"/>
    <xf numFmtId="0" fontId="0" fillId="14" borderId="3" xfId="0" applyFill="1" applyBorder="1" applyAlignment="1">
      <alignment horizontal="right"/>
    </xf>
    <xf numFmtId="5" fontId="0" fillId="14" borderId="3" xfId="0" applyNumberFormat="1" applyFill="1" applyBorder="1"/>
    <xf numFmtId="0" fontId="23" fillId="6" borderId="3" xfId="0" applyFont="1" applyFill="1" applyBorder="1"/>
    <xf numFmtId="0" fontId="23" fillId="0" borderId="3" xfId="0" applyFont="1" applyBorder="1"/>
    <xf numFmtId="5" fontId="0" fillId="17" borderId="3" xfId="0" applyNumberFormat="1" applyFill="1" applyBorder="1"/>
    <xf numFmtId="168" fontId="0" fillId="14" borderId="3" xfId="0" applyNumberFormat="1" applyFill="1" applyBorder="1"/>
    <xf numFmtId="0" fontId="26" fillId="0" borderId="0" xfId="0" applyFont="1"/>
    <xf numFmtId="9" fontId="26" fillId="0" borderId="0" xfId="2" applyFont="1"/>
    <xf numFmtId="9" fontId="26" fillId="0" borderId="0" xfId="0" applyNumberFormat="1" applyFont="1"/>
    <xf numFmtId="0" fontId="25" fillId="0" borderId="3" xfId="0" applyFont="1" applyBorder="1"/>
    <xf numFmtId="5" fontId="25" fillId="0" borderId="3" xfId="0" applyNumberFormat="1" applyFont="1" applyBorder="1"/>
    <xf numFmtId="0" fontId="26" fillId="0" borderId="3" xfId="0" applyFont="1" applyBorder="1"/>
    <xf numFmtId="165" fontId="26" fillId="0" borderId="3" xfId="1" applyNumberFormat="1" applyFont="1" applyBorder="1"/>
    <xf numFmtId="0" fontId="26" fillId="0" borderId="17" xfId="0" applyFont="1" applyBorder="1"/>
    <xf numFmtId="165" fontId="26" fillId="0" borderId="17" xfId="1" applyNumberFormat="1" applyFont="1" applyBorder="1"/>
    <xf numFmtId="0" fontId="25" fillId="0" borderId="16" xfId="0" applyFont="1" applyBorder="1"/>
    <xf numFmtId="165" fontId="25" fillId="0" borderId="16" xfId="1" applyNumberFormat="1" applyFont="1" applyBorder="1"/>
    <xf numFmtId="10" fontId="26" fillId="18" borderId="1" xfId="0" applyNumberFormat="1" applyFont="1" applyFill="1" applyBorder="1" applyAlignment="1">
      <alignment vertical="center"/>
    </xf>
    <xf numFmtId="0" fontId="8" fillId="0" borderId="11" xfId="0" applyFont="1" applyBorder="1"/>
    <xf numFmtId="0" fontId="8" fillId="9" borderId="11" xfId="0" applyFont="1" applyFill="1" applyBorder="1"/>
    <xf numFmtId="0" fontId="0" fillId="9" borderId="11" xfId="0" applyFill="1" applyBorder="1"/>
    <xf numFmtId="0" fontId="26" fillId="0" borderId="4" xfId="0" applyFont="1" applyBorder="1"/>
    <xf numFmtId="165" fontId="26" fillId="0" borderId="4" xfId="1" applyNumberFormat="1" applyFont="1" applyBorder="1"/>
    <xf numFmtId="0" fontId="25" fillId="19" borderId="3" xfId="0" applyFont="1" applyFill="1" applyBorder="1"/>
    <xf numFmtId="5" fontId="25" fillId="19" borderId="19" xfId="0" applyNumberFormat="1" applyFont="1" applyFill="1" applyBorder="1"/>
    <xf numFmtId="10" fontId="26" fillId="18" borderId="20" xfId="0" applyNumberFormat="1" applyFont="1" applyFill="1" applyBorder="1" applyAlignment="1">
      <alignment vertical="center"/>
    </xf>
    <xf numFmtId="0" fontId="12" fillId="0" borderId="16" xfId="0" applyFont="1" applyBorder="1"/>
    <xf numFmtId="165" fontId="12" fillId="0" borderId="16" xfId="1" applyNumberFormat="1" applyFont="1" applyBorder="1"/>
    <xf numFmtId="10" fontId="26" fillId="18" borderId="21" xfId="0" applyNumberFormat="1" applyFont="1" applyFill="1" applyBorder="1" applyAlignment="1">
      <alignment vertical="center"/>
    </xf>
    <xf numFmtId="165" fontId="26" fillId="0" borderId="22" xfId="1" applyNumberFormat="1" applyFont="1" applyBorder="1"/>
    <xf numFmtId="10" fontId="12" fillId="0" borderId="16" xfId="0" applyNumberFormat="1" applyFont="1" applyBorder="1"/>
    <xf numFmtId="165" fontId="12" fillId="0" borderId="16" xfId="0" applyNumberFormat="1" applyFont="1" applyBorder="1"/>
    <xf numFmtId="0" fontId="12" fillId="20" borderId="0" xfId="0" applyFont="1" applyFill="1"/>
    <xf numFmtId="0" fontId="8" fillId="0" borderId="23" xfId="0" applyFont="1" applyBorder="1"/>
    <xf numFmtId="0" fontId="8" fillId="0" borderId="6" xfId="0" applyFont="1" applyBorder="1"/>
    <xf numFmtId="0" fontId="8" fillId="9" borderId="6" xfId="0" applyFont="1" applyFill="1" applyBorder="1"/>
    <xf numFmtId="0" fontId="8" fillId="0" borderId="24" xfId="0" applyFont="1" applyBorder="1"/>
    <xf numFmtId="0" fontId="8" fillId="0" borderId="3" xfId="0" applyFont="1" applyBorder="1"/>
    <xf numFmtId="0" fontId="8" fillId="0" borderId="19" xfId="0" applyFont="1" applyBorder="1"/>
    <xf numFmtId="167" fontId="8" fillId="0" borderId="0" xfId="0" applyNumberFormat="1" applyFont="1"/>
    <xf numFmtId="169" fontId="8" fillId="0" borderId="0" xfId="0" applyNumberFormat="1" applyFont="1"/>
    <xf numFmtId="170" fontId="8" fillId="0" borderId="0" xfId="0" applyNumberFormat="1" applyFont="1"/>
    <xf numFmtId="165" fontId="16" fillId="11" borderId="8" xfId="1" applyNumberFormat="1" applyFont="1" applyFill="1" applyBorder="1"/>
    <xf numFmtId="165" fontId="16" fillId="11" borderId="9" xfId="1" applyNumberFormat="1" applyFont="1" applyFill="1" applyBorder="1"/>
    <xf numFmtId="165" fontId="8" fillId="10" borderId="11" xfId="1" applyNumberFormat="1" applyFont="1" applyFill="1" applyBorder="1"/>
    <xf numFmtId="165" fontId="8" fillId="10" borderId="9" xfId="1" applyNumberFormat="1" applyFont="1" applyFill="1" applyBorder="1"/>
    <xf numFmtId="165" fontId="8" fillId="10" borderId="8" xfId="1" applyNumberFormat="1" applyFont="1" applyFill="1" applyBorder="1"/>
    <xf numFmtId="165" fontId="16" fillId="12" borderId="8" xfId="1" applyNumberFormat="1" applyFont="1" applyFill="1" applyBorder="1"/>
    <xf numFmtId="165" fontId="16" fillId="12" borderId="9" xfId="1" applyNumberFormat="1" applyFont="1" applyFill="1" applyBorder="1"/>
    <xf numFmtId="165" fontId="8" fillId="8" borderId="8" xfId="1" applyNumberFormat="1" applyFont="1" applyFill="1" applyBorder="1"/>
    <xf numFmtId="165" fontId="8" fillId="8" borderId="9" xfId="1" applyNumberFormat="1" applyFont="1" applyFill="1" applyBorder="1"/>
    <xf numFmtId="165" fontId="16" fillId="13" borderId="8" xfId="1" applyNumberFormat="1" applyFont="1" applyFill="1" applyBorder="1"/>
    <xf numFmtId="165" fontId="16" fillId="13" borderId="9" xfId="1" applyNumberFormat="1" applyFont="1" applyFill="1" applyBorder="1"/>
    <xf numFmtId="165" fontId="8" fillId="7" borderId="8" xfId="1" applyNumberFormat="1" applyFont="1" applyFill="1" applyBorder="1"/>
    <xf numFmtId="165" fontId="8" fillId="7" borderId="9" xfId="1" applyNumberFormat="1" applyFont="1" applyFill="1" applyBorder="1"/>
    <xf numFmtId="165" fontId="16" fillId="15" borderId="8" xfId="1" applyNumberFormat="1" applyFont="1" applyFill="1" applyBorder="1"/>
    <xf numFmtId="165" fontId="16" fillId="15" borderId="9" xfId="1" applyNumberFormat="1" applyFont="1" applyFill="1" applyBorder="1"/>
    <xf numFmtId="165" fontId="8" fillId="14" borderId="8" xfId="1" applyNumberFormat="1" applyFont="1" applyFill="1" applyBorder="1"/>
    <xf numFmtId="165" fontId="8" fillId="14" borderId="9" xfId="1" applyNumberFormat="1" applyFont="1" applyFill="1" applyBorder="1"/>
    <xf numFmtId="165" fontId="22" fillId="16" borderId="12" xfId="0" applyNumberFormat="1" applyFont="1" applyFill="1" applyBorder="1"/>
    <xf numFmtId="165" fontId="22" fillId="16" borderId="0" xfId="0" applyNumberFormat="1" applyFont="1" applyFill="1"/>
    <xf numFmtId="165" fontId="22" fillId="16" borderId="12" xfId="1" applyNumberFormat="1" applyFont="1" applyFill="1" applyBorder="1"/>
    <xf numFmtId="165" fontId="22" fillId="16" borderId="0" xfId="1" applyNumberFormat="1" applyFont="1" applyFill="1"/>
    <xf numFmtId="165" fontId="8" fillId="0" borderId="0" xfId="1" applyNumberFormat="1" applyFont="1"/>
    <xf numFmtId="165" fontId="4" fillId="0" borderId="10" xfId="0" applyNumberFormat="1" applyFont="1" applyBorder="1"/>
    <xf numFmtId="0" fontId="8" fillId="0" borderId="0" xfId="0" applyFont="1" applyAlignment="1">
      <alignment horizontal="center"/>
    </xf>
    <xf numFmtId="168" fontId="8" fillId="7" borderId="9" xfId="1" applyNumberFormat="1" applyFont="1" applyFill="1" applyBorder="1"/>
    <xf numFmtId="165" fontId="8" fillId="9" borderId="15" xfId="1" applyNumberFormat="1" applyFont="1" applyFill="1" applyBorder="1" applyAlignment="1">
      <alignment horizontal="center" vertical="center"/>
    </xf>
    <xf numFmtId="165" fontId="8" fillId="2" borderId="15" xfId="1" applyNumberFormat="1" applyFont="1" applyFill="1" applyBorder="1" applyAlignment="1">
      <alignment horizontal="center" vertical="center"/>
    </xf>
    <xf numFmtId="165" fontId="8" fillId="7" borderId="15" xfId="1" applyNumberFormat="1" applyFont="1" applyFill="1" applyBorder="1" applyAlignment="1">
      <alignment horizontal="center" vertical="center"/>
    </xf>
    <xf numFmtId="165" fontId="8" fillId="14" borderId="15" xfId="1" applyNumberFormat="1" applyFont="1" applyFill="1" applyBorder="1" applyAlignment="1">
      <alignment horizontal="center" vertical="center"/>
    </xf>
    <xf numFmtId="168" fontId="8" fillId="9" borderId="3" xfId="0" applyNumberFormat="1" applyFont="1" applyFill="1" applyBorder="1" applyAlignment="1">
      <alignment horizontal="center" vertical="center"/>
    </xf>
    <xf numFmtId="168" fontId="8" fillId="9" borderId="2" xfId="0" applyNumberFormat="1" applyFont="1" applyFill="1" applyBorder="1" applyAlignment="1">
      <alignment horizontal="center" vertical="center"/>
    </xf>
    <xf numFmtId="168" fontId="8" fillId="2" borderId="3" xfId="0" applyNumberFormat="1" applyFont="1" applyFill="1" applyBorder="1" applyAlignment="1">
      <alignment horizontal="center" vertical="center"/>
    </xf>
    <xf numFmtId="168" fontId="8" fillId="2" borderId="2" xfId="0" applyNumberFormat="1" applyFont="1" applyFill="1" applyBorder="1" applyAlignment="1">
      <alignment horizontal="center" vertical="center"/>
    </xf>
    <xf numFmtId="168" fontId="8" fillId="7" borderId="3" xfId="0" applyNumberFormat="1" applyFont="1" applyFill="1" applyBorder="1" applyAlignment="1">
      <alignment horizontal="center" vertical="center"/>
    </xf>
    <xf numFmtId="168" fontId="8" fillId="7" borderId="2" xfId="0" applyNumberFormat="1" applyFont="1" applyFill="1" applyBorder="1" applyAlignment="1">
      <alignment horizontal="center" vertical="center"/>
    </xf>
    <xf numFmtId="168" fontId="8" fillId="14" borderId="3" xfId="0" applyNumberFormat="1" applyFont="1" applyFill="1" applyBorder="1" applyAlignment="1">
      <alignment horizontal="center" vertical="center"/>
    </xf>
    <xf numFmtId="168" fontId="8" fillId="14" borderId="2" xfId="0" applyNumberFormat="1" applyFont="1" applyFill="1" applyBorder="1" applyAlignment="1">
      <alignment horizontal="center" vertical="center"/>
    </xf>
    <xf numFmtId="0" fontId="27" fillId="0" borderId="0" xfId="0" applyFont="1"/>
    <xf numFmtId="44" fontId="26" fillId="0" borderId="0" xfId="1" applyFont="1"/>
    <xf numFmtId="5" fontId="8" fillId="0" borderId="0" xfId="0" applyNumberFormat="1" applyFont="1"/>
    <xf numFmtId="5" fontId="26" fillId="0" borderId="0" xfId="2" applyNumberFormat="1" applyFont="1"/>
    <xf numFmtId="5" fontId="26" fillId="0" borderId="0" xfId="0" applyNumberFormat="1" applyFont="1"/>
    <xf numFmtId="165" fontId="26" fillId="0" borderId="0" xfId="0" applyNumberFormat="1" applyFont="1"/>
    <xf numFmtId="167" fontId="26" fillId="0" borderId="0" xfId="0" applyNumberFormat="1" applyFont="1"/>
    <xf numFmtId="165" fontId="26" fillId="0" borderId="3" xfId="1" applyNumberFormat="1" applyFont="1" applyFill="1" applyBorder="1"/>
    <xf numFmtId="165" fontId="26" fillId="0" borderId="17" xfId="1" applyNumberFormat="1" applyFont="1" applyFill="1" applyBorder="1"/>
    <xf numFmtId="165" fontId="12" fillId="0" borderId="2" xfId="1" applyNumberFormat="1" applyFont="1" applyBorder="1" applyAlignment="1">
      <alignment horizontal="center" vertical="center"/>
    </xf>
    <xf numFmtId="165" fontId="26" fillId="19" borderId="4" xfId="1" applyNumberFormat="1" applyFont="1" applyFill="1" applyBorder="1"/>
    <xf numFmtId="165" fontId="26" fillId="19" borderId="3" xfId="1" applyNumberFormat="1" applyFont="1" applyFill="1" applyBorder="1"/>
    <xf numFmtId="165" fontId="26" fillId="19" borderId="17" xfId="1" applyNumberFormat="1" applyFont="1" applyFill="1" applyBorder="1"/>
    <xf numFmtId="165" fontId="26" fillId="0" borderId="4" xfId="1" applyNumberFormat="1" applyFont="1" applyFill="1" applyBorder="1"/>
    <xf numFmtId="0" fontId="28" fillId="0" borderId="0" xfId="0" applyFont="1"/>
    <xf numFmtId="0" fontId="28" fillId="0" borderId="0" xfId="0" applyFont="1" applyAlignment="1">
      <alignment horizontal="center"/>
    </xf>
    <xf numFmtId="5" fontId="4" fillId="0" borderId="26" xfId="0" applyNumberFormat="1" applyFont="1" applyBorder="1" applyAlignment="1">
      <alignment horizontal="center"/>
    </xf>
    <xf numFmtId="0" fontId="28" fillId="0" borderId="26" xfId="0" applyFont="1" applyBorder="1" applyAlignment="1">
      <alignment horizontal="center"/>
    </xf>
    <xf numFmtId="5" fontId="28" fillId="0" borderId="5" xfId="0" applyNumberFormat="1" applyFont="1" applyBorder="1" applyAlignment="1">
      <alignment horizontal="center"/>
    </xf>
    <xf numFmtId="5" fontId="4" fillId="0" borderId="5" xfId="0" applyNumberFormat="1" applyFont="1" applyBorder="1" applyAlignment="1">
      <alignment horizontal="center"/>
    </xf>
    <xf numFmtId="9" fontId="28" fillId="0" borderId="5" xfId="2" applyFont="1" applyBorder="1" applyAlignment="1">
      <alignment horizontal="center"/>
    </xf>
    <xf numFmtId="5" fontId="28" fillId="0" borderId="27" xfId="0" applyNumberFormat="1" applyFont="1" applyBorder="1" applyAlignment="1">
      <alignment horizontal="center"/>
    </xf>
    <xf numFmtId="5" fontId="4" fillId="0" borderId="27" xfId="0" applyNumberFormat="1" applyFont="1" applyBorder="1" applyAlignment="1">
      <alignment horizontal="center"/>
    </xf>
    <xf numFmtId="9" fontId="28" fillId="0" borderId="27" xfId="2" applyFont="1" applyBorder="1" applyAlignment="1">
      <alignment horizontal="center"/>
    </xf>
    <xf numFmtId="0" fontId="21" fillId="0" borderId="0" xfId="0" applyFont="1" applyAlignment="1">
      <alignment horizontal="right"/>
    </xf>
    <xf numFmtId="165" fontId="21" fillId="0" borderId="0" xfId="0" applyNumberFormat="1" applyFont="1"/>
    <xf numFmtId="165" fontId="21" fillId="0" borderId="0" xfId="1" applyNumberFormat="1" applyFont="1"/>
    <xf numFmtId="5" fontId="21" fillId="0" borderId="0" xfId="0" applyNumberFormat="1" applyFont="1"/>
    <xf numFmtId="0" fontId="8" fillId="0" borderId="28" xfId="0" applyFont="1" applyBorder="1" applyAlignment="1">
      <alignment vertical="center"/>
    </xf>
    <xf numFmtId="9" fontId="8" fillId="18" borderId="29" xfId="0" applyNumberFormat="1" applyFont="1" applyFill="1" applyBorder="1" applyAlignment="1">
      <alignment horizontal="center" vertical="center"/>
    </xf>
    <xf numFmtId="0" fontId="0" fillId="0" borderId="0" xfId="0" applyAlignment="1">
      <alignment vertical="center"/>
    </xf>
    <xf numFmtId="0" fontId="12" fillId="19" borderId="32" xfId="0" applyFont="1" applyFill="1" applyBorder="1" applyAlignment="1">
      <alignment horizontal="center" vertical="center" wrapText="1"/>
    </xf>
    <xf numFmtId="0" fontId="8" fillId="0" borderId="23" xfId="0" applyFont="1" applyBorder="1" applyAlignment="1">
      <alignment horizontal="right"/>
    </xf>
    <xf numFmtId="9" fontId="8" fillId="0" borderId="18" xfId="2" applyFont="1" applyBorder="1"/>
    <xf numFmtId="5" fontId="8" fillId="0" borderId="33" xfId="0" applyNumberFormat="1" applyFont="1" applyBorder="1"/>
    <xf numFmtId="0" fontId="8" fillId="0" borderId="34" xfId="0" applyFont="1" applyBorder="1" applyAlignment="1">
      <alignment horizontal="right"/>
    </xf>
    <xf numFmtId="9" fontId="8" fillId="0" borderId="17" xfId="2" applyFont="1" applyBorder="1"/>
    <xf numFmtId="5" fontId="8" fillId="0" borderId="35" xfId="0" applyNumberFormat="1" applyFont="1" applyBorder="1"/>
    <xf numFmtId="0" fontId="12" fillId="0" borderId="28" xfId="0" applyFont="1" applyBorder="1" applyAlignment="1">
      <alignment horizontal="right"/>
    </xf>
    <xf numFmtId="9" fontId="12" fillId="0" borderId="16" xfId="2" applyFont="1" applyBorder="1"/>
    <xf numFmtId="5" fontId="12" fillId="0" borderId="29" xfId="0" applyNumberFormat="1" applyFont="1" applyBorder="1"/>
    <xf numFmtId="0" fontId="8" fillId="0" borderId="0" xfId="0" applyFont="1" applyAlignment="1">
      <alignment vertical="center"/>
    </xf>
    <xf numFmtId="9" fontId="8" fillId="0" borderId="0" xfId="0" applyNumberFormat="1" applyFont="1" applyAlignment="1">
      <alignment horizontal="center" vertical="center"/>
    </xf>
    <xf numFmtId="0" fontId="12" fillId="19" borderId="38" xfId="0" applyFont="1" applyFill="1" applyBorder="1" applyAlignment="1">
      <alignment horizontal="center"/>
    </xf>
    <xf numFmtId="0" fontId="12" fillId="19" borderId="25" xfId="0" applyFont="1" applyFill="1" applyBorder="1" applyAlignment="1">
      <alignment horizontal="center"/>
    </xf>
    <xf numFmtId="0" fontId="12" fillId="19" borderId="39" xfId="0" applyFont="1" applyFill="1" applyBorder="1" applyAlignment="1">
      <alignment horizontal="center"/>
    </xf>
    <xf numFmtId="5" fontId="12" fillId="19" borderId="38" xfId="0" applyNumberFormat="1" applyFont="1" applyFill="1" applyBorder="1"/>
    <xf numFmtId="5" fontId="12" fillId="19" borderId="25" xfId="0" applyNumberFormat="1" applyFont="1" applyFill="1" applyBorder="1"/>
    <xf numFmtId="5" fontId="12" fillId="19" borderId="39" xfId="0" applyNumberFormat="1" applyFont="1" applyFill="1" applyBorder="1"/>
    <xf numFmtId="0" fontId="12" fillId="0" borderId="42" xfId="0" applyFont="1" applyBorder="1"/>
    <xf numFmtId="5" fontId="12" fillId="0" borderId="38" xfId="0" applyNumberFormat="1" applyFont="1" applyBorder="1"/>
    <xf numFmtId="5" fontId="12" fillId="0" borderId="25" xfId="0" applyNumberFormat="1" applyFont="1" applyBorder="1"/>
    <xf numFmtId="5" fontId="12" fillId="0" borderId="43" xfId="0" applyNumberFormat="1" applyFont="1" applyBorder="1"/>
    <xf numFmtId="0" fontId="0" fillId="0" borderId="11" xfId="0" applyBorder="1"/>
    <xf numFmtId="171" fontId="8" fillId="18" borderId="33" xfId="2" applyNumberFormat="1" applyFont="1" applyFill="1" applyBorder="1" applyAlignment="1">
      <alignment horizontal="right"/>
    </xf>
    <xf numFmtId="10" fontId="12" fillId="0" borderId="38" xfId="2" applyNumberFormat="1" applyFont="1" applyFill="1" applyBorder="1"/>
    <xf numFmtId="10" fontId="8" fillId="5" borderId="45" xfId="2" applyNumberFormat="1" applyFont="1" applyFill="1" applyBorder="1"/>
    <xf numFmtId="5" fontId="8" fillId="5" borderId="45" xfId="0" applyNumberFormat="1" applyFont="1" applyFill="1" applyBorder="1"/>
    <xf numFmtId="5" fontId="8" fillId="5" borderId="46" xfId="0" applyNumberFormat="1" applyFont="1" applyFill="1" applyBorder="1"/>
    <xf numFmtId="5" fontId="8" fillId="5" borderId="44" xfId="0" applyNumberFormat="1" applyFont="1" applyFill="1" applyBorder="1"/>
    <xf numFmtId="10" fontId="8" fillId="5" borderId="48" xfId="2" applyNumberFormat="1" applyFont="1" applyFill="1" applyBorder="1"/>
    <xf numFmtId="5" fontId="8" fillId="5" borderId="48" xfId="0" applyNumberFormat="1" applyFont="1" applyFill="1" applyBorder="1"/>
    <xf numFmtId="5" fontId="8" fillId="5" borderId="49" xfId="0" applyNumberFormat="1" applyFont="1" applyFill="1" applyBorder="1"/>
    <xf numFmtId="5" fontId="8" fillId="5" borderId="47" xfId="0" applyNumberFormat="1" applyFont="1" applyFill="1" applyBorder="1"/>
    <xf numFmtId="0" fontId="8" fillId="5" borderId="44" xfId="0" applyFont="1" applyFill="1" applyBorder="1" applyAlignment="1">
      <alignment horizontal="right"/>
    </xf>
    <xf numFmtId="0" fontId="8" fillId="5" borderId="47" xfId="0" applyFont="1" applyFill="1" applyBorder="1" applyAlignment="1">
      <alignment horizontal="right"/>
    </xf>
    <xf numFmtId="0" fontId="0" fillId="0" borderId="0" xfId="0" applyAlignment="1">
      <alignment vertical="center" wrapText="1"/>
    </xf>
    <xf numFmtId="0" fontId="8" fillId="15" borderId="3" xfId="0" applyFont="1" applyFill="1" applyBorder="1"/>
    <xf numFmtId="0" fontId="8" fillId="0" borderId="3" xfId="0" applyFont="1" applyBorder="1" applyAlignment="1">
      <alignment vertical="center"/>
    </xf>
    <xf numFmtId="0" fontId="8" fillId="0" borderId="3" xfId="0" applyFont="1" applyBorder="1" applyAlignment="1">
      <alignment wrapText="1"/>
    </xf>
    <xf numFmtId="0" fontId="8" fillId="0" borderId="3" xfId="0" applyFont="1" applyBorder="1" applyAlignment="1">
      <alignment vertical="center" wrapText="1"/>
    </xf>
    <xf numFmtId="1" fontId="8" fillId="18" borderId="33" xfId="2" applyNumberFormat="1" applyFont="1" applyFill="1" applyBorder="1" applyAlignment="1">
      <alignment horizontal="right"/>
    </xf>
    <xf numFmtId="0" fontId="8" fillId="7" borderId="3" xfId="0" applyFont="1" applyFill="1" applyBorder="1" applyAlignment="1">
      <alignment horizontal="center" vertical="center"/>
    </xf>
    <xf numFmtId="0" fontId="11" fillId="9" borderId="3" xfId="3" applyFont="1" applyFill="1" applyBorder="1" applyAlignment="1">
      <alignment vertical="center" wrapText="1"/>
    </xf>
    <xf numFmtId="0" fontId="11" fillId="2" borderId="3" xfId="3" applyFont="1" applyFill="1" applyBorder="1" applyAlignment="1">
      <alignment vertical="center" wrapText="1"/>
    </xf>
    <xf numFmtId="0" fontId="11" fillId="7" borderId="3" xfId="3" applyFont="1" applyFill="1" applyBorder="1" applyAlignment="1">
      <alignment vertical="center" wrapText="1"/>
    </xf>
    <xf numFmtId="0" fontId="11" fillId="14" borderId="3" xfId="3" applyFont="1" applyFill="1" applyBorder="1" applyAlignment="1">
      <alignment vertical="center" wrapText="1"/>
    </xf>
    <xf numFmtId="0" fontId="8" fillId="7" borderId="3" xfId="0" applyFont="1" applyFill="1" applyBorder="1" applyAlignment="1">
      <alignment horizontal="center" vertical="center" wrapText="1"/>
    </xf>
    <xf numFmtId="165" fontId="0" fillId="0" borderId="0" xfId="1" applyNumberFormat="1" applyFont="1"/>
    <xf numFmtId="9" fontId="0" fillId="0" borderId="0" xfId="2" applyFont="1"/>
    <xf numFmtId="168" fontId="12" fillId="0" borderId="3" xfId="0" applyNumberFormat="1" applyFont="1" applyBorder="1" applyAlignment="1">
      <alignment horizontal="center" vertical="center"/>
    </xf>
    <xf numFmtId="168" fontId="12" fillId="0" borderId="15" xfId="0" applyNumberFormat="1" applyFont="1" applyBorder="1" applyAlignment="1">
      <alignment horizontal="center" vertical="center"/>
    </xf>
    <xf numFmtId="168" fontId="12" fillId="0" borderId="2" xfId="0" applyNumberFormat="1" applyFont="1" applyBorder="1" applyAlignment="1">
      <alignment horizontal="center" vertical="center"/>
    </xf>
    <xf numFmtId="10" fontId="26" fillId="0" borderId="4" xfId="2" applyNumberFormat="1" applyFont="1" applyBorder="1"/>
    <xf numFmtId="10" fontId="26" fillId="0" borderId="3" xfId="2" applyNumberFormat="1" applyFont="1" applyBorder="1"/>
    <xf numFmtId="10" fontId="26" fillId="0" borderId="17" xfId="2" applyNumberFormat="1" applyFont="1" applyBorder="1"/>
    <xf numFmtId="10" fontId="25" fillId="0" borderId="16" xfId="0" applyNumberFormat="1" applyFont="1" applyBorder="1"/>
    <xf numFmtId="10" fontId="26" fillId="0" borderId="20" xfId="0" applyNumberFormat="1" applyFont="1" applyBorder="1" applyAlignment="1">
      <alignment vertical="center"/>
    </xf>
    <xf numFmtId="10" fontId="26" fillId="0" borderId="1" xfId="0" applyNumberFormat="1" applyFont="1" applyBorder="1" applyAlignment="1">
      <alignment vertical="center"/>
    </xf>
    <xf numFmtId="10" fontId="26" fillId="0" borderId="21" xfId="0" applyNumberFormat="1" applyFont="1" applyBorder="1" applyAlignment="1">
      <alignment vertical="center"/>
    </xf>
    <xf numFmtId="0" fontId="29" fillId="0" borderId="0" xfId="0" applyFont="1"/>
    <xf numFmtId="10" fontId="26" fillId="0" borderId="0" xfId="2" applyNumberFormat="1" applyFont="1"/>
    <xf numFmtId="0" fontId="8" fillId="5" borderId="50" xfId="0" applyFont="1" applyFill="1" applyBorder="1" applyAlignment="1">
      <alignment horizontal="right"/>
    </xf>
    <xf numFmtId="0" fontId="8" fillId="5" borderId="42" xfId="0" applyFont="1" applyFill="1" applyBorder="1" applyAlignment="1">
      <alignment horizontal="right"/>
    </xf>
    <xf numFmtId="0" fontId="8" fillId="0" borderId="51" xfId="0" applyFont="1" applyBorder="1"/>
    <xf numFmtId="0" fontId="12" fillId="19" borderId="36" xfId="0" applyFont="1" applyFill="1" applyBorder="1" applyAlignment="1">
      <alignment horizontal="left" vertical="center" wrapText="1"/>
    </xf>
    <xf numFmtId="0" fontId="12" fillId="19" borderId="40" xfId="0" applyFont="1" applyFill="1" applyBorder="1" applyAlignment="1">
      <alignment horizontal="left" vertical="center" wrapText="1"/>
    </xf>
    <xf numFmtId="0" fontId="12" fillId="19" borderId="37" xfId="0" applyFont="1" applyFill="1" applyBorder="1" applyAlignment="1">
      <alignment horizontal="center" vertical="center" wrapText="1"/>
    </xf>
    <xf numFmtId="0" fontId="12" fillId="19" borderId="11" xfId="0" applyFont="1" applyFill="1" applyBorder="1" applyAlignment="1">
      <alignment horizontal="center" vertical="center" wrapText="1"/>
    </xf>
    <xf numFmtId="0" fontId="12" fillId="19" borderId="41" xfId="0" applyFont="1" applyFill="1" applyBorder="1" applyAlignment="1">
      <alignment horizontal="center" vertical="center" wrapText="1"/>
    </xf>
    <xf numFmtId="0" fontId="12" fillId="19" borderId="38" xfId="0" applyFont="1" applyFill="1" applyBorder="1" applyAlignment="1">
      <alignment horizontal="center"/>
    </xf>
    <xf numFmtId="0" fontId="12" fillId="19" borderId="25" xfId="0" applyFont="1" applyFill="1" applyBorder="1" applyAlignment="1">
      <alignment horizontal="center"/>
    </xf>
    <xf numFmtId="0" fontId="12" fillId="19" borderId="39" xfId="0" applyFont="1" applyFill="1" applyBorder="1" applyAlignment="1">
      <alignment horizontal="center"/>
    </xf>
    <xf numFmtId="0" fontId="0" fillId="0" borderId="0" xfId="0" applyAlignment="1">
      <alignment horizontal="left" vertical="center" wrapText="1"/>
    </xf>
    <xf numFmtId="0" fontId="12" fillId="19" borderId="30" xfId="0" applyFont="1" applyFill="1" applyBorder="1" applyAlignment="1">
      <alignment horizontal="center" vertical="center" wrapText="1"/>
    </xf>
    <xf numFmtId="0" fontId="12" fillId="19" borderId="31"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14" borderId="17" xfId="0" applyFont="1" applyFill="1" applyBorder="1" applyAlignment="1">
      <alignment horizontal="center" vertical="center"/>
    </xf>
    <xf numFmtId="0" fontId="8" fillId="14" borderId="22" xfId="0" applyFont="1" applyFill="1" applyBorder="1" applyAlignment="1">
      <alignment horizontal="center" vertical="center"/>
    </xf>
    <xf numFmtId="0" fontId="8" fillId="14" borderId="4" xfId="0" applyFont="1" applyFill="1" applyBorder="1" applyAlignment="1">
      <alignment horizontal="center" vertical="center"/>
    </xf>
    <xf numFmtId="0" fontId="8" fillId="14" borderId="17" xfId="0" applyFont="1" applyFill="1" applyBorder="1" applyAlignment="1">
      <alignment horizontal="center" vertical="center" wrapText="1"/>
    </xf>
    <xf numFmtId="0" fontId="8" fillId="14" borderId="22"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10" fillId="6" borderId="1" xfId="3" applyFont="1" applyFill="1" applyBorder="1" applyAlignment="1">
      <alignment horizontal="center" vertical="center" wrapText="1"/>
    </xf>
    <xf numFmtId="0" fontId="10" fillId="6" borderId="5" xfId="3" applyFont="1" applyFill="1" applyBorder="1" applyAlignment="1">
      <alignment horizontal="center" vertical="center" wrapText="1"/>
    </xf>
    <xf numFmtId="0" fontId="10" fillId="6" borderId="2" xfId="3" applyFont="1" applyFill="1" applyBorder="1" applyAlignment="1">
      <alignment horizontal="center" vertical="center" wrapText="1"/>
    </xf>
    <xf numFmtId="0" fontId="4" fillId="0" borderId="11" xfId="0" applyFont="1" applyBorder="1" applyAlignment="1">
      <alignment horizontal="center"/>
    </xf>
    <xf numFmtId="0" fontId="4" fillId="0" borderId="0" xfId="0" applyFont="1" applyAlignment="1">
      <alignment horizontal="center"/>
    </xf>
    <xf numFmtId="0" fontId="4" fillId="0" borderId="14" xfId="0" applyFont="1" applyBorder="1" applyAlignment="1">
      <alignment horizontal="center"/>
    </xf>
    <xf numFmtId="0" fontId="25" fillId="19" borderId="18" xfId="0" applyFont="1" applyFill="1" applyBorder="1" applyAlignment="1">
      <alignment horizontal="center" wrapText="1"/>
    </xf>
    <xf numFmtId="0" fontId="25" fillId="19" borderId="3" xfId="0" applyFont="1" applyFill="1" applyBorder="1" applyAlignment="1">
      <alignment horizontal="center" wrapText="1"/>
    </xf>
    <xf numFmtId="0" fontId="25" fillId="19" borderId="19" xfId="0" applyFont="1" applyFill="1" applyBorder="1" applyAlignment="1">
      <alignment horizontal="center" wrapText="1"/>
    </xf>
    <xf numFmtId="0" fontId="25" fillId="19" borderId="18" xfId="0" applyFont="1" applyFill="1" applyBorder="1" applyAlignment="1">
      <alignment horizontal="center"/>
    </xf>
    <xf numFmtId="0" fontId="4" fillId="0" borderId="5" xfId="0" applyFont="1" applyBorder="1" applyAlignment="1">
      <alignment horizontal="right"/>
    </xf>
    <xf numFmtId="0" fontId="4" fillId="0" borderId="26" xfId="0" applyFont="1" applyBorder="1" applyAlignment="1">
      <alignment horizontal="right"/>
    </xf>
    <xf numFmtId="0" fontId="4" fillId="0" borderId="27" xfId="0" applyFont="1" applyBorder="1" applyAlignment="1">
      <alignment horizontal="right"/>
    </xf>
    <xf numFmtId="0" fontId="25" fillId="0" borderId="3" xfId="0" applyFont="1" applyBorder="1" applyAlignment="1">
      <alignment horizontal="center" wrapText="1"/>
    </xf>
    <xf numFmtId="0" fontId="25" fillId="0" borderId="3" xfId="0" applyFont="1" applyBorder="1" applyAlignment="1">
      <alignment horizontal="center"/>
    </xf>
  </cellXfs>
  <cellStyles count="7">
    <cellStyle name="Comma 2" xfId="5" xr:uid="{5E599470-01D8-4BE2-90B6-5467CF115987}"/>
    <cellStyle name="Currency" xfId="1" builtinId="4"/>
    <cellStyle name="Currency 2" xfId="4" xr:uid="{5E3E372D-F8ED-433F-A118-1C28063F2CFD}"/>
    <cellStyle name="Normal" xfId="0" builtinId="0"/>
    <cellStyle name="Normal 2" xfId="3" xr:uid="{5656640D-34CF-4243-8E1A-F18556977DFE}"/>
    <cellStyle name="Percent" xfId="2" builtinId="5"/>
    <cellStyle name="Percent 2" xfId="6" xr:uid="{8F9ED6C3-75F0-4F98-8FCF-D30439ABA4CF}"/>
  </cellStyles>
  <dxfs count="5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theme="5" tint="0.59996337778862885"/>
        </patternFill>
      </fill>
    </dxf>
    <dxf>
      <font>
        <color rgb="FF006100"/>
      </font>
      <fill>
        <patternFill>
          <bgColor rgb="FFC6EFCE"/>
        </patternFill>
      </fill>
    </dxf>
    <dxf>
      <font>
        <color rgb="FFFF0000"/>
      </font>
      <fill>
        <patternFill>
          <bgColor theme="5" tint="0.59996337778862885"/>
        </patternFill>
      </fill>
    </dxf>
    <dxf>
      <numFmt numFmtId="9" formatCode="&quot;$&quot;#,##0_);\(&quot;$&quot;#,##0\)"/>
    </dxf>
    <dxf>
      <numFmt numFmtId="9" formatCode="&quot;$&quot;#,##0_);\(&quot;$&quot;#,##0\)"/>
    </dxf>
    <dxf>
      <numFmt numFmtId="9" formatCode="&quot;$&quot;#,##0_);\(&quot;$&quot;#,##0\)"/>
    </dxf>
    <dxf>
      <numFmt numFmtId="9" formatCode="&quot;$&quot;#,##0_);\(&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Table13[[#Headers],[RTF Budgets - Contract RFP Allocation]]</c:f>
          <c:strCache>
            <c:ptCount val="1"/>
            <c:pt idx="0">
              <c:v>RTF Budgets - Contract RFP Allocation</c:v>
            </c:pt>
          </c:strCache>
        </c:strRef>
      </c:tx>
      <c:layout>
        <c:manualLayout>
          <c:xMode val="edge"/>
          <c:yMode val="edge"/>
          <c:x val="0.43102951113931348"/>
          <c:y val="2.201439105826057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616075899506691E-2"/>
          <c:y val="0.11188536953242835"/>
          <c:w val="0.7938958594818436"/>
          <c:h val="0.81813493901497603"/>
        </c:manualLayout>
      </c:layout>
      <c:barChart>
        <c:barDir val="col"/>
        <c:grouping val="stacked"/>
        <c:varyColors val="0"/>
        <c:ser>
          <c:idx val="0"/>
          <c:order val="0"/>
          <c:tx>
            <c:strRef>
              <c:f>'Category History'!$B$50</c:f>
              <c:strCache>
                <c:ptCount val="1"/>
                <c:pt idx="0">
                  <c:v>Existing Measure Review &amp; Updates</c:v>
                </c:pt>
              </c:strCache>
            </c:strRef>
          </c:tx>
          <c:spPr>
            <a:solidFill>
              <a:schemeClr val="accent1"/>
            </a:solidFill>
            <a:ln>
              <a:noFill/>
            </a:ln>
            <a:effectLst/>
          </c:spPr>
          <c:invertIfNegative val="0"/>
          <c:cat>
            <c:strRef>
              <c:f>'Category History'!$C$49:$H$49</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History'!$C$50:$H$50</c:f>
              <c:numCache>
                <c:formatCode>"$"#,##0_);\("$"#,##0\)</c:formatCode>
                <c:ptCount val="6"/>
                <c:pt idx="0">
                  <c:v>92000</c:v>
                </c:pt>
                <c:pt idx="1">
                  <c:v>106600</c:v>
                </c:pt>
                <c:pt idx="2">
                  <c:v>67200</c:v>
                </c:pt>
                <c:pt idx="3">
                  <c:v>90500</c:v>
                </c:pt>
                <c:pt idx="4">
                  <c:v>106000</c:v>
                </c:pt>
                <c:pt idx="5">
                  <c:v>104500</c:v>
                </c:pt>
              </c:numCache>
            </c:numRef>
          </c:val>
          <c:extLst>
            <c:ext xmlns:c16="http://schemas.microsoft.com/office/drawing/2014/chart" uri="{C3380CC4-5D6E-409C-BE32-E72D297353CC}">
              <c16:uniqueId val="{00000000-7B89-43A8-9280-38BFED3B154D}"/>
            </c:ext>
          </c:extLst>
        </c:ser>
        <c:ser>
          <c:idx val="1"/>
          <c:order val="1"/>
          <c:tx>
            <c:strRef>
              <c:f>'Category History'!$B$51</c:f>
              <c:strCache>
                <c:ptCount val="1"/>
                <c:pt idx="0">
                  <c:v>New Measure Development &amp; Review of Unsolicited Proposals</c:v>
                </c:pt>
              </c:strCache>
            </c:strRef>
          </c:tx>
          <c:spPr>
            <a:solidFill>
              <a:schemeClr val="accent2"/>
            </a:solidFill>
            <a:ln>
              <a:noFill/>
            </a:ln>
            <a:effectLst/>
          </c:spPr>
          <c:invertIfNegative val="0"/>
          <c:cat>
            <c:strRef>
              <c:f>'Category History'!$C$49:$H$49</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History'!$C$51:$H$51</c:f>
              <c:numCache>
                <c:formatCode>"$"#,##0_);\("$"#,##0\)</c:formatCode>
                <c:ptCount val="6"/>
                <c:pt idx="0">
                  <c:v>44000</c:v>
                </c:pt>
                <c:pt idx="1">
                  <c:v>41000</c:v>
                </c:pt>
                <c:pt idx="2">
                  <c:v>54600</c:v>
                </c:pt>
                <c:pt idx="3">
                  <c:v>51700</c:v>
                </c:pt>
                <c:pt idx="4">
                  <c:v>57400</c:v>
                </c:pt>
                <c:pt idx="5">
                  <c:v>60500</c:v>
                </c:pt>
              </c:numCache>
            </c:numRef>
          </c:val>
          <c:extLst>
            <c:ext xmlns:c16="http://schemas.microsoft.com/office/drawing/2014/chart" uri="{C3380CC4-5D6E-409C-BE32-E72D297353CC}">
              <c16:uniqueId val="{00000001-7B89-43A8-9280-38BFED3B154D}"/>
            </c:ext>
          </c:extLst>
        </c:ser>
        <c:ser>
          <c:idx val="2"/>
          <c:order val="2"/>
          <c:tx>
            <c:strRef>
              <c:f>'Category History'!$B$52</c:f>
              <c:strCache>
                <c:ptCount val="1"/>
                <c:pt idx="0">
                  <c:v>Standardization of Technical Analysis</c:v>
                </c:pt>
              </c:strCache>
            </c:strRef>
          </c:tx>
          <c:spPr>
            <a:solidFill>
              <a:schemeClr val="accent3"/>
            </a:solidFill>
            <a:ln>
              <a:noFill/>
            </a:ln>
            <a:effectLst/>
          </c:spPr>
          <c:invertIfNegative val="0"/>
          <c:cat>
            <c:strRef>
              <c:f>'Category History'!$C$49:$H$49</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History'!$C$52:$H$52</c:f>
              <c:numCache>
                <c:formatCode>"$"#,##0_);\("$"#,##0\)</c:formatCode>
                <c:ptCount val="6"/>
                <c:pt idx="0">
                  <c:v>40000</c:v>
                </c:pt>
                <c:pt idx="1">
                  <c:v>0</c:v>
                </c:pt>
                <c:pt idx="2">
                  <c:v>21000</c:v>
                </c:pt>
                <c:pt idx="3">
                  <c:v>0</c:v>
                </c:pt>
                <c:pt idx="4">
                  <c:v>0</c:v>
                </c:pt>
                <c:pt idx="5">
                  <c:v>30000</c:v>
                </c:pt>
              </c:numCache>
            </c:numRef>
          </c:val>
          <c:extLst>
            <c:ext xmlns:c16="http://schemas.microsoft.com/office/drawing/2014/chart" uri="{C3380CC4-5D6E-409C-BE32-E72D297353CC}">
              <c16:uniqueId val="{00000002-7B89-43A8-9280-38BFED3B154D}"/>
            </c:ext>
          </c:extLst>
        </c:ser>
        <c:ser>
          <c:idx val="3"/>
          <c:order val="3"/>
          <c:tx>
            <c:strRef>
              <c:f>'Category History'!$B$53</c:f>
              <c:strCache>
                <c:ptCount val="1"/>
                <c:pt idx="0">
                  <c:v>Tool Development</c:v>
                </c:pt>
              </c:strCache>
            </c:strRef>
          </c:tx>
          <c:spPr>
            <a:solidFill>
              <a:schemeClr val="accent4"/>
            </a:solidFill>
            <a:ln>
              <a:noFill/>
            </a:ln>
            <a:effectLst/>
          </c:spPr>
          <c:invertIfNegative val="0"/>
          <c:cat>
            <c:strRef>
              <c:f>'Category History'!$C$49:$H$49</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History'!$C$53:$H$53</c:f>
              <c:numCache>
                <c:formatCode>"$"#,##0_);\("$"#,##0\)</c:formatCode>
                <c:ptCount val="6"/>
                <c:pt idx="0">
                  <c:v>0</c:v>
                </c:pt>
                <c:pt idx="1">
                  <c:v>25600</c:v>
                </c:pt>
                <c:pt idx="2">
                  <c:v>26300</c:v>
                </c:pt>
                <c:pt idx="3">
                  <c:v>0</c:v>
                </c:pt>
                <c:pt idx="4">
                  <c:v>5500</c:v>
                </c:pt>
                <c:pt idx="5">
                  <c:v>60000</c:v>
                </c:pt>
              </c:numCache>
            </c:numRef>
          </c:val>
          <c:extLst>
            <c:ext xmlns:c16="http://schemas.microsoft.com/office/drawing/2014/chart" uri="{C3380CC4-5D6E-409C-BE32-E72D297353CC}">
              <c16:uniqueId val="{00000003-7B89-43A8-9280-38BFED3B154D}"/>
            </c:ext>
          </c:extLst>
        </c:ser>
        <c:ser>
          <c:idx val="4"/>
          <c:order val="4"/>
          <c:tx>
            <c:strRef>
              <c:f>'Category History'!$B$54</c:f>
              <c:strCache>
                <c:ptCount val="1"/>
                <c:pt idx="0">
                  <c:v>Regional Coordination</c:v>
                </c:pt>
              </c:strCache>
            </c:strRef>
          </c:tx>
          <c:spPr>
            <a:solidFill>
              <a:schemeClr val="accent5"/>
            </a:solidFill>
            <a:ln>
              <a:noFill/>
            </a:ln>
            <a:effectLst/>
          </c:spPr>
          <c:invertIfNegative val="0"/>
          <c:cat>
            <c:strRef>
              <c:f>'Category History'!$C$49:$H$49</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History'!$C$54:$H$54</c:f>
              <c:numCache>
                <c:formatCode>"$"#,##0_);\("$"#,##0\)</c:formatCode>
                <c:ptCount val="6"/>
                <c:pt idx="0">
                  <c:v>0</c:v>
                </c:pt>
                <c:pt idx="1">
                  <c:v>10300</c:v>
                </c:pt>
                <c:pt idx="2">
                  <c:v>15800</c:v>
                </c:pt>
                <c:pt idx="3">
                  <c:v>64600</c:v>
                </c:pt>
                <c:pt idx="4">
                  <c:v>27600</c:v>
                </c:pt>
                <c:pt idx="5">
                  <c:v>50000</c:v>
                </c:pt>
              </c:numCache>
            </c:numRef>
          </c:val>
          <c:extLst>
            <c:ext xmlns:c16="http://schemas.microsoft.com/office/drawing/2014/chart" uri="{C3380CC4-5D6E-409C-BE32-E72D297353CC}">
              <c16:uniqueId val="{00000004-7B89-43A8-9280-38BFED3B154D}"/>
            </c:ext>
          </c:extLst>
        </c:ser>
        <c:ser>
          <c:idx val="5"/>
          <c:order val="5"/>
          <c:tx>
            <c:strRef>
              <c:f>'Category History'!$B$55</c:f>
              <c:strCache>
                <c:ptCount val="1"/>
                <c:pt idx="0">
                  <c:v>Demand Response</c:v>
                </c:pt>
              </c:strCache>
            </c:strRef>
          </c:tx>
          <c:spPr>
            <a:solidFill>
              <a:schemeClr val="accent6"/>
            </a:solidFill>
            <a:ln>
              <a:noFill/>
            </a:ln>
            <a:effectLst/>
          </c:spPr>
          <c:invertIfNegative val="0"/>
          <c:cat>
            <c:strRef>
              <c:f>'Category History'!$C$49:$H$49</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History'!$C$55:$H$55</c:f>
              <c:numCache>
                <c:formatCode>"$"#,##0_);\("$"#,##0\)</c:formatCode>
                <c:ptCount val="6"/>
                <c:pt idx="0">
                  <c:v>40000</c:v>
                </c:pt>
                <c:pt idx="1">
                  <c:v>25600</c:v>
                </c:pt>
                <c:pt idx="2">
                  <c:v>0</c:v>
                </c:pt>
                <c:pt idx="3">
                  <c:v>0</c:v>
                </c:pt>
                <c:pt idx="4">
                  <c:v>0</c:v>
                </c:pt>
                <c:pt idx="5">
                  <c:v>55500</c:v>
                </c:pt>
              </c:numCache>
            </c:numRef>
          </c:val>
          <c:extLst>
            <c:ext xmlns:c16="http://schemas.microsoft.com/office/drawing/2014/chart" uri="{C3380CC4-5D6E-409C-BE32-E72D297353CC}">
              <c16:uniqueId val="{00000005-7B89-43A8-9280-38BFED3B154D}"/>
            </c:ext>
          </c:extLst>
        </c:ser>
        <c:ser>
          <c:idx val="6"/>
          <c:order val="6"/>
          <c:tx>
            <c:strRef>
              <c:f>'Category History'!$B$56</c:f>
              <c:strCache>
                <c:ptCount val="1"/>
                <c:pt idx="0">
                  <c:v>Website, Database support, Conservation Tracking </c:v>
                </c:pt>
              </c:strCache>
            </c:strRef>
          </c:tx>
          <c:spPr>
            <a:solidFill>
              <a:schemeClr val="accent1">
                <a:lumMod val="60000"/>
              </a:schemeClr>
            </a:solidFill>
            <a:ln>
              <a:noFill/>
            </a:ln>
            <a:effectLst/>
          </c:spPr>
          <c:invertIfNegative val="0"/>
          <c:cat>
            <c:strRef>
              <c:f>'Category History'!$C$49:$H$49</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History'!$C$56:$H$56</c:f>
              <c:numCache>
                <c:formatCode>"$"#,##0_);\("$"#,##0\)</c:formatCode>
                <c:ptCount val="6"/>
                <c:pt idx="0">
                  <c:v>50000</c:v>
                </c:pt>
                <c:pt idx="1">
                  <c:v>51300</c:v>
                </c:pt>
                <c:pt idx="2">
                  <c:v>52500</c:v>
                </c:pt>
                <c:pt idx="3">
                  <c:v>53800</c:v>
                </c:pt>
                <c:pt idx="4">
                  <c:v>55200</c:v>
                </c:pt>
                <c:pt idx="5">
                  <c:v>61700</c:v>
                </c:pt>
              </c:numCache>
            </c:numRef>
          </c:val>
          <c:extLst>
            <c:ext xmlns:c16="http://schemas.microsoft.com/office/drawing/2014/chart" uri="{C3380CC4-5D6E-409C-BE32-E72D297353CC}">
              <c16:uniqueId val="{00000006-7B89-43A8-9280-38BFED3B154D}"/>
            </c:ext>
          </c:extLst>
        </c:ser>
        <c:ser>
          <c:idx val="7"/>
          <c:order val="7"/>
          <c:tx>
            <c:strRef>
              <c:f>'Category History'!$B$57</c:f>
              <c:strCache>
                <c:ptCount val="1"/>
                <c:pt idx="0">
                  <c:v>RTF Member Support &amp; Administration</c:v>
                </c:pt>
              </c:strCache>
            </c:strRef>
          </c:tx>
          <c:spPr>
            <a:solidFill>
              <a:schemeClr val="accent2">
                <a:lumMod val="60000"/>
              </a:schemeClr>
            </a:solidFill>
            <a:ln>
              <a:noFill/>
            </a:ln>
            <a:effectLst/>
          </c:spPr>
          <c:invertIfNegative val="0"/>
          <c:cat>
            <c:strRef>
              <c:f>'Category History'!$C$49:$H$49</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History'!$C$57:$H$57</c:f>
              <c:numCache>
                <c:formatCode>"$"#,##0_);\("$"#,##0\)</c:formatCode>
                <c:ptCount val="6"/>
                <c:pt idx="0">
                  <c:v>163000</c:v>
                </c:pt>
                <c:pt idx="1">
                  <c:v>167100</c:v>
                </c:pt>
                <c:pt idx="2">
                  <c:v>171300</c:v>
                </c:pt>
                <c:pt idx="3">
                  <c:v>175500</c:v>
                </c:pt>
                <c:pt idx="4">
                  <c:v>179900</c:v>
                </c:pt>
                <c:pt idx="5">
                  <c:v>168200</c:v>
                </c:pt>
              </c:numCache>
            </c:numRef>
          </c:val>
          <c:extLst>
            <c:ext xmlns:c16="http://schemas.microsoft.com/office/drawing/2014/chart" uri="{C3380CC4-5D6E-409C-BE32-E72D297353CC}">
              <c16:uniqueId val="{00000007-7B89-43A8-9280-38BFED3B154D}"/>
            </c:ext>
          </c:extLst>
        </c:ser>
        <c:ser>
          <c:idx val="8"/>
          <c:order val="8"/>
          <c:tx>
            <c:strRef>
              <c:f>'Category History'!$B$58</c:f>
              <c:strCache>
                <c:ptCount val="1"/>
                <c:pt idx="0">
                  <c:v>RTF Management</c:v>
                </c:pt>
              </c:strCache>
            </c:strRef>
          </c:tx>
          <c:spPr>
            <a:solidFill>
              <a:schemeClr val="accent3">
                <a:lumMod val="60000"/>
              </a:schemeClr>
            </a:solidFill>
            <a:ln>
              <a:noFill/>
            </a:ln>
            <a:effectLst/>
          </c:spPr>
          <c:invertIfNegative val="0"/>
          <c:cat>
            <c:strRef>
              <c:f>'Category History'!$C$49:$H$49</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History'!$C$58:$H$58</c:f>
              <c:numCache>
                <c:formatCode>"$"#,##0_);\("$"#,##0\)</c:formatCode>
                <c:ptCount val="6"/>
                <c:pt idx="0">
                  <c:v>4000</c:v>
                </c:pt>
                <c:pt idx="1">
                  <c:v>4100</c:v>
                </c:pt>
                <c:pt idx="2">
                  <c:v>4200</c:v>
                </c:pt>
                <c:pt idx="3">
                  <c:v>4300</c:v>
                </c:pt>
                <c:pt idx="4">
                  <c:v>4400</c:v>
                </c:pt>
                <c:pt idx="5">
                  <c:v>7000</c:v>
                </c:pt>
              </c:numCache>
            </c:numRef>
          </c:val>
          <c:extLst>
            <c:ext xmlns:c16="http://schemas.microsoft.com/office/drawing/2014/chart" uri="{C3380CC4-5D6E-409C-BE32-E72D297353CC}">
              <c16:uniqueId val="{00000008-7B89-43A8-9280-38BFED3B154D}"/>
            </c:ext>
          </c:extLst>
        </c:ser>
        <c:dLbls>
          <c:showLegendKey val="0"/>
          <c:showVal val="0"/>
          <c:showCatName val="0"/>
          <c:showSerName val="0"/>
          <c:showPercent val="0"/>
          <c:showBubbleSize val="0"/>
        </c:dLbls>
        <c:gapWidth val="150"/>
        <c:overlap val="100"/>
        <c:axId val="1389484991"/>
        <c:axId val="949413855"/>
      </c:barChart>
      <c:catAx>
        <c:axId val="1389484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9413855"/>
        <c:crosses val="autoZero"/>
        <c:auto val="1"/>
        <c:lblAlgn val="ctr"/>
        <c:lblOffset val="100"/>
        <c:noMultiLvlLbl val="0"/>
      </c:catAx>
      <c:valAx>
        <c:axId val="949413855"/>
        <c:scaling>
          <c:orientation val="minMax"/>
        </c:scaling>
        <c:delete val="0"/>
        <c:axPos val="l"/>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9484991"/>
        <c:crosses val="autoZero"/>
        <c:crossBetween val="between"/>
      </c:valAx>
      <c:spPr>
        <a:noFill/>
        <a:ln>
          <a:noFill/>
        </a:ln>
        <a:effectLst/>
      </c:spPr>
    </c:plotArea>
    <c:legend>
      <c:legendPos val="r"/>
      <c:layout>
        <c:manualLayout>
          <c:xMode val="edge"/>
          <c:yMode val="edge"/>
          <c:x val="0.85171306391363732"/>
          <c:y val="3.2750917447536256E-2"/>
          <c:w val="0.14198524328793219"/>
          <c:h val="0.94985237705015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Table134[[#Headers],[RTF Budgets - Contract Analyst Team Allocation]]</c:f>
          <c:strCache>
            <c:ptCount val="1"/>
            <c:pt idx="0">
              <c:v>RTF Budgets - Contract Analyst Team Allocation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0715465909097481E-2"/>
          <c:y val="0.10658045977011495"/>
          <c:w val="0.79970694573480194"/>
          <c:h val="0.8321447642320573"/>
        </c:manualLayout>
      </c:layout>
      <c:barChart>
        <c:barDir val="col"/>
        <c:grouping val="stacked"/>
        <c:varyColors val="0"/>
        <c:ser>
          <c:idx val="0"/>
          <c:order val="0"/>
          <c:tx>
            <c:strRef>
              <c:f>'Category History'!$B$71</c:f>
              <c:strCache>
                <c:ptCount val="1"/>
                <c:pt idx="0">
                  <c:v>Existing Measure Review &amp; Updates</c:v>
                </c:pt>
              </c:strCache>
            </c:strRef>
          </c:tx>
          <c:spPr>
            <a:solidFill>
              <a:schemeClr val="accent1"/>
            </a:solidFill>
            <a:ln>
              <a:noFill/>
            </a:ln>
            <a:effectLst/>
          </c:spPr>
          <c:invertIfNegative val="0"/>
          <c:cat>
            <c:strRef>
              <c:f>'Category History'!$C$70:$H$70</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History'!$C$71:$H$71</c:f>
              <c:numCache>
                <c:formatCode>"$"#,##0_);\("$"#,##0\)</c:formatCode>
                <c:ptCount val="6"/>
                <c:pt idx="0">
                  <c:v>345000</c:v>
                </c:pt>
                <c:pt idx="1">
                  <c:v>399800</c:v>
                </c:pt>
                <c:pt idx="2">
                  <c:v>252200</c:v>
                </c:pt>
                <c:pt idx="3">
                  <c:v>339200</c:v>
                </c:pt>
                <c:pt idx="4">
                  <c:v>397400</c:v>
                </c:pt>
                <c:pt idx="5">
                  <c:v>313500</c:v>
                </c:pt>
              </c:numCache>
            </c:numRef>
          </c:val>
          <c:extLst>
            <c:ext xmlns:c16="http://schemas.microsoft.com/office/drawing/2014/chart" uri="{C3380CC4-5D6E-409C-BE32-E72D297353CC}">
              <c16:uniqueId val="{00000000-DB56-4D8C-96E6-0D189CBDF90A}"/>
            </c:ext>
          </c:extLst>
        </c:ser>
        <c:ser>
          <c:idx val="1"/>
          <c:order val="1"/>
          <c:tx>
            <c:strRef>
              <c:f>'Category History'!$B$72</c:f>
              <c:strCache>
                <c:ptCount val="1"/>
                <c:pt idx="0">
                  <c:v>New Measure Development &amp; Review of Unsolicited Proposals</c:v>
                </c:pt>
              </c:strCache>
            </c:strRef>
          </c:tx>
          <c:spPr>
            <a:solidFill>
              <a:schemeClr val="accent2"/>
            </a:solidFill>
            <a:ln>
              <a:noFill/>
            </a:ln>
            <a:effectLst/>
          </c:spPr>
          <c:invertIfNegative val="0"/>
          <c:cat>
            <c:strRef>
              <c:f>'Category History'!$C$70:$H$70</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History'!$C$72:$H$72</c:f>
              <c:numCache>
                <c:formatCode>"$"#,##0_);\("$"#,##0\)</c:formatCode>
                <c:ptCount val="6"/>
                <c:pt idx="0">
                  <c:v>220000</c:v>
                </c:pt>
                <c:pt idx="1">
                  <c:v>174300</c:v>
                </c:pt>
                <c:pt idx="2">
                  <c:v>257400</c:v>
                </c:pt>
                <c:pt idx="3">
                  <c:v>236900</c:v>
                </c:pt>
                <c:pt idx="4">
                  <c:v>270400</c:v>
                </c:pt>
                <c:pt idx="5">
                  <c:v>440000</c:v>
                </c:pt>
              </c:numCache>
            </c:numRef>
          </c:val>
          <c:extLst>
            <c:ext xmlns:c16="http://schemas.microsoft.com/office/drawing/2014/chart" uri="{C3380CC4-5D6E-409C-BE32-E72D297353CC}">
              <c16:uniqueId val="{00000001-DB56-4D8C-96E6-0D189CBDF90A}"/>
            </c:ext>
          </c:extLst>
        </c:ser>
        <c:ser>
          <c:idx val="2"/>
          <c:order val="2"/>
          <c:tx>
            <c:strRef>
              <c:f>'Category History'!$B$73</c:f>
              <c:strCache>
                <c:ptCount val="1"/>
                <c:pt idx="0">
                  <c:v>Standardization of Technical Analysis</c:v>
                </c:pt>
              </c:strCache>
            </c:strRef>
          </c:tx>
          <c:spPr>
            <a:solidFill>
              <a:schemeClr val="accent3"/>
            </a:solidFill>
            <a:ln>
              <a:noFill/>
            </a:ln>
            <a:effectLst/>
          </c:spPr>
          <c:invertIfNegative val="0"/>
          <c:cat>
            <c:strRef>
              <c:f>'Category History'!$C$70:$H$70</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History'!$C$73:$H$73</c:f>
              <c:numCache>
                <c:formatCode>"$"#,##0_);\("$"#,##0\)</c:formatCode>
                <c:ptCount val="6"/>
                <c:pt idx="0">
                  <c:v>230000</c:v>
                </c:pt>
                <c:pt idx="1">
                  <c:v>194800</c:v>
                </c:pt>
                <c:pt idx="2">
                  <c:v>231100</c:v>
                </c:pt>
                <c:pt idx="3">
                  <c:v>210000</c:v>
                </c:pt>
                <c:pt idx="4">
                  <c:v>198700</c:v>
                </c:pt>
                <c:pt idx="5">
                  <c:v>189500</c:v>
                </c:pt>
              </c:numCache>
            </c:numRef>
          </c:val>
          <c:extLst>
            <c:ext xmlns:c16="http://schemas.microsoft.com/office/drawing/2014/chart" uri="{C3380CC4-5D6E-409C-BE32-E72D297353CC}">
              <c16:uniqueId val="{00000002-DB56-4D8C-96E6-0D189CBDF90A}"/>
            </c:ext>
          </c:extLst>
        </c:ser>
        <c:ser>
          <c:idx val="3"/>
          <c:order val="3"/>
          <c:tx>
            <c:strRef>
              <c:f>'Category History'!$B$74</c:f>
              <c:strCache>
                <c:ptCount val="1"/>
                <c:pt idx="0">
                  <c:v>Tool Development</c:v>
                </c:pt>
              </c:strCache>
            </c:strRef>
          </c:tx>
          <c:spPr>
            <a:solidFill>
              <a:schemeClr val="accent4"/>
            </a:solidFill>
            <a:ln>
              <a:noFill/>
            </a:ln>
            <a:effectLst/>
          </c:spPr>
          <c:invertIfNegative val="0"/>
          <c:cat>
            <c:strRef>
              <c:f>'Category History'!$C$70:$H$70</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History'!$C$74:$H$74</c:f>
              <c:numCache>
                <c:formatCode>"$"#,##0_);\("$"#,##0\)</c:formatCode>
                <c:ptCount val="6"/>
                <c:pt idx="0">
                  <c:v>120000</c:v>
                </c:pt>
                <c:pt idx="1">
                  <c:v>140400</c:v>
                </c:pt>
                <c:pt idx="2">
                  <c:v>99800</c:v>
                </c:pt>
                <c:pt idx="3">
                  <c:v>101200</c:v>
                </c:pt>
                <c:pt idx="4">
                  <c:v>124700</c:v>
                </c:pt>
                <c:pt idx="5">
                  <c:v>45000</c:v>
                </c:pt>
              </c:numCache>
            </c:numRef>
          </c:val>
          <c:extLst>
            <c:ext xmlns:c16="http://schemas.microsoft.com/office/drawing/2014/chart" uri="{C3380CC4-5D6E-409C-BE32-E72D297353CC}">
              <c16:uniqueId val="{00000003-DB56-4D8C-96E6-0D189CBDF90A}"/>
            </c:ext>
          </c:extLst>
        </c:ser>
        <c:ser>
          <c:idx val="4"/>
          <c:order val="4"/>
          <c:tx>
            <c:strRef>
              <c:f>'Category History'!$B$75</c:f>
              <c:strCache>
                <c:ptCount val="1"/>
                <c:pt idx="0">
                  <c:v>Regional Coordination</c:v>
                </c:pt>
              </c:strCache>
            </c:strRef>
          </c:tx>
          <c:spPr>
            <a:solidFill>
              <a:schemeClr val="accent5"/>
            </a:solidFill>
            <a:ln>
              <a:noFill/>
            </a:ln>
            <a:effectLst/>
          </c:spPr>
          <c:invertIfNegative val="0"/>
          <c:cat>
            <c:strRef>
              <c:f>'Category History'!$C$70:$H$70</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History'!$C$75:$H$75</c:f>
              <c:numCache>
                <c:formatCode>"$"#,##0_);\("$"#,##0\)</c:formatCode>
                <c:ptCount val="6"/>
                <c:pt idx="0">
                  <c:v>155000</c:v>
                </c:pt>
                <c:pt idx="1">
                  <c:v>184500</c:v>
                </c:pt>
                <c:pt idx="2">
                  <c:v>283700</c:v>
                </c:pt>
                <c:pt idx="3">
                  <c:v>247700</c:v>
                </c:pt>
                <c:pt idx="4">
                  <c:v>187600</c:v>
                </c:pt>
                <c:pt idx="5">
                  <c:v>122600</c:v>
                </c:pt>
              </c:numCache>
            </c:numRef>
          </c:val>
          <c:extLst>
            <c:ext xmlns:c16="http://schemas.microsoft.com/office/drawing/2014/chart" uri="{C3380CC4-5D6E-409C-BE32-E72D297353CC}">
              <c16:uniqueId val="{00000004-DB56-4D8C-96E6-0D189CBDF90A}"/>
            </c:ext>
          </c:extLst>
        </c:ser>
        <c:ser>
          <c:idx val="5"/>
          <c:order val="5"/>
          <c:tx>
            <c:strRef>
              <c:f>'Category History'!$B$76</c:f>
              <c:strCache>
                <c:ptCount val="1"/>
                <c:pt idx="0">
                  <c:v>Demand Response</c:v>
                </c:pt>
              </c:strCache>
            </c:strRef>
          </c:tx>
          <c:spPr>
            <a:solidFill>
              <a:schemeClr val="accent6"/>
            </a:solidFill>
            <a:ln>
              <a:noFill/>
            </a:ln>
            <a:effectLst/>
          </c:spPr>
          <c:invertIfNegative val="0"/>
          <c:cat>
            <c:strRef>
              <c:f>'Category History'!$C$70:$H$70</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History'!$C$76:$H$76</c:f>
              <c:numCache>
                <c:formatCode>"$"#,##0_);\("$"#,##0\)</c:formatCode>
                <c:ptCount val="6"/>
                <c:pt idx="0">
                  <c:v>10000</c:v>
                </c:pt>
                <c:pt idx="1">
                  <c:v>25600</c:v>
                </c:pt>
                <c:pt idx="2">
                  <c:v>52500</c:v>
                </c:pt>
                <c:pt idx="3">
                  <c:v>53800</c:v>
                </c:pt>
                <c:pt idx="4">
                  <c:v>55200</c:v>
                </c:pt>
                <c:pt idx="5">
                  <c:v>55000</c:v>
                </c:pt>
              </c:numCache>
            </c:numRef>
          </c:val>
          <c:extLst>
            <c:ext xmlns:c16="http://schemas.microsoft.com/office/drawing/2014/chart" uri="{C3380CC4-5D6E-409C-BE32-E72D297353CC}">
              <c16:uniqueId val="{00000005-DB56-4D8C-96E6-0D189CBDF90A}"/>
            </c:ext>
          </c:extLst>
        </c:ser>
        <c:ser>
          <c:idx val="6"/>
          <c:order val="6"/>
          <c:tx>
            <c:strRef>
              <c:f>'Category History'!$B$77</c:f>
              <c:strCache>
                <c:ptCount val="1"/>
                <c:pt idx="0">
                  <c:v>Website, Database support, Conservation Tracking </c:v>
                </c:pt>
              </c:strCache>
            </c:strRef>
          </c:tx>
          <c:spPr>
            <a:solidFill>
              <a:schemeClr val="accent1">
                <a:lumMod val="60000"/>
              </a:schemeClr>
            </a:solidFill>
            <a:ln>
              <a:noFill/>
            </a:ln>
            <a:effectLst/>
          </c:spPr>
          <c:invertIfNegative val="0"/>
          <c:cat>
            <c:strRef>
              <c:f>'Category History'!$C$70:$H$70</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History'!$C$77:$H$77</c:f>
              <c:numCache>
                <c:formatCode>"$"#,##0_);\("$"#,##0\)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DB56-4D8C-96E6-0D189CBDF90A}"/>
            </c:ext>
          </c:extLst>
        </c:ser>
        <c:ser>
          <c:idx val="7"/>
          <c:order val="7"/>
          <c:tx>
            <c:strRef>
              <c:f>'Category History'!$B$78</c:f>
              <c:strCache>
                <c:ptCount val="1"/>
                <c:pt idx="0">
                  <c:v>RTF Member Support &amp; Administration</c:v>
                </c:pt>
              </c:strCache>
            </c:strRef>
          </c:tx>
          <c:spPr>
            <a:solidFill>
              <a:schemeClr val="accent2">
                <a:lumMod val="60000"/>
              </a:schemeClr>
            </a:solidFill>
            <a:ln>
              <a:noFill/>
            </a:ln>
            <a:effectLst/>
          </c:spPr>
          <c:invertIfNegative val="0"/>
          <c:cat>
            <c:strRef>
              <c:f>'Category History'!$C$70:$H$70</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History'!$C$78:$H$78</c:f>
              <c:numCache>
                <c:formatCode>"$"#,##0_);\("$"#,##0\)</c:formatCode>
                <c:ptCount val="6"/>
                <c:pt idx="0">
                  <c:v>113000</c:v>
                </c:pt>
                <c:pt idx="1">
                  <c:v>115800</c:v>
                </c:pt>
                <c:pt idx="2">
                  <c:v>118700</c:v>
                </c:pt>
                <c:pt idx="3">
                  <c:v>121700</c:v>
                </c:pt>
                <c:pt idx="4">
                  <c:v>124700</c:v>
                </c:pt>
                <c:pt idx="5">
                  <c:v>110000</c:v>
                </c:pt>
              </c:numCache>
            </c:numRef>
          </c:val>
          <c:extLst>
            <c:ext xmlns:c16="http://schemas.microsoft.com/office/drawing/2014/chart" uri="{C3380CC4-5D6E-409C-BE32-E72D297353CC}">
              <c16:uniqueId val="{00000007-DB56-4D8C-96E6-0D189CBDF90A}"/>
            </c:ext>
          </c:extLst>
        </c:ser>
        <c:ser>
          <c:idx val="8"/>
          <c:order val="8"/>
          <c:tx>
            <c:strRef>
              <c:f>'Category History'!$B$79</c:f>
              <c:strCache>
                <c:ptCount val="1"/>
                <c:pt idx="0">
                  <c:v>RTF Management</c:v>
                </c:pt>
              </c:strCache>
            </c:strRef>
          </c:tx>
          <c:spPr>
            <a:solidFill>
              <a:schemeClr val="accent3">
                <a:lumMod val="60000"/>
              </a:schemeClr>
            </a:solidFill>
            <a:ln>
              <a:noFill/>
            </a:ln>
            <a:effectLst/>
          </c:spPr>
          <c:invertIfNegative val="0"/>
          <c:cat>
            <c:strRef>
              <c:f>'Category History'!$C$70:$H$70</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History'!$C$79:$H$79</c:f>
              <c:numCache>
                <c:formatCode>"$"#,##0_);\("$"#,##0\)</c:formatCode>
                <c:ptCount val="6"/>
                <c:pt idx="0">
                  <c:v>0</c:v>
                </c:pt>
                <c:pt idx="1">
                  <c:v>0</c:v>
                </c:pt>
                <c:pt idx="2">
                  <c:v>0</c:v>
                </c:pt>
                <c:pt idx="3">
                  <c:v>0</c:v>
                </c:pt>
                <c:pt idx="4">
                  <c:v>0</c:v>
                </c:pt>
                <c:pt idx="5">
                  <c:v>5000</c:v>
                </c:pt>
              </c:numCache>
            </c:numRef>
          </c:val>
          <c:extLst>
            <c:ext xmlns:c16="http://schemas.microsoft.com/office/drawing/2014/chart" uri="{C3380CC4-5D6E-409C-BE32-E72D297353CC}">
              <c16:uniqueId val="{00000008-DB56-4D8C-96E6-0D189CBDF90A}"/>
            </c:ext>
          </c:extLst>
        </c:ser>
        <c:dLbls>
          <c:showLegendKey val="0"/>
          <c:showVal val="0"/>
          <c:showCatName val="0"/>
          <c:showSerName val="0"/>
          <c:showPercent val="0"/>
          <c:showBubbleSize val="0"/>
        </c:dLbls>
        <c:gapWidth val="150"/>
        <c:overlap val="100"/>
        <c:axId val="1820050911"/>
        <c:axId val="1646490351"/>
      </c:barChart>
      <c:catAx>
        <c:axId val="18200509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6490351"/>
        <c:crosses val="autoZero"/>
        <c:auto val="1"/>
        <c:lblAlgn val="ctr"/>
        <c:lblOffset val="100"/>
        <c:noMultiLvlLbl val="0"/>
      </c:catAx>
      <c:valAx>
        <c:axId val="1646490351"/>
        <c:scaling>
          <c:orientation val="minMax"/>
        </c:scaling>
        <c:delete val="0"/>
        <c:axPos val="l"/>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0050911"/>
        <c:crosses val="autoZero"/>
        <c:crossBetween val="between"/>
      </c:valAx>
      <c:spPr>
        <a:noFill/>
        <a:ln>
          <a:noFill/>
        </a:ln>
        <a:effectLst/>
      </c:spPr>
    </c:plotArea>
    <c:legend>
      <c:legendPos val="b"/>
      <c:layout>
        <c:manualLayout>
          <c:xMode val="edge"/>
          <c:yMode val="edge"/>
          <c:x val="0.85809352929670879"/>
          <c:y val="4.2743234681871661E-2"/>
          <c:w val="0.13387185552748651"/>
          <c:h val="0.940015386007783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Table1[[#Headers],[RTF Budgets (not including Council In-Kind Contribution)]]</c:f>
          <c:strCache>
            <c:ptCount val="1"/>
            <c:pt idx="0">
              <c:v>RTF Budgets (not including Council In-Kind Contribution)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0763292189836775E-2"/>
          <c:y val="0.12061788617886179"/>
          <c:w val="0.76909098818159594"/>
          <c:h val="0.80028090391140116"/>
        </c:manualLayout>
      </c:layout>
      <c:barChart>
        <c:barDir val="col"/>
        <c:grouping val="stacked"/>
        <c:varyColors val="0"/>
        <c:ser>
          <c:idx val="0"/>
          <c:order val="0"/>
          <c:tx>
            <c:strRef>
              <c:f>'Category History'!$B$21</c:f>
              <c:strCache>
                <c:ptCount val="1"/>
                <c:pt idx="0">
                  <c:v>Existing Measure Review &amp; Updates</c:v>
                </c:pt>
              </c:strCache>
            </c:strRef>
          </c:tx>
          <c:spPr>
            <a:solidFill>
              <a:schemeClr val="accent1"/>
            </a:solidFill>
            <a:ln>
              <a:noFill/>
            </a:ln>
            <a:effectLst/>
          </c:spPr>
          <c:invertIfNegative val="0"/>
          <c:cat>
            <c:strRef>
              <c:f>'Category History'!$C$20:$H$20</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History'!$C$21:$H$21</c:f>
              <c:numCache>
                <c:formatCode>"$"#,##0_);\("$"#,##0\)</c:formatCode>
                <c:ptCount val="6"/>
                <c:pt idx="0">
                  <c:v>437000</c:v>
                </c:pt>
                <c:pt idx="1">
                  <c:v>506400</c:v>
                </c:pt>
                <c:pt idx="2">
                  <c:v>319400</c:v>
                </c:pt>
                <c:pt idx="3">
                  <c:v>429700</c:v>
                </c:pt>
                <c:pt idx="4">
                  <c:v>503300</c:v>
                </c:pt>
                <c:pt idx="5">
                  <c:v>418000</c:v>
                </c:pt>
              </c:numCache>
            </c:numRef>
          </c:val>
          <c:extLst>
            <c:ext xmlns:c16="http://schemas.microsoft.com/office/drawing/2014/chart" uri="{C3380CC4-5D6E-409C-BE32-E72D297353CC}">
              <c16:uniqueId val="{00000000-B5A4-4BC2-891C-2FE40C80860C}"/>
            </c:ext>
          </c:extLst>
        </c:ser>
        <c:ser>
          <c:idx val="1"/>
          <c:order val="1"/>
          <c:tx>
            <c:strRef>
              <c:f>'Category History'!$B$22</c:f>
              <c:strCache>
                <c:ptCount val="1"/>
                <c:pt idx="0">
                  <c:v>New Measure Development &amp; Review of Unsolicited Proposals</c:v>
                </c:pt>
              </c:strCache>
            </c:strRef>
          </c:tx>
          <c:spPr>
            <a:solidFill>
              <a:schemeClr val="accent2"/>
            </a:solidFill>
            <a:ln>
              <a:noFill/>
            </a:ln>
            <a:effectLst/>
          </c:spPr>
          <c:invertIfNegative val="0"/>
          <c:cat>
            <c:strRef>
              <c:f>'Category History'!$C$20:$H$20</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History'!$C$22:$H$22</c:f>
              <c:numCache>
                <c:formatCode>"$"#,##0_);\("$"#,##0\)</c:formatCode>
                <c:ptCount val="6"/>
                <c:pt idx="0">
                  <c:v>264000</c:v>
                </c:pt>
                <c:pt idx="1">
                  <c:v>215300</c:v>
                </c:pt>
                <c:pt idx="2">
                  <c:v>312000</c:v>
                </c:pt>
                <c:pt idx="3">
                  <c:v>288600</c:v>
                </c:pt>
                <c:pt idx="4">
                  <c:v>327800</c:v>
                </c:pt>
                <c:pt idx="5">
                  <c:v>500500</c:v>
                </c:pt>
              </c:numCache>
            </c:numRef>
          </c:val>
          <c:extLst>
            <c:ext xmlns:c16="http://schemas.microsoft.com/office/drawing/2014/chart" uri="{C3380CC4-5D6E-409C-BE32-E72D297353CC}">
              <c16:uniqueId val="{00000001-B5A4-4BC2-891C-2FE40C80860C}"/>
            </c:ext>
          </c:extLst>
        </c:ser>
        <c:ser>
          <c:idx val="2"/>
          <c:order val="2"/>
          <c:tx>
            <c:strRef>
              <c:f>'Category History'!$B$23</c:f>
              <c:strCache>
                <c:ptCount val="1"/>
                <c:pt idx="0">
                  <c:v>Standardization of Technical Analysis</c:v>
                </c:pt>
              </c:strCache>
            </c:strRef>
          </c:tx>
          <c:spPr>
            <a:solidFill>
              <a:schemeClr val="accent3"/>
            </a:solidFill>
            <a:ln>
              <a:noFill/>
            </a:ln>
            <a:effectLst/>
          </c:spPr>
          <c:invertIfNegative val="0"/>
          <c:cat>
            <c:strRef>
              <c:f>'Category History'!$C$20:$H$20</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History'!$C$23:$H$23</c:f>
              <c:numCache>
                <c:formatCode>"$"#,##0_);\("$"#,##0\)</c:formatCode>
                <c:ptCount val="6"/>
                <c:pt idx="0">
                  <c:v>270000</c:v>
                </c:pt>
                <c:pt idx="1">
                  <c:v>194800</c:v>
                </c:pt>
                <c:pt idx="2">
                  <c:v>252200</c:v>
                </c:pt>
                <c:pt idx="3">
                  <c:v>210000</c:v>
                </c:pt>
                <c:pt idx="4">
                  <c:v>198700</c:v>
                </c:pt>
                <c:pt idx="5">
                  <c:v>219500</c:v>
                </c:pt>
              </c:numCache>
            </c:numRef>
          </c:val>
          <c:extLst>
            <c:ext xmlns:c16="http://schemas.microsoft.com/office/drawing/2014/chart" uri="{C3380CC4-5D6E-409C-BE32-E72D297353CC}">
              <c16:uniqueId val="{00000002-B5A4-4BC2-891C-2FE40C80860C}"/>
            </c:ext>
          </c:extLst>
        </c:ser>
        <c:ser>
          <c:idx val="3"/>
          <c:order val="3"/>
          <c:tx>
            <c:strRef>
              <c:f>'Category History'!$B$24</c:f>
              <c:strCache>
                <c:ptCount val="1"/>
                <c:pt idx="0">
                  <c:v>Tool Development</c:v>
                </c:pt>
              </c:strCache>
            </c:strRef>
          </c:tx>
          <c:spPr>
            <a:solidFill>
              <a:schemeClr val="accent4"/>
            </a:solidFill>
            <a:ln>
              <a:noFill/>
            </a:ln>
            <a:effectLst/>
          </c:spPr>
          <c:invertIfNegative val="0"/>
          <c:cat>
            <c:strRef>
              <c:f>'Category History'!$C$20:$H$20</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History'!$C$24:$H$24</c:f>
              <c:numCache>
                <c:formatCode>"$"#,##0_);\("$"#,##0\)</c:formatCode>
                <c:ptCount val="6"/>
                <c:pt idx="0">
                  <c:v>120000</c:v>
                </c:pt>
                <c:pt idx="1">
                  <c:v>166100</c:v>
                </c:pt>
                <c:pt idx="2">
                  <c:v>126100</c:v>
                </c:pt>
                <c:pt idx="3">
                  <c:v>101200</c:v>
                </c:pt>
                <c:pt idx="4">
                  <c:v>130200</c:v>
                </c:pt>
                <c:pt idx="5">
                  <c:v>105000</c:v>
                </c:pt>
              </c:numCache>
            </c:numRef>
          </c:val>
          <c:extLst>
            <c:ext xmlns:c16="http://schemas.microsoft.com/office/drawing/2014/chart" uri="{C3380CC4-5D6E-409C-BE32-E72D297353CC}">
              <c16:uniqueId val="{00000003-B5A4-4BC2-891C-2FE40C80860C}"/>
            </c:ext>
          </c:extLst>
        </c:ser>
        <c:ser>
          <c:idx val="4"/>
          <c:order val="4"/>
          <c:tx>
            <c:strRef>
              <c:f>'Category History'!$B$25</c:f>
              <c:strCache>
                <c:ptCount val="1"/>
                <c:pt idx="0">
                  <c:v>Regional Coordination</c:v>
                </c:pt>
              </c:strCache>
            </c:strRef>
          </c:tx>
          <c:spPr>
            <a:solidFill>
              <a:schemeClr val="accent5"/>
            </a:solidFill>
            <a:ln>
              <a:noFill/>
            </a:ln>
            <a:effectLst/>
          </c:spPr>
          <c:invertIfNegative val="0"/>
          <c:cat>
            <c:strRef>
              <c:f>'Category History'!$C$20:$H$20</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History'!$C$25:$H$25</c:f>
              <c:numCache>
                <c:formatCode>"$"#,##0_);\("$"#,##0\)</c:formatCode>
                <c:ptCount val="6"/>
                <c:pt idx="0">
                  <c:v>155000</c:v>
                </c:pt>
                <c:pt idx="1">
                  <c:v>194800</c:v>
                </c:pt>
                <c:pt idx="2">
                  <c:v>299400</c:v>
                </c:pt>
                <c:pt idx="3">
                  <c:v>312300</c:v>
                </c:pt>
                <c:pt idx="4">
                  <c:v>215200</c:v>
                </c:pt>
                <c:pt idx="5">
                  <c:v>172600</c:v>
                </c:pt>
              </c:numCache>
            </c:numRef>
          </c:val>
          <c:extLst>
            <c:ext xmlns:c16="http://schemas.microsoft.com/office/drawing/2014/chart" uri="{C3380CC4-5D6E-409C-BE32-E72D297353CC}">
              <c16:uniqueId val="{00000004-B5A4-4BC2-891C-2FE40C80860C}"/>
            </c:ext>
          </c:extLst>
        </c:ser>
        <c:ser>
          <c:idx val="5"/>
          <c:order val="5"/>
          <c:tx>
            <c:strRef>
              <c:f>'Category History'!$B$26</c:f>
              <c:strCache>
                <c:ptCount val="1"/>
                <c:pt idx="0">
                  <c:v>Demand Response</c:v>
                </c:pt>
              </c:strCache>
            </c:strRef>
          </c:tx>
          <c:spPr>
            <a:solidFill>
              <a:schemeClr val="accent6"/>
            </a:solidFill>
            <a:ln>
              <a:noFill/>
            </a:ln>
            <a:effectLst/>
          </c:spPr>
          <c:invertIfNegative val="0"/>
          <c:cat>
            <c:strRef>
              <c:f>'Category History'!$C$20:$H$20</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History'!$C$26:$H$26</c:f>
              <c:numCache>
                <c:formatCode>"$"#,##0_);\("$"#,##0\)</c:formatCode>
                <c:ptCount val="6"/>
                <c:pt idx="0">
                  <c:v>50000</c:v>
                </c:pt>
                <c:pt idx="1">
                  <c:v>51300</c:v>
                </c:pt>
                <c:pt idx="2">
                  <c:v>52500</c:v>
                </c:pt>
                <c:pt idx="3">
                  <c:v>53800</c:v>
                </c:pt>
                <c:pt idx="4">
                  <c:v>55200</c:v>
                </c:pt>
                <c:pt idx="5">
                  <c:v>110500</c:v>
                </c:pt>
              </c:numCache>
            </c:numRef>
          </c:val>
          <c:extLst>
            <c:ext xmlns:c16="http://schemas.microsoft.com/office/drawing/2014/chart" uri="{C3380CC4-5D6E-409C-BE32-E72D297353CC}">
              <c16:uniqueId val="{00000005-B5A4-4BC2-891C-2FE40C80860C}"/>
            </c:ext>
          </c:extLst>
        </c:ser>
        <c:ser>
          <c:idx val="6"/>
          <c:order val="6"/>
          <c:tx>
            <c:strRef>
              <c:f>'Category History'!$B$27</c:f>
              <c:strCache>
                <c:ptCount val="1"/>
                <c:pt idx="0">
                  <c:v>Website, Database support, Conservation Tracking </c:v>
                </c:pt>
              </c:strCache>
            </c:strRef>
          </c:tx>
          <c:spPr>
            <a:solidFill>
              <a:schemeClr val="accent1">
                <a:lumMod val="60000"/>
              </a:schemeClr>
            </a:solidFill>
            <a:ln>
              <a:noFill/>
            </a:ln>
            <a:effectLst/>
          </c:spPr>
          <c:invertIfNegative val="0"/>
          <c:cat>
            <c:strRef>
              <c:f>'Category History'!$C$20:$H$20</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History'!$C$27:$H$27</c:f>
              <c:numCache>
                <c:formatCode>"$"#,##0_);\("$"#,##0\)</c:formatCode>
                <c:ptCount val="6"/>
                <c:pt idx="0">
                  <c:v>50000</c:v>
                </c:pt>
                <c:pt idx="1">
                  <c:v>51300</c:v>
                </c:pt>
                <c:pt idx="2">
                  <c:v>52500</c:v>
                </c:pt>
                <c:pt idx="3">
                  <c:v>53800</c:v>
                </c:pt>
                <c:pt idx="4">
                  <c:v>55200</c:v>
                </c:pt>
                <c:pt idx="5">
                  <c:v>61700</c:v>
                </c:pt>
              </c:numCache>
            </c:numRef>
          </c:val>
          <c:extLst>
            <c:ext xmlns:c16="http://schemas.microsoft.com/office/drawing/2014/chart" uri="{C3380CC4-5D6E-409C-BE32-E72D297353CC}">
              <c16:uniqueId val="{00000006-B5A4-4BC2-891C-2FE40C80860C}"/>
            </c:ext>
          </c:extLst>
        </c:ser>
        <c:ser>
          <c:idx val="7"/>
          <c:order val="7"/>
          <c:tx>
            <c:strRef>
              <c:f>'Category History'!$B$28</c:f>
              <c:strCache>
                <c:ptCount val="1"/>
                <c:pt idx="0">
                  <c:v>RTF Member Support &amp; Administration</c:v>
                </c:pt>
              </c:strCache>
            </c:strRef>
          </c:tx>
          <c:spPr>
            <a:solidFill>
              <a:schemeClr val="accent2">
                <a:lumMod val="60000"/>
              </a:schemeClr>
            </a:solidFill>
            <a:ln>
              <a:noFill/>
            </a:ln>
            <a:effectLst/>
          </c:spPr>
          <c:invertIfNegative val="0"/>
          <c:cat>
            <c:strRef>
              <c:f>'Category History'!$C$20:$H$20</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History'!$C$28:$H$28</c:f>
              <c:numCache>
                <c:formatCode>"$"#,##0_);\("$"#,##0\)</c:formatCode>
                <c:ptCount val="6"/>
                <c:pt idx="0">
                  <c:v>276000</c:v>
                </c:pt>
                <c:pt idx="1">
                  <c:v>282900</c:v>
                </c:pt>
                <c:pt idx="2">
                  <c:v>290000</c:v>
                </c:pt>
                <c:pt idx="3">
                  <c:v>297200</c:v>
                </c:pt>
                <c:pt idx="4">
                  <c:v>304700</c:v>
                </c:pt>
                <c:pt idx="5">
                  <c:v>278200</c:v>
                </c:pt>
              </c:numCache>
            </c:numRef>
          </c:val>
          <c:extLst>
            <c:ext xmlns:c16="http://schemas.microsoft.com/office/drawing/2014/chart" uri="{C3380CC4-5D6E-409C-BE32-E72D297353CC}">
              <c16:uniqueId val="{00000007-B5A4-4BC2-891C-2FE40C80860C}"/>
            </c:ext>
          </c:extLst>
        </c:ser>
        <c:ser>
          <c:idx val="8"/>
          <c:order val="8"/>
          <c:tx>
            <c:strRef>
              <c:f>'Category History'!$B$29</c:f>
              <c:strCache>
                <c:ptCount val="1"/>
                <c:pt idx="0">
                  <c:v>RTF Management</c:v>
                </c:pt>
              </c:strCache>
            </c:strRef>
          </c:tx>
          <c:spPr>
            <a:solidFill>
              <a:schemeClr val="accent3">
                <a:lumMod val="60000"/>
              </a:schemeClr>
            </a:solidFill>
            <a:ln>
              <a:noFill/>
            </a:ln>
            <a:effectLst/>
          </c:spPr>
          <c:invertIfNegative val="0"/>
          <c:cat>
            <c:strRef>
              <c:f>'Category History'!$C$20:$H$20</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History'!$C$29:$H$29</c:f>
              <c:numCache>
                <c:formatCode>"$"#,##0_);\("$"#,##0\)</c:formatCode>
                <c:ptCount val="6"/>
                <c:pt idx="0">
                  <c:v>178000</c:v>
                </c:pt>
                <c:pt idx="1">
                  <c:v>182500</c:v>
                </c:pt>
                <c:pt idx="2">
                  <c:v>187000</c:v>
                </c:pt>
                <c:pt idx="3">
                  <c:v>191700</c:v>
                </c:pt>
                <c:pt idx="4">
                  <c:v>196500</c:v>
                </c:pt>
                <c:pt idx="5">
                  <c:v>170500</c:v>
                </c:pt>
              </c:numCache>
            </c:numRef>
          </c:val>
          <c:extLst>
            <c:ext xmlns:c16="http://schemas.microsoft.com/office/drawing/2014/chart" uri="{C3380CC4-5D6E-409C-BE32-E72D297353CC}">
              <c16:uniqueId val="{00000008-B5A4-4BC2-891C-2FE40C80860C}"/>
            </c:ext>
          </c:extLst>
        </c:ser>
        <c:dLbls>
          <c:showLegendKey val="0"/>
          <c:showVal val="0"/>
          <c:showCatName val="0"/>
          <c:showSerName val="0"/>
          <c:showPercent val="0"/>
          <c:showBubbleSize val="0"/>
        </c:dLbls>
        <c:gapWidth val="150"/>
        <c:overlap val="100"/>
        <c:axId val="1816753887"/>
        <c:axId val="2062792959"/>
      </c:barChart>
      <c:catAx>
        <c:axId val="1816753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2792959"/>
        <c:crosses val="autoZero"/>
        <c:auto val="1"/>
        <c:lblAlgn val="ctr"/>
        <c:lblOffset val="100"/>
        <c:noMultiLvlLbl val="0"/>
      </c:catAx>
      <c:valAx>
        <c:axId val="2062792959"/>
        <c:scaling>
          <c:orientation val="minMax"/>
        </c:scaling>
        <c:delete val="0"/>
        <c:axPos val="l"/>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6753887"/>
        <c:crosses val="autoZero"/>
        <c:crossBetween val="between"/>
      </c:valAx>
      <c:spPr>
        <a:noFill/>
        <a:ln>
          <a:noFill/>
        </a:ln>
        <a:effectLst/>
      </c:spPr>
    </c:plotArea>
    <c:legend>
      <c:legendPos val="b"/>
      <c:layout>
        <c:manualLayout>
          <c:xMode val="edge"/>
          <c:yMode val="edge"/>
          <c:x val="0.83737000069798284"/>
          <c:y val="4.9998847705012478E-2"/>
          <c:w val="0.15603323456821164"/>
          <c:h val="0.9304889571730362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RTF Budget by Category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9124233548783217E-2"/>
          <c:y val="0.12061788617886179"/>
          <c:w val="0.72467274572764806"/>
          <c:h val="0.75881672108059661"/>
        </c:manualLayout>
      </c:layout>
      <c:barChart>
        <c:barDir val="col"/>
        <c:grouping val="percentStacked"/>
        <c:varyColors val="0"/>
        <c:ser>
          <c:idx val="0"/>
          <c:order val="0"/>
          <c:tx>
            <c:strRef>
              <c:f>'Category History'!$M$20</c:f>
              <c:strCache>
                <c:ptCount val="1"/>
                <c:pt idx="0">
                  <c:v>Existing Measure Review &amp; Updates</c:v>
                </c:pt>
              </c:strCache>
            </c:strRef>
          </c:tx>
          <c:spPr>
            <a:solidFill>
              <a:schemeClr val="accent1"/>
            </a:solidFill>
            <a:ln>
              <a:noFill/>
            </a:ln>
            <a:effectLst/>
          </c:spPr>
          <c:invertIfNegative val="0"/>
          <c:cat>
            <c:strRef>
              <c:f>'Category History'!$N$19:$S$19</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History'!$N$20:$S$20</c:f>
              <c:numCache>
                <c:formatCode>0%</c:formatCode>
                <c:ptCount val="6"/>
                <c:pt idx="0">
                  <c:v>0.24277777777777779</c:v>
                </c:pt>
                <c:pt idx="1">
                  <c:v>0.27441205158773163</c:v>
                </c:pt>
                <c:pt idx="2">
                  <c:v>0.16889640949711807</c:v>
                </c:pt>
                <c:pt idx="3">
                  <c:v>0.22168910901305267</c:v>
                </c:pt>
                <c:pt idx="4">
                  <c:v>0.25332192470304005</c:v>
                </c:pt>
                <c:pt idx="5">
                  <c:v>0.20525411244782715</c:v>
                </c:pt>
              </c:numCache>
            </c:numRef>
          </c:val>
          <c:extLst>
            <c:ext xmlns:c16="http://schemas.microsoft.com/office/drawing/2014/chart" uri="{C3380CC4-5D6E-409C-BE32-E72D297353CC}">
              <c16:uniqueId val="{00000000-E227-44B8-B35B-A3BB74B59975}"/>
            </c:ext>
          </c:extLst>
        </c:ser>
        <c:ser>
          <c:idx val="1"/>
          <c:order val="1"/>
          <c:tx>
            <c:strRef>
              <c:f>'Category History'!$M$21</c:f>
              <c:strCache>
                <c:ptCount val="1"/>
                <c:pt idx="0">
                  <c:v>New Measure Development &amp; Review of Unsolicited Proposals</c:v>
                </c:pt>
              </c:strCache>
            </c:strRef>
          </c:tx>
          <c:spPr>
            <a:solidFill>
              <a:schemeClr val="accent2"/>
            </a:solidFill>
            <a:ln>
              <a:noFill/>
            </a:ln>
            <a:effectLst/>
          </c:spPr>
          <c:invertIfNegative val="0"/>
          <c:cat>
            <c:strRef>
              <c:f>'Category History'!$N$19:$S$19</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History'!$N$21:$S$21</c:f>
              <c:numCache>
                <c:formatCode>0%</c:formatCode>
                <c:ptCount val="6"/>
                <c:pt idx="0">
                  <c:v>0.14666666666666667</c:v>
                </c:pt>
                <c:pt idx="1">
                  <c:v>0.11666847295979192</c:v>
                </c:pt>
                <c:pt idx="2">
                  <c:v>0.16498334302786738</c:v>
                </c:pt>
                <c:pt idx="3">
                  <c:v>0.1488933601609658</c:v>
                </c:pt>
                <c:pt idx="4">
                  <c:v>0.16498892691765654</c:v>
                </c:pt>
                <c:pt idx="5">
                  <c:v>0.24576479253621408</c:v>
                </c:pt>
              </c:numCache>
            </c:numRef>
          </c:val>
          <c:extLst>
            <c:ext xmlns:c16="http://schemas.microsoft.com/office/drawing/2014/chart" uri="{C3380CC4-5D6E-409C-BE32-E72D297353CC}">
              <c16:uniqueId val="{00000001-E227-44B8-B35B-A3BB74B59975}"/>
            </c:ext>
          </c:extLst>
        </c:ser>
        <c:ser>
          <c:idx val="2"/>
          <c:order val="2"/>
          <c:tx>
            <c:strRef>
              <c:f>'Category History'!$M$22</c:f>
              <c:strCache>
                <c:ptCount val="1"/>
                <c:pt idx="0">
                  <c:v>Standardization of Technical Analysis</c:v>
                </c:pt>
              </c:strCache>
            </c:strRef>
          </c:tx>
          <c:spPr>
            <a:solidFill>
              <a:schemeClr val="accent3"/>
            </a:solidFill>
            <a:ln>
              <a:noFill/>
            </a:ln>
            <a:effectLst/>
          </c:spPr>
          <c:invertIfNegative val="0"/>
          <c:cat>
            <c:strRef>
              <c:f>'Category History'!$N$19:$S$19</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History'!$N$22:$S$22</c:f>
              <c:numCache>
                <c:formatCode>0%</c:formatCode>
                <c:ptCount val="6"/>
                <c:pt idx="0">
                  <c:v>0.15</c:v>
                </c:pt>
                <c:pt idx="1">
                  <c:v>0.10555977023951447</c:v>
                </c:pt>
                <c:pt idx="2">
                  <c:v>0.13336153561419281</c:v>
                </c:pt>
                <c:pt idx="3">
                  <c:v>0.10834236186348863</c:v>
                </c:pt>
                <c:pt idx="4">
                  <c:v>0.10001006643849406</c:v>
                </c:pt>
                <c:pt idx="5">
                  <c:v>0.10778296096243555</c:v>
                </c:pt>
              </c:numCache>
            </c:numRef>
          </c:val>
          <c:extLst>
            <c:ext xmlns:c16="http://schemas.microsoft.com/office/drawing/2014/chart" uri="{C3380CC4-5D6E-409C-BE32-E72D297353CC}">
              <c16:uniqueId val="{00000002-E227-44B8-B35B-A3BB74B59975}"/>
            </c:ext>
          </c:extLst>
        </c:ser>
        <c:ser>
          <c:idx val="3"/>
          <c:order val="3"/>
          <c:tx>
            <c:strRef>
              <c:f>'Category History'!$M$23</c:f>
              <c:strCache>
                <c:ptCount val="1"/>
                <c:pt idx="0">
                  <c:v>Tool Development</c:v>
                </c:pt>
              </c:strCache>
            </c:strRef>
          </c:tx>
          <c:spPr>
            <a:solidFill>
              <a:schemeClr val="accent4"/>
            </a:solidFill>
            <a:ln>
              <a:noFill/>
            </a:ln>
            <a:effectLst/>
          </c:spPr>
          <c:invertIfNegative val="0"/>
          <c:cat>
            <c:strRef>
              <c:f>'Category History'!$N$19:$S$19</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History'!$N$23:$S$23</c:f>
              <c:numCache>
                <c:formatCode>0%</c:formatCode>
                <c:ptCount val="6"/>
                <c:pt idx="0">
                  <c:v>6.6666666666666666E-2</c:v>
                </c:pt>
                <c:pt idx="1">
                  <c:v>9.0007586431126038E-2</c:v>
                </c:pt>
                <c:pt idx="2">
                  <c:v>6.6680767807096405E-2</c:v>
                </c:pt>
                <c:pt idx="3">
                  <c:v>5.2210700098024039E-2</c:v>
                </c:pt>
                <c:pt idx="4">
                  <c:v>6.5532514596335814E-2</c:v>
                </c:pt>
                <c:pt idx="5">
                  <c:v>5.1559047385219742E-2</c:v>
                </c:pt>
              </c:numCache>
            </c:numRef>
          </c:val>
          <c:extLst>
            <c:ext xmlns:c16="http://schemas.microsoft.com/office/drawing/2014/chart" uri="{C3380CC4-5D6E-409C-BE32-E72D297353CC}">
              <c16:uniqueId val="{00000003-E227-44B8-B35B-A3BB74B59975}"/>
            </c:ext>
          </c:extLst>
        </c:ser>
        <c:ser>
          <c:idx val="4"/>
          <c:order val="4"/>
          <c:tx>
            <c:strRef>
              <c:f>'Category History'!$M$24</c:f>
              <c:strCache>
                <c:ptCount val="1"/>
                <c:pt idx="0">
                  <c:v>Regional Coordination</c:v>
                </c:pt>
              </c:strCache>
            </c:strRef>
          </c:tx>
          <c:spPr>
            <a:solidFill>
              <a:schemeClr val="accent5"/>
            </a:solidFill>
            <a:ln>
              <a:noFill/>
            </a:ln>
            <a:effectLst/>
          </c:spPr>
          <c:invertIfNegative val="0"/>
          <c:cat>
            <c:strRef>
              <c:f>'Category History'!$N$19:$S$19</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History'!$N$24:$S$24</c:f>
              <c:numCache>
                <c:formatCode>0%</c:formatCode>
                <c:ptCount val="6"/>
                <c:pt idx="0">
                  <c:v>8.611111111111111E-2</c:v>
                </c:pt>
                <c:pt idx="1">
                  <c:v>0.10555977023951447</c:v>
                </c:pt>
                <c:pt idx="2">
                  <c:v>0.15832055417481888</c:v>
                </c:pt>
                <c:pt idx="3">
                  <c:v>0.1611205695712738</c:v>
                </c:pt>
                <c:pt idx="4">
                  <c:v>0.10831487819609423</c:v>
                </c:pt>
                <c:pt idx="5">
                  <c:v>8.4753253130370729E-2</c:v>
                </c:pt>
              </c:numCache>
            </c:numRef>
          </c:val>
          <c:extLst>
            <c:ext xmlns:c16="http://schemas.microsoft.com/office/drawing/2014/chart" uri="{C3380CC4-5D6E-409C-BE32-E72D297353CC}">
              <c16:uniqueId val="{00000004-E227-44B8-B35B-A3BB74B59975}"/>
            </c:ext>
          </c:extLst>
        </c:ser>
        <c:ser>
          <c:idx val="5"/>
          <c:order val="5"/>
          <c:tx>
            <c:strRef>
              <c:f>'Category History'!$M$25</c:f>
              <c:strCache>
                <c:ptCount val="1"/>
                <c:pt idx="0">
                  <c:v>Demand Response</c:v>
                </c:pt>
              </c:strCache>
            </c:strRef>
          </c:tx>
          <c:spPr>
            <a:solidFill>
              <a:schemeClr val="accent6"/>
            </a:solidFill>
            <a:ln>
              <a:noFill/>
            </a:ln>
            <a:effectLst/>
          </c:spPr>
          <c:invertIfNegative val="0"/>
          <c:cat>
            <c:strRef>
              <c:f>'Category History'!$N$19:$S$19</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History'!$N$25:$S$25</c:f>
              <c:numCache>
                <c:formatCode>0%</c:formatCode>
                <c:ptCount val="6"/>
                <c:pt idx="0">
                  <c:v>2.7777777777777776E-2</c:v>
                </c:pt>
                <c:pt idx="1">
                  <c:v>2.7798851197572343E-2</c:v>
                </c:pt>
                <c:pt idx="2">
                  <c:v>2.7761620221035375E-2</c:v>
                </c:pt>
                <c:pt idx="3">
                  <c:v>2.7756281277408038E-2</c:v>
                </c:pt>
                <c:pt idx="4">
                  <c:v>2.7783370243607813E-2</c:v>
                </c:pt>
                <c:pt idx="5">
                  <c:v>5.4259759391112203E-2</c:v>
                </c:pt>
              </c:numCache>
            </c:numRef>
          </c:val>
          <c:extLst>
            <c:ext xmlns:c16="http://schemas.microsoft.com/office/drawing/2014/chart" uri="{C3380CC4-5D6E-409C-BE32-E72D297353CC}">
              <c16:uniqueId val="{00000005-E227-44B8-B35B-A3BB74B59975}"/>
            </c:ext>
          </c:extLst>
        </c:ser>
        <c:ser>
          <c:idx val="6"/>
          <c:order val="6"/>
          <c:tx>
            <c:strRef>
              <c:f>'Category History'!$M$26</c:f>
              <c:strCache>
                <c:ptCount val="1"/>
                <c:pt idx="0">
                  <c:v>Website, Database support, Conservation Tracking </c:v>
                </c:pt>
              </c:strCache>
            </c:strRef>
          </c:tx>
          <c:spPr>
            <a:solidFill>
              <a:schemeClr val="accent1">
                <a:lumMod val="60000"/>
              </a:schemeClr>
            </a:solidFill>
            <a:ln>
              <a:noFill/>
            </a:ln>
            <a:effectLst/>
          </c:spPr>
          <c:invertIfNegative val="0"/>
          <c:cat>
            <c:strRef>
              <c:f>'Category History'!$N$19:$S$19</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History'!$N$26:$S$26</c:f>
              <c:numCache>
                <c:formatCode>0%</c:formatCode>
                <c:ptCount val="6"/>
                <c:pt idx="0">
                  <c:v>2.7777777777777776E-2</c:v>
                </c:pt>
                <c:pt idx="1">
                  <c:v>2.7798851197572343E-2</c:v>
                </c:pt>
                <c:pt idx="2">
                  <c:v>2.7761620221035375E-2</c:v>
                </c:pt>
                <c:pt idx="3">
                  <c:v>2.7756281277408038E-2</c:v>
                </c:pt>
                <c:pt idx="4">
                  <c:v>2.7783370243607813E-2</c:v>
                </c:pt>
                <c:pt idx="5">
                  <c:v>3.0297078320648169E-2</c:v>
                </c:pt>
              </c:numCache>
            </c:numRef>
          </c:val>
          <c:extLst>
            <c:ext xmlns:c16="http://schemas.microsoft.com/office/drawing/2014/chart" uri="{C3380CC4-5D6E-409C-BE32-E72D297353CC}">
              <c16:uniqueId val="{00000006-E227-44B8-B35B-A3BB74B59975}"/>
            </c:ext>
          </c:extLst>
        </c:ser>
        <c:ser>
          <c:idx val="7"/>
          <c:order val="7"/>
          <c:tx>
            <c:strRef>
              <c:f>'Category History'!$M$27</c:f>
              <c:strCache>
                <c:ptCount val="1"/>
                <c:pt idx="0">
                  <c:v>RTF Member Support &amp; Administration</c:v>
                </c:pt>
              </c:strCache>
            </c:strRef>
          </c:tx>
          <c:spPr>
            <a:solidFill>
              <a:schemeClr val="accent2">
                <a:lumMod val="60000"/>
              </a:schemeClr>
            </a:solidFill>
            <a:ln>
              <a:noFill/>
            </a:ln>
            <a:effectLst/>
          </c:spPr>
          <c:invertIfNegative val="0"/>
          <c:cat>
            <c:strRef>
              <c:f>'Category History'!$N$19:$S$19</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History'!$N$27:$S$27</c:f>
              <c:numCache>
                <c:formatCode>0%</c:formatCode>
                <c:ptCount val="6"/>
                <c:pt idx="0">
                  <c:v>0.15333333333333332</c:v>
                </c:pt>
                <c:pt idx="1">
                  <c:v>0.15330009753982876</c:v>
                </c:pt>
                <c:pt idx="2">
                  <c:v>0.15334990217333827</c:v>
                </c:pt>
                <c:pt idx="3">
                  <c:v>0.15333023783728009</c:v>
                </c:pt>
                <c:pt idx="4">
                  <c:v>0.1533621904570163</c:v>
                </c:pt>
                <c:pt idx="5">
                  <c:v>0.13660692364350602</c:v>
                </c:pt>
              </c:numCache>
            </c:numRef>
          </c:val>
          <c:extLst>
            <c:ext xmlns:c16="http://schemas.microsoft.com/office/drawing/2014/chart" uri="{C3380CC4-5D6E-409C-BE32-E72D297353CC}">
              <c16:uniqueId val="{00000007-E227-44B8-B35B-A3BB74B59975}"/>
            </c:ext>
          </c:extLst>
        </c:ser>
        <c:ser>
          <c:idx val="8"/>
          <c:order val="8"/>
          <c:tx>
            <c:strRef>
              <c:f>'Category History'!$M$28</c:f>
              <c:strCache>
                <c:ptCount val="1"/>
                <c:pt idx="0">
                  <c:v>RTF Management</c:v>
                </c:pt>
              </c:strCache>
            </c:strRef>
          </c:tx>
          <c:spPr>
            <a:solidFill>
              <a:schemeClr val="accent3">
                <a:lumMod val="60000"/>
              </a:schemeClr>
            </a:solidFill>
            <a:ln>
              <a:noFill/>
            </a:ln>
            <a:effectLst/>
          </c:spPr>
          <c:invertIfNegative val="0"/>
          <c:cat>
            <c:strRef>
              <c:f>'Category History'!$N$19:$S$19</c:f>
              <c:strCache>
                <c:ptCount val="6"/>
                <c:pt idx="0">
                  <c:v>Approved 2020</c:v>
                </c:pt>
                <c:pt idx="1">
                  <c:v>Estimated Approved 2021</c:v>
                </c:pt>
                <c:pt idx="2">
                  <c:v>Estimated Approved 2022</c:v>
                </c:pt>
                <c:pt idx="3">
                  <c:v>Estimated Approved 2023</c:v>
                </c:pt>
                <c:pt idx="4">
                  <c:v>Estimated Approved 2024</c:v>
                </c:pt>
                <c:pt idx="5">
                  <c:v>Proposed 2025</c:v>
                </c:pt>
              </c:strCache>
            </c:strRef>
          </c:cat>
          <c:val>
            <c:numRef>
              <c:f>'Category History'!$N$28:$S$28</c:f>
              <c:numCache>
                <c:formatCode>0%</c:formatCode>
                <c:ptCount val="6"/>
                <c:pt idx="0">
                  <c:v>9.8888888888888887E-2</c:v>
                </c:pt>
                <c:pt idx="1">
                  <c:v>9.8894548607348004E-2</c:v>
                </c:pt>
                <c:pt idx="2">
                  <c:v>9.8884247263497441E-2</c:v>
                </c:pt>
                <c:pt idx="3">
                  <c:v>9.8901098901098897E-2</c:v>
                </c:pt>
                <c:pt idx="4">
                  <c:v>9.8902758204147373E-2</c:v>
                </c:pt>
                <c:pt idx="5">
                  <c:v>8.3722072182666335E-2</c:v>
                </c:pt>
              </c:numCache>
            </c:numRef>
          </c:val>
          <c:extLst>
            <c:ext xmlns:c16="http://schemas.microsoft.com/office/drawing/2014/chart" uri="{C3380CC4-5D6E-409C-BE32-E72D297353CC}">
              <c16:uniqueId val="{00000008-E227-44B8-B35B-A3BB74B59975}"/>
            </c:ext>
          </c:extLst>
        </c:ser>
        <c:dLbls>
          <c:showLegendKey val="0"/>
          <c:showVal val="0"/>
          <c:showCatName val="0"/>
          <c:showSerName val="0"/>
          <c:showPercent val="0"/>
          <c:showBubbleSize val="0"/>
        </c:dLbls>
        <c:gapWidth val="150"/>
        <c:overlap val="100"/>
        <c:axId val="2135465583"/>
        <c:axId val="1544773871"/>
      </c:barChart>
      <c:catAx>
        <c:axId val="2135465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4773871"/>
        <c:crosses val="autoZero"/>
        <c:auto val="1"/>
        <c:lblAlgn val="ctr"/>
        <c:lblOffset val="100"/>
        <c:noMultiLvlLbl val="0"/>
      </c:catAx>
      <c:valAx>
        <c:axId val="1544773871"/>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5465583"/>
        <c:crosses val="autoZero"/>
        <c:crossBetween val="between"/>
      </c:valAx>
      <c:spPr>
        <a:noFill/>
        <a:ln>
          <a:noFill/>
        </a:ln>
        <a:effectLst/>
      </c:spPr>
    </c:plotArea>
    <c:legend>
      <c:legendPos val="b"/>
      <c:layout>
        <c:manualLayout>
          <c:xMode val="edge"/>
          <c:yMode val="edge"/>
          <c:x val="0.78354372194518884"/>
          <c:y val="2.8046859996159055E-2"/>
          <c:w val="0.20144072085825945"/>
          <c:h val="0.952440944881889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'2025-2029 Combined Category'!$B$50</c:f>
          <c:strCache>
            <c:ptCount val="1"/>
            <c:pt idx="0">
              <c:v>RTF Budgets - Contract RFP Allocation</c:v>
            </c:pt>
          </c:strCache>
        </c:strRef>
      </c:tx>
      <c:layout>
        <c:manualLayout>
          <c:xMode val="edge"/>
          <c:yMode val="edge"/>
          <c:x val="0.43102951113931348"/>
          <c:y val="2.201439105826057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616075899506691E-2"/>
          <c:y val="0.11188536953242835"/>
          <c:w val="0.7938958594818436"/>
          <c:h val="0.81813493901497603"/>
        </c:manualLayout>
      </c:layout>
      <c:barChart>
        <c:barDir val="col"/>
        <c:grouping val="stacked"/>
        <c:varyColors val="0"/>
        <c:ser>
          <c:idx val="0"/>
          <c:order val="0"/>
          <c:tx>
            <c:strRef>
              <c:f>'2025-2029 Combined Category'!$B$51</c:f>
              <c:strCache>
                <c:ptCount val="1"/>
                <c:pt idx="0">
                  <c:v>Existing Measure Review &amp; Updates</c:v>
                </c:pt>
              </c:strCache>
            </c:strRef>
          </c:tx>
          <c:spPr>
            <a:solidFill>
              <a:schemeClr val="accent1"/>
            </a:solidFill>
            <a:ln>
              <a:noFill/>
            </a:ln>
            <a:effectLst/>
          </c:spPr>
          <c:invertIfNegative val="0"/>
          <c:cat>
            <c:strRef>
              <c:f>'2025-2029 Combined Category'!$C$50:$G$50</c:f>
              <c:strCache>
                <c:ptCount val="5"/>
                <c:pt idx="0">
                  <c:v>Proposed 2025</c:v>
                </c:pt>
                <c:pt idx="1">
                  <c:v>Estimated 2026</c:v>
                </c:pt>
                <c:pt idx="2">
                  <c:v>Estimated 2027</c:v>
                </c:pt>
                <c:pt idx="3">
                  <c:v>Estimated 2028</c:v>
                </c:pt>
                <c:pt idx="4">
                  <c:v>Estimated 2029</c:v>
                </c:pt>
              </c:strCache>
            </c:strRef>
          </c:cat>
          <c:val>
            <c:numRef>
              <c:f>'2025-2029 Combined Category'!$C$51:$G$51</c:f>
              <c:numCache>
                <c:formatCode>_("$"* #,##0.00_);_("$"* \(#,##0.00\);_("$"* "-"??_);_(@_)</c:formatCode>
                <c:ptCount val="5"/>
                <c:pt idx="0">
                  <c:v>104500</c:v>
                </c:pt>
                <c:pt idx="1">
                  <c:v>107350</c:v>
                </c:pt>
                <c:pt idx="2">
                  <c:v>179800</c:v>
                </c:pt>
                <c:pt idx="3">
                  <c:v>200600</c:v>
                </c:pt>
                <c:pt idx="4">
                  <c:v>146400</c:v>
                </c:pt>
              </c:numCache>
            </c:numRef>
          </c:val>
          <c:extLst>
            <c:ext xmlns:c16="http://schemas.microsoft.com/office/drawing/2014/chart" uri="{C3380CC4-5D6E-409C-BE32-E72D297353CC}">
              <c16:uniqueId val="{00000000-7081-416A-9A59-9B09D13F7C2A}"/>
            </c:ext>
          </c:extLst>
        </c:ser>
        <c:ser>
          <c:idx val="1"/>
          <c:order val="1"/>
          <c:tx>
            <c:strRef>
              <c:f>'2025-2029 Combined Category'!$B$52</c:f>
              <c:strCache>
                <c:ptCount val="1"/>
                <c:pt idx="0">
                  <c:v>New Measure Development &amp; Review of Unsolicited Proposals</c:v>
                </c:pt>
              </c:strCache>
            </c:strRef>
          </c:tx>
          <c:spPr>
            <a:solidFill>
              <a:schemeClr val="accent2"/>
            </a:solidFill>
            <a:ln>
              <a:noFill/>
            </a:ln>
            <a:effectLst/>
          </c:spPr>
          <c:invertIfNegative val="0"/>
          <c:cat>
            <c:strRef>
              <c:f>'2025-2029 Combined Category'!$C$50:$G$50</c:f>
              <c:strCache>
                <c:ptCount val="5"/>
                <c:pt idx="0">
                  <c:v>Proposed 2025</c:v>
                </c:pt>
                <c:pt idx="1">
                  <c:v>Estimated 2026</c:v>
                </c:pt>
                <c:pt idx="2">
                  <c:v>Estimated 2027</c:v>
                </c:pt>
                <c:pt idx="3">
                  <c:v>Estimated 2028</c:v>
                </c:pt>
                <c:pt idx="4">
                  <c:v>Estimated 2029</c:v>
                </c:pt>
              </c:strCache>
            </c:strRef>
          </c:cat>
          <c:val>
            <c:numRef>
              <c:f>'2025-2029 Combined Category'!$C$52:$G$52</c:f>
              <c:numCache>
                <c:formatCode>_("$"* #,##0.00_);_("$"* \(#,##0.00\);_("$"* "-"??_);_(@_)</c:formatCode>
                <c:ptCount val="5"/>
                <c:pt idx="0">
                  <c:v>60500</c:v>
                </c:pt>
                <c:pt idx="1">
                  <c:v>73450</c:v>
                </c:pt>
                <c:pt idx="2">
                  <c:v>29000</c:v>
                </c:pt>
                <c:pt idx="3">
                  <c:v>0</c:v>
                </c:pt>
                <c:pt idx="4">
                  <c:v>54900</c:v>
                </c:pt>
              </c:numCache>
            </c:numRef>
          </c:val>
          <c:extLst>
            <c:ext xmlns:c16="http://schemas.microsoft.com/office/drawing/2014/chart" uri="{C3380CC4-5D6E-409C-BE32-E72D297353CC}">
              <c16:uniqueId val="{00000001-7081-416A-9A59-9B09D13F7C2A}"/>
            </c:ext>
          </c:extLst>
        </c:ser>
        <c:ser>
          <c:idx val="2"/>
          <c:order val="2"/>
          <c:tx>
            <c:strRef>
              <c:f>'2025-2029 Combined Category'!$B$53</c:f>
              <c:strCache>
                <c:ptCount val="1"/>
                <c:pt idx="0">
                  <c:v>Standardization of Technical Analysis</c:v>
                </c:pt>
              </c:strCache>
            </c:strRef>
          </c:tx>
          <c:spPr>
            <a:solidFill>
              <a:schemeClr val="accent3"/>
            </a:solidFill>
            <a:ln>
              <a:noFill/>
            </a:ln>
            <a:effectLst/>
          </c:spPr>
          <c:invertIfNegative val="0"/>
          <c:cat>
            <c:strRef>
              <c:f>'2025-2029 Combined Category'!$C$50:$G$50</c:f>
              <c:strCache>
                <c:ptCount val="5"/>
                <c:pt idx="0">
                  <c:v>Proposed 2025</c:v>
                </c:pt>
                <c:pt idx="1">
                  <c:v>Estimated 2026</c:v>
                </c:pt>
                <c:pt idx="2">
                  <c:v>Estimated 2027</c:v>
                </c:pt>
                <c:pt idx="3">
                  <c:v>Estimated 2028</c:v>
                </c:pt>
                <c:pt idx="4">
                  <c:v>Estimated 2029</c:v>
                </c:pt>
              </c:strCache>
            </c:strRef>
          </c:cat>
          <c:val>
            <c:numRef>
              <c:f>'2025-2029 Combined Category'!$C$53:$G$53</c:f>
              <c:numCache>
                <c:formatCode>_("$"* #,##0.00_);_("$"* \(#,##0.00\);_("$"* "-"??_);_(@_)</c:formatCode>
                <c:ptCount val="5"/>
                <c:pt idx="0">
                  <c:v>30000</c:v>
                </c:pt>
                <c:pt idx="1">
                  <c:v>0</c:v>
                </c:pt>
                <c:pt idx="2">
                  <c:v>15000</c:v>
                </c:pt>
                <c:pt idx="3">
                  <c:v>0</c:v>
                </c:pt>
                <c:pt idx="4">
                  <c:v>0</c:v>
                </c:pt>
              </c:numCache>
            </c:numRef>
          </c:val>
          <c:extLst>
            <c:ext xmlns:c16="http://schemas.microsoft.com/office/drawing/2014/chart" uri="{C3380CC4-5D6E-409C-BE32-E72D297353CC}">
              <c16:uniqueId val="{00000002-7081-416A-9A59-9B09D13F7C2A}"/>
            </c:ext>
          </c:extLst>
        </c:ser>
        <c:ser>
          <c:idx val="3"/>
          <c:order val="3"/>
          <c:tx>
            <c:strRef>
              <c:f>'2025-2029 Combined Category'!$B$54</c:f>
              <c:strCache>
                <c:ptCount val="1"/>
                <c:pt idx="0">
                  <c:v>Tool Development</c:v>
                </c:pt>
              </c:strCache>
            </c:strRef>
          </c:tx>
          <c:spPr>
            <a:solidFill>
              <a:schemeClr val="accent4"/>
            </a:solidFill>
            <a:ln>
              <a:noFill/>
            </a:ln>
            <a:effectLst/>
          </c:spPr>
          <c:invertIfNegative val="0"/>
          <c:cat>
            <c:strRef>
              <c:f>'2025-2029 Combined Category'!$C$50:$G$50</c:f>
              <c:strCache>
                <c:ptCount val="5"/>
                <c:pt idx="0">
                  <c:v>Proposed 2025</c:v>
                </c:pt>
                <c:pt idx="1">
                  <c:v>Estimated 2026</c:v>
                </c:pt>
                <c:pt idx="2">
                  <c:v>Estimated 2027</c:v>
                </c:pt>
                <c:pt idx="3">
                  <c:v>Estimated 2028</c:v>
                </c:pt>
                <c:pt idx="4">
                  <c:v>Estimated 2029</c:v>
                </c:pt>
              </c:strCache>
            </c:strRef>
          </c:cat>
          <c:val>
            <c:numRef>
              <c:f>'2025-2029 Combined Category'!$C$54:$G$54</c:f>
              <c:numCache>
                <c:formatCode>_("$"* #,##0.00_);_("$"* \(#,##0.00\);_("$"* "-"??_);_(@_)</c:formatCode>
                <c:ptCount val="5"/>
                <c:pt idx="0">
                  <c:v>60000</c:v>
                </c:pt>
                <c:pt idx="1">
                  <c:v>30000</c:v>
                </c:pt>
                <c:pt idx="2">
                  <c:v>30000</c:v>
                </c:pt>
                <c:pt idx="3">
                  <c:v>140000</c:v>
                </c:pt>
                <c:pt idx="4">
                  <c:v>30000</c:v>
                </c:pt>
              </c:numCache>
            </c:numRef>
          </c:val>
          <c:extLst>
            <c:ext xmlns:c16="http://schemas.microsoft.com/office/drawing/2014/chart" uri="{C3380CC4-5D6E-409C-BE32-E72D297353CC}">
              <c16:uniqueId val="{00000003-7081-416A-9A59-9B09D13F7C2A}"/>
            </c:ext>
          </c:extLst>
        </c:ser>
        <c:ser>
          <c:idx val="4"/>
          <c:order val="4"/>
          <c:tx>
            <c:strRef>
              <c:f>'2025-2029 Combined Category'!$B$55</c:f>
              <c:strCache>
                <c:ptCount val="1"/>
                <c:pt idx="0">
                  <c:v>Regional Coordination</c:v>
                </c:pt>
              </c:strCache>
            </c:strRef>
          </c:tx>
          <c:spPr>
            <a:solidFill>
              <a:schemeClr val="accent5"/>
            </a:solidFill>
            <a:ln>
              <a:noFill/>
            </a:ln>
            <a:effectLst/>
          </c:spPr>
          <c:invertIfNegative val="0"/>
          <c:cat>
            <c:strRef>
              <c:f>'2025-2029 Combined Category'!$C$50:$G$50</c:f>
              <c:strCache>
                <c:ptCount val="5"/>
                <c:pt idx="0">
                  <c:v>Proposed 2025</c:v>
                </c:pt>
                <c:pt idx="1">
                  <c:v>Estimated 2026</c:v>
                </c:pt>
                <c:pt idx="2">
                  <c:v>Estimated 2027</c:v>
                </c:pt>
                <c:pt idx="3">
                  <c:v>Estimated 2028</c:v>
                </c:pt>
                <c:pt idx="4">
                  <c:v>Estimated 2029</c:v>
                </c:pt>
              </c:strCache>
            </c:strRef>
          </c:cat>
          <c:val>
            <c:numRef>
              <c:f>'2025-2029 Combined Category'!$C$55:$G$55</c:f>
              <c:numCache>
                <c:formatCode>_("$"* #,##0.00_);_("$"* \(#,##0.00\);_("$"* "-"??_);_(@_)</c:formatCode>
                <c:ptCount val="5"/>
                <c:pt idx="0">
                  <c:v>50000</c:v>
                </c:pt>
                <c:pt idx="1">
                  <c:v>43700</c:v>
                </c:pt>
                <c:pt idx="2">
                  <c:v>150000</c:v>
                </c:pt>
                <c:pt idx="3">
                  <c:v>200000</c:v>
                </c:pt>
                <c:pt idx="4">
                  <c:v>160000</c:v>
                </c:pt>
              </c:numCache>
            </c:numRef>
          </c:val>
          <c:extLst>
            <c:ext xmlns:c16="http://schemas.microsoft.com/office/drawing/2014/chart" uri="{C3380CC4-5D6E-409C-BE32-E72D297353CC}">
              <c16:uniqueId val="{00000004-7081-416A-9A59-9B09D13F7C2A}"/>
            </c:ext>
          </c:extLst>
        </c:ser>
        <c:ser>
          <c:idx val="5"/>
          <c:order val="5"/>
          <c:tx>
            <c:strRef>
              <c:f>'2025-2029 Combined Category'!$B$56</c:f>
              <c:strCache>
                <c:ptCount val="1"/>
                <c:pt idx="0">
                  <c:v>Demand Response</c:v>
                </c:pt>
              </c:strCache>
            </c:strRef>
          </c:tx>
          <c:spPr>
            <a:solidFill>
              <a:schemeClr val="accent6"/>
            </a:solidFill>
            <a:ln>
              <a:noFill/>
            </a:ln>
            <a:effectLst/>
          </c:spPr>
          <c:invertIfNegative val="0"/>
          <c:cat>
            <c:strRef>
              <c:f>'2025-2029 Combined Category'!$C$50:$G$50</c:f>
              <c:strCache>
                <c:ptCount val="5"/>
                <c:pt idx="0">
                  <c:v>Proposed 2025</c:v>
                </c:pt>
                <c:pt idx="1">
                  <c:v>Estimated 2026</c:v>
                </c:pt>
                <c:pt idx="2">
                  <c:v>Estimated 2027</c:v>
                </c:pt>
                <c:pt idx="3">
                  <c:v>Estimated 2028</c:v>
                </c:pt>
                <c:pt idx="4">
                  <c:v>Estimated 2029</c:v>
                </c:pt>
              </c:strCache>
            </c:strRef>
          </c:cat>
          <c:val>
            <c:numRef>
              <c:f>'2025-2029 Combined Category'!$C$56:$G$56</c:f>
              <c:numCache>
                <c:formatCode>_("$"* #,##0.00_);_("$"* \(#,##0.00\);_("$"* "-"??_);_(@_)</c:formatCode>
                <c:ptCount val="5"/>
                <c:pt idx="0">
                  <c:v>55500</c:v>
                </c:pt>
                <c:pt idx="1">
                  <c:v>51300</c:v>
                </c:pt>
                <c:pt idx="2">
                  <c:v>75000</c:v>
                </c:pt>
                <c:pt idx="3">
                  <c:v>80900</c:v>
                </c:pt>
                <c:pt idx="4">
                  <c:v>66100</c:v>
                </c:pt>
              </c:numCache>
            </c:numRef>
          </c:val>
          <c:extLst>
            <c:ext xmlns:c16="http://schemas.microsoft.com/office/drawing/2014/chart" uri="{C3380CC4-5D6E-409C-BE32-E72D297353CC}">
              <c16:uniqueId val="{00000005-7081-416A-9A59-9B09D13F7C2A}"/>
            </c:ext>
          </c:extLst>
        </c:ser>
        <c:ser>
          <c:idx val="7"/>
          <c:order val="7"/>
          <c:tx>
            <c:strRef>
              <c:f>'2025-2029 Combined Category'!$B$58</c:f>
              <c:strCache>
                <c:ptCount val="1"/>
                <c:pt idx="0">
                  <c:v>RTF Member Support &amp; Administration</c:v>
                </c:pt>
              </c:strCache>
            </c:strRef>
          </c:tx>
          <c:spPr>
            <a:solidFill>
              <a:schemeClr val="accent2">
                <a:lumMod val="60000"/>
              </a:schemeClr>
            </a:solidFill>
            <a:ln>
              <a:noFill/>
            </a:ln>
            <a:effectLst/>
          </c:spPr>
          <c:invertIfNegative val="0"/>
          <c:cat>
            <c:strRef>
              <c:f>'2025-2029 Combined Category'!$C$50:$G$50</c:f>
              <c:strCache>
                <c:ptCount val="5"/>
                <c:pt idx="0">
                  <c:v>Proposed 2025</c:v>
                </c:pt>
                <c:pt idx="1">
                  <c:v>Estimated 2026</c:v>
                </c:pt>
                <c:pt idx="2">
                  <c:v>Estimated 2027</c:v>
                </c:pt>
                <c:pt idx="3">
                  <c:v>Estimated 2028</c:v>
                </c:pt>
                <c:pt idx="4">
                  <c:v>Estimated 2029</c:v>
                </c:pt>
              </c:strCache>
            </c:strRef>
          </c:cat>
          <c:val>
            <c:numRef>
              <c:f>'2025-2029 Combined Category'!$C$58:$G$58</c:f>
              <c:numCache>
                <c:formatCode>_("$"* #,##0.00_);_("$"* \(#,##0.00\);_("$"* "-"??_);_(@_)</c:formatCode>
                <c:ptCount val="5"/>
                <c:pt idx="0">
                  <c:v>168200</c:v>
                </c:pt>
                <c:pt idx="1">
                  <c:v>169300</c:v>
                </c:pt>
                <c:pt idx="2">
                  <c:v>170400</c:v>
                </c:pt>
                <c:pt idx="3">
                  <c:v>181000</c:v>
                </c:pt>
                <c:pt idx="4">
                  <c:v>182700</c:v>
                </c:pt>
              </c:numCache>
            </c:numRef>
          </c:val>
          <c:extLst>
            <c:ext xmlns:c16="http://schemas.microsoft.com/office/drawing/2014/chart" uri="{C3380CC4-5D6E-409C-BE32-E72D297353CC}">
              <c16:uniqueId val="{00000007-7081-416A-9A59-9B09D13F7C2A}"/>
            </c:ext>
          </c:extLst>
        </c:ser>
        <c:ser>
          <c:idx val="8"/>
          <c:order val="8"/>
          <c:tx>
            <c:strRef>
              <c:f>'2025-2029 Combined Category'!$B$59</c:f>
              <c:strCache>
                <c:ptCount val="1"/>
                <c:pt idx="0">
                  <c:v>Website, Database support, Conservation Tracking </c:v>
                </c:pt>
              </c:strCache>
            </c:strRef>
          </c:tx>
          <c:spPr>
            <a:solidFill>
              <a:schemeClr val="accent3">
                <a:lumMod val="60000"/>
              </a:schemeClr>
            </a:solidFill>
            <a:ln>
              <a:noFill/>
            </a:ln>
            <a:effectLst/>
          </c:spPr>
          <c:invertIfNegative val="0"/>
          <c:cat>
            <c:strRef>
              <c:f>'2025-2029 Combined Category'!$C$50:$G$50</c:f>
              <c:strCache>
                <c:ptCount val="5"/>
                <c:pt idx="0">
                  <c:v>Proposed 2025</c:v>
                </c:pt>
                <c:pt idx="1">
                  <c:v>Estimated 2026</c:v>
                </c:pt>
                <c:pt idx="2">
                  <c:v>Estimated 2027</c:v>
                </c:pt>
                <c:pt idx="3">
                  <c:v>Estimated 2028</c:v>
                </c:pt>
                <c:pt idx="4">
                  <c:v>Estimated 2029</c:v>
                </c:pt>
              </c:strCache>
            </c:strRef>
          </c:cat>
          <c:val>
            <c:numRef>
              <c:f>'2025-2029 Combined Category'!$C$59:$G$59</c:f>
              <c:numCache>
                <c:formatCode>_("$"* #,##0.00_);_("$"* \(#,##0.00\);_("$"* "-"??_);_(@_)</c:formatCode>
                <c:ptCount val="5"/>
                <c:pt idx="0">
                  <c:v>61700</c:v>
                </c:pt>
                <c:pt idx="1">
                  <c:v>63200</c:v>
                </c:pt>
                <c:pt idx="2">
                  <c:v>64800</c:v>
                </c:pt>
                <c:pt idx="3">
                  <c:v>66400</c:v>
                </c:pt>
                <c:pt idx="4">
                  <c:v>68100</c:v>
                </c:pt>
              </c:numCache>
            </c:numRef>
          </c:val>
          <c:extLst>
            <c:ext xmlns:c16="http://schemas.microsoft.com/office/drawing/2014/chart" uri="{C3380CC4-5D6E-409C-BE32-E72D297353CC}">
              <c16:uniqueId val="{00000008-7081-416A-9A59-9B09D13F7C2A}"/>
            </c:ext>
          </c:extLst>
        </c:ser>
        <c:ser>
          <c:idx val="9"/>
          <c:order val="9"/>
          <c:tx>
            <c:strRef>
              <c:f>'2025-2029 Combined Category'!$B$60</c:f>
              <c:strCache>
                <c:ptCount val="1"/>
                <c:pt idx="0">
                  <c:v>RTF Management</c:v>
                </c:pt>
              </c:strCache>
            </c:strRef>
          </c:tx>
          <c:spPr>
            <a:solidFill>
              <a:schemeClr val="accent4">
                <a:lumMod val="60000"/>
              </a:schemeClr>
            </a:solidFill>
            <a:ln>
              <a:noFill/>
            </a:ln>
            <a:effectLst/>
          </c:spPr>
          <c:invertIfNegative val="0"/>
          <c:cat>
            <c:strRef>
              <c:f>'2025-2029 Combined Category'!$C$50:$G$50</c:f>
              <c:strCache>
                <c:ptCount val="5"/>
                <c:pt idx="0">
                  <c:v>Proposed 2025</c:v>
                </c:pt>
                <c:pt idx="1">
                  <c:v>Estimated 2026</c:v>
                </c:pt>
                <c:pt idx="2">
                  <c:v>Estimated 2027</c:v>
                </c:pt>
                <c:pt idx="3">
                  <c:v>Estimated 2028</c:v>
                </c:pt>
                <c:pt idx="4">
                  <c:v>Estimated 2029</c:v>
                </c:pt>
              </c:strCache>
            </c:strRef>
          </c:cat>
          <c:val>
            <c:numRef>
              <c:f>'2025-2029 Combined Category'!$C$60:$G$60</c:f>
              <c:numCache>
                <c:formatCode>_("$"* #,##0.00_);_("$"* \(#,##0.00\);_("$"* "-"??_);_(@_)</c:formatCode>
                <c:ptCount val="5"/>
                <c:pt idx="0">
                  <c:v>7000</c:v>
                </c:pt>
                <c:pt idx="1">
                  <c:v>7000</c:v>
                </c:pt>
                <c:pt idx="2">
                  <c:v>7000</c:v>
                </c:pt>
                <c:pt idx="3">
                  <c:v>7000</c:v>
                </c:pt>
                <c:pt idx="4">
                  <c:v>7000</c:v>
                </c:pt>
              </c:numCache>
            </c:numRef>
          </c:val>
          <c:extLst>
            <c:ext xmlns:c16="http://schemas.microsoft.com/office/drawing/2014/chart" uri="{C3380CC4-5D6E-409C-BE32-E72D297353CC}">
              <c16:uniqueId val="{00000009-7081-416A-9A59-9B09D13F7C2A}"/>
            </c:ext>
          </c:extLst>
        </c:ser>
        <c:dLbls>
          <c:showLegendKey val="0"/>
          <c:showVal val="0"/>
          <c:showCatName val="0"/>
          <c:showSerName val="0"/>
          <c:showPercent val="0"/>
          <c:showBubbleSize val="0"/>
        </c:dLbls>
        <c:gapWidth val="150"/>
        <c:overlap val="100"/>
        <c:axId val="1389484991"/>
        <c:axId val="949413855"/>
        <c:extLst>
          <c:ext xmlns:c15="http://schemas.microsoft.com/office/drawing/2012/chart" uri="{02D57815-91ED-43cb-92C2-25804820EDAC}">
            <c15:filteredBarSeries>
              <c15:ser>
                <c:idx val="6"/>
                <c:order val="6"/>
                <c:tx>
                  <c:strRef>
                    <c:extLst>
                      <c:ext uri="{02D57815-91ED-43cb-92C2-25804820EDAC}">
                        <c15:formulaRef>
                          <c15:sqref>'2025-2029 Combined Category'!$B$57</c15:sqref>
                        </c15:formulaRef>
                      </c:ext>
                    </c:extLst>
                    <c:strCache>
                      <c:ptCount val="1"/>
                      <c:pt idx="0">
                        <c:v>Primary Research</c:v>
                      </c:pt>
                    </c:strCache>
                  </c:strRef>
                </c:tx>
                <c:spPr>
                  <a:solidFill>
                    <a:schemeClr val="accent1">
                      <a:lumMod val="60000"/>
                    </a:schemeClr>
                  </a:solidFill>
                  <a:ln>
                    <a:noFill/>
                  </a:ln>
                  <a:effectLst/>
                </c:spPr>
                <c:invertIfNegative val="0"/>
                <c:cat>
                  <c:strRef>
                    <c:extLst>
                      <c:ext uri="{02D57815-91ED-43cb-92C2-25804820EDAC}">
                        <c15:formulaRef>
                          <c15:sqref>'2025-2029 Combined Category'!$C$50:$G$50</c15:sqref>
                        </c15:formulaRef>
                      </c:ext>
                    </c:extLst>
                    <c:strCache>
                      <c:ptCount val="5"/>
                      <c:pt idx="0">
                        <c:v>Proposed 2025</c:v>
                      </c:pt>
                      <c:pt idx="1">
                        <c:v>Estimated 2026</c:v>
                      </c:pt>
                      <c:pt idx="2">
                        <c:v>Estimated 2027</c:v>
                      </c:pt>
                      <c:pt idx="3">
                        <c:v>Estimated 2028</c:v>
                      </c:pt>
                      <c:pt idx="4">
                        <c:v>Estimated 2029</c:v>
                      </c:pt>
                    </c:strCache>
                  </c:strRef>
                </c:cat>
                <c:val>
                  <c:numRef>
                    <c:extLst>
                      <c:ext uri="{02D57815-91ED-43cb-92C2-25804820EDAC}">
                        <c15:formulaRef>
                          <c15:sqref>'2025-2029 Combined Category'!$C$57:$G$57</c15:sqref>
                        </c15:formulaRef>
                      </c:ext>
                    </c:extLst>
                    <c:numCache>
                      <c:formatCode>_("$"* #,##0.00_);_("$"* \(#,##0.00\);_("$"* "-"??_);_(@_)</c:formatCode>
                      <c:ptCount val="5"/>
                      <c:pt idx="0">
                        <c:v>0</c:v>
                      </c:pt>
                      <c:pt idx="1">
                        <c:v>0</c:v>
                      </c:pt>
                      <c:pt idx="2">
                        <c:v>0</c:v>
                      </c:pt>
                      <c:pt idx="3">
                        <c:v>0</c:v>
                      </c:pt>
                      <c:pt idx="4">
                        <c:v>0</c:v>
                      </c:pt>
                    </c:numCache>
                  </c:numRef>
                </c:val>
                <c:extLst>
                  <c:ext xmlns:c16="http://schemas.microsoft.com/office/drawing/2014/chart" uri="{C3380CC4-5D6E-409C-BE32-E72D297353CC}">
                    <c16:uniqueId val="{00000006-7081-416A-9A59-9B09D13F7C2A}"/>
                  </c:ext>
                </c:extLst>
              </c15:ser>
            </c15:filteredBarSeries>
          </c:ext>
        </c:extLst>
      </c:barChart>
      <c:catAx>
        <c:axId val="1389484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9413855"/>
        <c:crosses val="autoZero"/>
        <c:auto val="1"/>
        <c:lblAlgn val="ctr"/>
        <c:lblOffset val="100"/>
        <c:noMultiLvlLbl val="0"/>
      </c:catAx>
      <c:valAx>
        <c:axId val="949413855"/>
        <c:scaling>
          <c:orientation val="minMax"/>
        </c:scaling>
        <c:delete val="0"/>
        <c:axPos val="l"/>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9484991"/>
        <c:crosses val="autoZero"/>
        <c:crossBetween val="between"/>
      </c:valAx>
      <c:spPr>
        <a:noFill/>
        <a:ln>
          <a:noFill/>
        </a:ln>
        <a:effectLst/>
      </c:spPr>
    </c:plotArea>
    <c:legend>
      <c:legendPos val="r"/>
      <c:layout>
        <c:manualLayout>
          <c:xMode val="edge"/>
          <c:yMode val="edge"/>
          <c:x val="0.85696447457899616"/>
          <c:y val="3.2750917447536256E-2"/>
          <c:w val="0.14303552542100395"/>
          <c:h val="0.9585254331896296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'2025-2029 Combined Category'!$B$71</c:f>
          <c:strCache>
            <c:ptCount val="1"/>
            <c:pt idx="0">
              <c:v>RTF Budgets - Contract Analyst Team Allocation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0715465909097481E-2"/>
          <c:y val="0.10658045977011495"/>
          <c:w val="0.79970694573480194"/>
          <c:h val="0.8321447642320573"/>
        </c:manualLayout>
      </c:layout>
      <c:barChart>
        <c:barDir val="col"/>
        <c:grouping val="stacked"/>
        <c:varyColors val="0"/>
        <c:ser>
          <c:idx val="0"/>
          <c:order val="0"/>
          <c:tx>
            <c:strRef>
              <c:f>'2025-2029 Combined Category'!$B$72</c:f>
              <c:strCache>
                <c:ptCount val="1"/>
                <c:pt idx="0">
                  <c:v>Existing Measure Review &amp; Updates</c:v>
                </c:pt>
              </c:strCache>
            </c:strRef>
          </c:tx>
          <c:spPr>
            <a:solidFill>
              <a:schemeClr val="accent1"/>
            </a:solidFill>
            <a:ln>
              <a:noFill/>
            </a:ln>
            <a:effectLst/>
          </c:spPr>
          <c:invertIfNegative val="0"/>
          <c:cat>
            <c:strRef>
              <c:f>'2025-2029 Combined Category'!$C$71:$G$71</c:f>
              <c:strCache>
                <c:ptCount val="5"/>
                <c:pt idx="0">
                  <c:v>Proposed 2025</c:v>
                </c:pt>
                <c:pt idx="1">
                  <c:v>Estimated 2026</c:v>
                </c:pt>
                <c:pt idx="2">
                  <c:v>Estimated 2027</c:v>
                </c:pt>
                <c:pt idx="3">
                  <c:v>Estimated 2028</c:v>
                </c:pt>
                <c:pt idx="4">
                  <c:v>Estimated 2029</c:v>
                </c:pt>
              </c:strCache>
            </c:strRef>
          </c:cat>
          <c:val>
            <c:numRef>
              <c:f>'2025-2029 Combined Category'!$C$72:$G$72</c:f>
              <c:numCache>
                <c:formatCode>"$"#,##0_);\("$"#,##0\)</c:formatCode>
                <c:ptCount val="5"/>
                <c:pt idx="0">
                  <c:v>313500</c:v>
                </c:pt>
                <c:pt idx="1">
                  <c:v>321100</c:v>
                </c:pt>
                <c:pt idx="2">
                  <c:v>536300</c:v>
                </c:pt>
                <c:pt idx="3">
                  <c:v>605200</c:v>
                </c:pt>
                <c:pt idx="4">
                  <c:v>436800</c:v>
                </c:pt>
              </c:numCache>
            </c:numRef>
          </c:val>
          <c:extLst>
            <c:ext xmlns:c16="http://schemas.microsoft.com/office/drawing/2014/chart" uri="{C3380CC4-5D6E-409C-BE32-E72D297353CC}">
              <c16:uniqueId val="{00000000-C41C-46EA-8688-26526EC78B4A}"/>
            </c:ext>
          </c:extLst>
        </c:ser>
        <c:ser>
          <c:idx val="1"/>
          <c:order val="1"/>
          <c:tx>
            <c:strRef>
              <c:f>'2025-2029 Combined Category'!$B$73</c:f>
              <c:strCache>
                <c:ptCount val="1"/>
                <c:pt idx="0">
                  <c:v>New Measure Development &amp; Review of Unsolicited Proposals</c:v>
                </c:pt>
              </c:strCache>
            </c:strRef>
          </c:tx>
          <c:spPr>
            <a:solidFill>
              <a:schemeClr val="accent2"/>
            </a:solidFill>
            <a:ln>
              <a:noFill/>
            </a:ln>
            <a:effectLst/>
          </c:spPr>
          <c:invertIfNegative val="0"/>
          <c:cat>
            <c:strRef>
              <c:f>'2025-2029 Combined Category'!$C$71:$G$71</c:f>
              <c:strCache>
                <c:ptCount val="5"/>
                <c:pt idx="0">
                  <c:v>Proposed 2025</c:v>
                </c:pt>
                <c:pt idx="1">
                  <c:v>Estimated 2026</c:v>
                </c:pt>
                <c:pt idx="2">
                  <c:v>Estimated 2027</c:v>
                </c:pt>
                <c:pt idx="3">
                  <c:v>Estimated 2028</c:v>
                </c:pt>
                <c:pt idx="4">
                  <c:v>Estimated 2029</c:v>
                </c:pt>
              </c:strCache>
            </c:strRef>
          </c:cat>
          <c:val>
            <c:numRef>
              <c:f>'2025-2029 Combined Category'!$C$73:$G$73</c:f>
              <c:numCache>
                <c:formatCode>"$"#,##0_);\("$"#,##0\)</c:formatCode>
                <c:ptCount val="5"/>
                <c:pt idx="0">
                  <c:v>440000</c:v>
                </c:pt>
                <c:pt idx="1">
                  <c:v>533000</c:v>
                </c:pt>
                <c:pt idx="2">
                  <c:v>210000</c:v>
                </c:pt>
                <c:pt idx="3">
                  <c:v>0</c:v>
                </c:pt>
                <c:pt idx="4">
                  <c:v>397800</c:v>
                </c:pt>
              </c:numCache>
            </c:numRef>
          </c:val>
          <c:extLst>
            <c:ext xmlns:c16="http://schemas.microsoft.com/office/drawing/2014/chart" uri="{C3380CC4-5D6E-409C-BE32-E72D297353CC}">
              <c16:uniqueId val="{00000001-C41C-46EA-8688-26526EC78B4A}"/>
            </c:ext>
          </c:extLst>
        </c:ser>
        <c:ser>
          <c:idx val="2"/>
          <c:order val="2"/>
          <c:tx>
            <c:strRef>
              <c:f>'2025-2029 Combined Category'!$B$74</c:f>
              <c:strCache>
                <c:ptCount val="1"/>
                <c:pt idx="0">
                  <c:v>Standardization of Technical Analysis</c:v>
                </c:pt>
              </c:strCache>
            </c:strRef>
          </c:tx>
          <c:spPr>
            <a:solidFill>
              <a:schemeClr val="accent3"/>
            </a:solidFill>
            <a:ln>
              <a:noFill/>
            </a:ln>
            <a:effectLst/>
          </c:spPr>
          <c:invertIfNegative val="0"/>
          <c:cat>
            <c:strRef>
              <c:f>'2025-2029 Combined Category'!$C$71:$G$71</c:f>
              <c:strCache>
                <c:ptCount val="5"/>
                <c:pt idx="0">
                  <c:v>Proposed 2025</c:v>
                </c:pt>
                <c:pt idx="1">
                  <c:v>Estimated 2026</c:v>
                </c:pt>
                <c:pt idx="2">
                  <c:v>Estimated 2027</c:v>
                </c:pt>
                <c:pt idx="3">
                  <c:v>Estimated 2028</c:v>
                </c:pt>
                <c:pt idx="4">
                  <c:v>Estimated 2029</c:v>
                </c:pt>
              </c:strCache>
            </c:strRef>
          </c:cat>
          <c:val>
            <c:numRef>
              <c:f>'2025-2029 Combined Category'!$C$74:$G$74</c:f>
              <c:numCache>
                <c:formatCode>"$"#,##0_);\("$"#,##0\)</c:formatCode>
                <c:ptCount val="5"/>
                <c:pt idx="0">
                  <c:v>189500</c:v>
                </c:pt>
                <c:pt idx="1">
                  <c:v>191100</c:v>
                </c:pt>
                <c:pt idx="2">
                  <c:v>203800</c:v>
                </c:pt>
                <c:pt idx="3">
                  <c:v>198600</c:v>
                </c:pt>
                <c:pt idx="4">
                  <c:v>212200</c:v>
                </c:pt>
              </c:numCache>
            </c:numRef>
          </c:val>
          <c:extLst>
            <c:ext xmlns:c16="http://schemas.microsoft.com/office/drawing/2014/chart" uri="{C3380CC4-5D6E-409C-BE32-E72D297353CC}">
              <c16:uniqueId val="{00000002-C41C-46EA-8688-26526EC78B4A}"/>
            </c:ext>
          </c:extLst>
        </c:ser>
        <c:ser>
          <c:idx val="3"/>
          <c:order val="3"/>
          <c:tx>
            <c:strRef>
              <c:f>'2025-2029 Combined Category'!$B$75</c:f>
              <c:strCache>
                <c:ptCount val="1"/>
                <c:pt idx="0">
                  <c:v>Tool Development</c:v>
                </c:pt>
              </c:strCache>
            </c:strRef>
          </c:tx>
          <c:spPr>
            <a:solidFill>
              <a:schemeClr val="accent4"/>
            </a:solidFill>
            <a:ln>
              <a:noFill/>
            </a:ln>
            <a:effectLst/>
          </c:spPr>
          <c:invertIfNegative val="0"/>
          <c:cat>
            <c:strRef>
              <c:f>'2025-2029 Combined Category'!$C$71:$G$71</c:f>
              <c:strCache>
                <c:ptCount val="5"/>
                <c:pt idx="0">
                  <c:v>Proposed 2025</c:v>
                </c:pt>
                <c:pt idx="1">
                  <c:v>Estimated 2026</c:v>
                </c:pt>
                <c:pt idx="2">
                  <c:v>Estimated 2027</c:v>
                </c:pt>
                <c:pt idx="3">
                  <c:v>Estimated 2028</c:v>
                </c:pt>
                <c:pt idx="4">
                  <c:v>Estimated 2029</c:v>
                </c:pt>
              </c:strCache>
            </c:strRef>
          </c:cat>
          <c:val>
            <c:numRef>
              <c:f>'2025-2029 Combined Category'!$C$75:$G$75</c:f>
              <c:numCache>
                <c:formatCode>"$"#,##0_);\("$"#,##0\)</c:formatCode>
                <c:ptCount val="5"/>
                <c:pt idx="0">
                  <c:v>45000</c:v>
                </c:pt>
                <c:pt idx="1">
                  <c:v>30000</c:v>
                </c:pt>
                <c:pt idx="2">
                  <c:v>70000</c:v>
                </c:pt>
                <c:pt idx="3">
                  <c:v>45000</c:v>
                </c:pt>
                <c:pt idx="4">
                  <c:v>25000</c:v>
                </c:pt>
              </c:numCache>
            </c:numRef>
          </c:val>
          <c:extLst>
            <c:ext xmlns:c16="http://schemas.microsoft.com/office/drawing/2014/chart" uri="{C3380CC4-5D6E-409C-BE32-E72D297353CC}">
              <c16:uniqueId val="{00000003-C41C-46EA-8688-26526EC78B4A}"/>
            </c:ext>
          </c:extLst>
        </c:ser>
        <c:ser>
          <c:idx val="4"/>
          <c:order val="4"/>
          <c:tx>
            <c:strRef>
              <c:f>'2025-2029 Combined Category'!$B$76</c:f>
              <c:strCache>
                <c:ptCount val="1"/>
                <c:pt idx="0">
                  <c:v>Regional Coordination</c:v>
                </c:pt>
              </c:strCache>
            </c:strRef>
          </c:tx>
          <c:spPr>
            <a:solidFill>
              <a:schemeClr val="accent5"/>
            </a:solidFill>
            <a:ln>
              <a:noFill/>
            </a:ln>
            <a:effectLst/>
          </c:spPr>
          <c:invertIfNegative val="0"/>
          <c:cat>
            <c:strRef>
              <c:f>'2025-2029 Combined Category'!$C$71:$G$71</c:f>
              <c:strCache>
                <c:ptCount val="5"/>
                <c:pt idx="0">
                  <c:v>Proposed 2025</c:v>
                </c:pt>
                <c:pt idx="1">
                  <c:v>Estimated 2026</c:v>
                </c:pt>
                <c:pt idx="2">
                  <c:v>Estimated 2027</c:v>
                </c:pt>
                <c:pt idx="3">
                  <c:v>Estimated 2028</c:v>
                </c:pt>
                <c:pt idx="4">
                  <c:v>Estimated 2029</c:v>
                </c:pt>
              </c:strCache>
            </c:strRef>
          </c:cat>
          <c:val>
            <c:numRef>
              <c:f>'2025-2029 Combined Category'!$C$76:$G$76</c:f>
              <c:numCache>
                <c:formatCode>"$"#,##0_);\("$"#,##0\)</c:formatCode>
                <c:ptCount val="5"/>
                <c:pt idx="0">
                  <c:v>122600</c:v>
                </c:pt>
                <c:pt idx="1">
                  <c:v>120100</c:v>
                </c:pt>
                <c:pt idx="2">
                  <c:v>102000</c:v>
                </c:pt>
                <c:pt idx="3">
                  <c:v>147100</c:v>
                </c:pt>
                <c:pt idx="4">
                  <c:v>134700</c:v>
                </c:pt>
              </c:numCache>
            </c:numRef>
          </c:val>
          <c:extLst>
            <c:ext xmlns:c16="http://schemas.microsoft.com/office/drawing/2014/chart" uri="{C3380CC4-5D6E-409C-BE32-E72D297353CC}">
              <c16:uniqueId val="{00000004-C41C-46EA-8688-26526EC78B4A}"/>
            </c:ext>
          </c:extLst>
        </c:ser>
        <c:ser>
          <c:idx val="5"/>
          <c:order val="5"/>
          <c:tx>
            <c:strRef>
              <c:f>'2025-2029 Combined Category'!$B$77</c:f>
              <c:strCache>
                <c:ptCount val="1"/>
                <c:pt idx="0">
                  <c:v>Demand Response</c:v>
                </c:pt>
              </c:strCache>
            </c:strRef>
          </c:tx>
          <c:spPr>
            <a:solidFill>
              <a:schemeClr val="accent6"/>
            </a:solidFill>
            <a:ln>
              <a:noFill/>
            </a:ln>
            <a:effectLst/>
          </c:spPr>
          <c:invertIfNegative val="0"/>
          <c:cat>
            <c:strRef>
              <c:f>'2025-2029 Combined Category'!$C$71:$G$71</c:f>
              <c:strCache>
                <c:ptCount val="5"/>
                <c:pt idx="0">
                  <c:v>Proposed 2025</c:v>
                </c:pt>
                <c:pt idx="1">
                  <c:v>Estimated 2026</c:v>
                </c:pt>
                <c:pt idx="2">
                  <c:v>Estimated 2027</c:v>
                </c:pt>
                <c:pt idx="3">
                  <c:v>Estimated 2028</c:v>
                </c:pt>
                <c:pt idx="4">
                  <c:v>Estimated 2029</c:v>
                </c:pt>
              </c:strCache>
            </c:strRef>
          </c:cat>
          <c:val>
            <c:numRef>
              <c:f>'2025-2029 Combined Category'!$C$77:$G$77</c:f>
              <c:numCache>
                <c:formatCode>"$"#,##0_);\("$"#,##0\)</c:formatCode>
                <c:ptCount val="5"/>
                <c:pt idx="0">
                  <c:v>55000</c:v>
                </c:pt>
                <c:pt idx="1">
                  <c:v>63000</c:v>
                </c:pt>
                <c:pt idx="2">
                  <c:v>8400</c:v>
                </c:pt>
                <c:pt idx="3">
                  <c:v>22800</c:v>
                </c:pt>
                <c:pt idx="4">
                  <c:v>23200</c:v>
                </c:pt>
              </c:numCache>
            </c:numRef>
          </c:val>
          <c:extLst>
            <c:ext xmlns:c16="http://schemas.microsoft.com/office/drawing/2014/chart" uri="{C3380CC4-5D6E-409C-BE32-E72D297353CC}">
              <c16:uniqueId val="{00000005-C41C-46EA-8688-26526EC78B4A}"/>
            </c:ext>
          </c:extLst>
        </c:ser>
        <c:ser>
          <c:idx val="7"/>
          <c:order val="7"/>
          <c:tx>
            <c:strRef>
              <c:f>'2025-2029 Combined Category'!$B$79</c:f>
              <c:strCache>
                <c:ptCount val="1"/>
                <c:pt idx="0">
                  <c:v>RTF Member Support &amp; Administration</c:v>
                </c:pt>
              </c:strCache>
            </c:strRef>
          </c:tx>
          <c:spPr>
            <a:solidFill>
              <a:schemeClr val="accent2">
                <a:lumMod val="60000"/>
              </a:schemeClr>
            </a:solidFill>
            <a:ln>
              <a:noFill/>
            </a:ln>
            <a:effectLst/>
          </c:spPr>
          <c:invertIfNegative val="0"/>
          <c:cat>
            <c:strRef>
              <c:f>'2025-2029 Combined Category'!$C$71:$G$71</c:f>
              <c:strCache>
                <c:ptCount val="5"/>
                <c:pt idx="0">
                  <c:v>Proposed 2025</c:v>
                </c:pt>
                <c:pt idx="1">
                  <c:v>Estimated 2026</c:v>
                </c:pt>
                <c:pt idx="2">
                  <c:v>Estimated 2027</c:v>
                </c:pt>
                <c:pt idx="3">
                  <c:v>Estimated 2028</c:v>
                </c:pt>
                <c:pt idx="4">
                  <c:v>Estimated 2029</c:v>
                </c:pt>
              </c:strCache>
            </c:strRef>
          </c:cat>
          <c:val>
            <c:numRef>
              <c:f>'2025-2029 Combined Category'!$C$79:$G$79</c:f>
              <c:numCache>
                <c:formatCode>"$"#,##0_);\("$"#,##0\)</c:formatCode>
                <c:ptCount val="5"/>
                <c:pt idx="0">
                  <c:v>110000</c:v>
                </c:pt>
                <c:pt idx="1">
                  <c:v>112800</c:v>
                </c:pt>
                <c:pt idx="2">
                  <c:v>115600</c:v>
                </c:pt>
                <c:pt idx="3">
                  <c:v>118500</c:v>
                </c:pt>
                <c:pt idx="4">
                  <c:v>121500</c:v>
                </c:pt>
              </c:numCache>
            </c:numRef>
          </c:val>
          <c:extLst>
            <c:ext xmlns:c16="http://schemas.microsoft.com/office/drawing/2014/chart" uri="{C3380CC4-5D6E-409C-BE32-E72D297353CC}">
              <c16:uniqueId val="{00000007-C41C-46EA-8688-26526EC78B4A}"/>
            </c:ext>
          </c:extLst>
        </c:ser>
        <c:ser>
          <c:idx val="8"/>
          <c:order val="8"/>
          <c:tx>
            <c:strRef>
              <c:f>'2025-2029 Combined Category'!$B$80</c:f>
              <c:strCache>
                <c:ptCount val="1"/>
                <c:pt idx="0">
                  <c:v>Website, Database support, Conservation Tracking </c:v>
                </c:pt>
              </c:strCache>
            </c:strRef>
          </c:tx>
          <c:spPr>
            <a:solidFill>
              <a:schemeClr val="accent3">
                <a:lumMod val="60000"/>
              </a:schemeClr>
            </a:solidFill>
            <a:ln>
              <a:noFill/>
            </a:ln>
            <a:effectLst/>
          </c:spPr>
          <c:invertIfNegative val="0"/>
          <c:cat>
            <c:strRef>
              <c:f>'2025-2029 Combined Category'!$C$71:$G$71</c:f>
              <c:strCache>
                <c:ptCount val="5"/>
                <c:pt idx="0">
                  <c:v>Proposed 2025</c:v>
                </c:pt>
                <c:pt idx="1">
                  <c:v>Estimated 2026</c:v>
                </c:pt>
                <c:pt idx="2">
                  <c:v>Estimated 2027</c:v>
                </c:pt>
                <c:pt idx="3">
                  <c:v>Estimated 2028</c:v>
                </c:pt>
                <c:pt idx="4">
                  <c:v>Estimated 2029</c:v>
                </c:pt>
              </c:strCache>
            </c:strRef>
          </c:cat>
          <c:val>
            <c:numRef>
              <c:f>'2025-2029 Combined Category'!$C$80:$G$80</c:f>
              <c:numCache>
                <c:formatCode>"$"#,##0_);\("$"#,##0\)</c:formatCode>
                <c:ptCount val="5"/>
                <c:pt idx="0">
                  <c:v>0</c:v>
                </c:pt>
                <c:pt idx="1">
                  <c:v>0</c:v>
                </c:pt>
                <c:pt idx="2">
                  <c:v>0</c:v>
                </c:pt>
                <c:pt idx="3">
                  <c:v>0</c:v>
                </c:pt>
                <c:pt idx="4">
                  <c:v>0</c:v>
                </c:pt>
              </c:numCache>
            </c:numRef>
          </c:val>
          <c:extLst>
            <c:ext xmlns:c16="http://schemas.microsoft.com/office/drawing/2014/chart" uri="{C3380CC4-5D6E-409C-BE32-E72D297353CC}">
              <c16:uniqueId val="{00000008-C41C-46EA-8688-26526EC78B4A}"/>
            </c:ext>
          </c:extLst>
        </c:ser>
        <c:ser>
          <c:idx val="9"/>
          <c:order val="9"/>
          <c:tx>
            <c:strRef>
              <c:f>'2025-2029 Combined Category'!$B$81</c:f>
              <c:strCache>
                <c:ptCount val="1"/>
                <c:pt idx="0">
                  <c:v>RTF Management</c:v>
                </c:pt>
              </c:strCache>
            </c:strRef>
          </c:tx>
          <c:spPr>
            <a:solidFill>
              <a:schemeClr val="accent4">
                <a:lumMod val="60000"/>
              </a:schemeClr>
            </a:solidFill>
            <a:ln>
              <a:noFill/>
            </a:ln>
            <a:effectLst/>
          </c:spPr>
          <c:invertIfNegative val="0"/>
          <c:cat>
            <c:strRef>
              <c:f>'2025-2029 Combined Category'!$C$71:$G$71</c:f>
              <c:strCache>
                <c:ptCount val="5"/>
                <c:pt idx="0">
                  <c:v>Proposed 2025</c:v>
                </c:pt>
                <c:pt idx="1">
                  <c:v>Estimated 2026</c:v>
                </c:pt>
                <c:pt idx="2">
                  <c:v>Estimated 2027</c:v>
                </c:pt>
                <c:pt idx="3">
                  <c:v>Estimated 2028</c:v>
                </c:pt>
                <c:pt idx="4">
                  <c:v>Estimated 2029</c:v>
                </c:pt>
              </c:strCache>
            </c:strRef>
          </c:cat>
          <c:val>
            <c:numRef>
              <c:f>'2025-2029 Combined Category'!$C$81:$G$81</c:f>
              <c:numCache>
                <c:formatCode>General</c:formatCode>
                <c:ptCount val="5"/>
                <c:pt idx="0" formatCode="&quot;$&quot;#,##0_);\(&quot;$&quot;#,##0\)">
                  <c:v>5000</c:v>
                </c:pt>
                <c:pt idx="1">
                  <c:v>5000</c:v>
                </c:pt>
                <c:pt idx="2">
                  <c:v>5000</c:v>
                </c:pt>
                <c:pt idx="3">
                  <c:v>5000</c:v>
                </c:pt>
                <c:pt idx="4">
                  <c:v>5000</c:v>
                </c:pt>
              </c:numCache>
            </c:numRef>
          </c:val>
          <c:extLst>
            <c:ext xmlns:c16="http://schemas.microsoft.com/office/drawing/2014/chart" uri="{C3380CC4-5D6E-409C-BE32-E72D297353CC}">
              <c16:uniqueId val="{00000009-C41C-46EA-8688-26526EC78B4A}"/>
            </c:ext>
          </c:extLst>
        </c:ser>
        <c:dLbls>
          <c:showLegendKey val="0"/>
          <c:showVal val="0"/>
          <c:showCatName val="0"/>
          <c:showSerName val="0"/>
          <c:showPercent val="0"/>
          <c:showBubbleSize val="0"/>
        </c:dLbls>
        <c:gapWidth val="150"/>
        <c:overlap val="100"/>
        <c:axId val="1820050911"/>
        <c:axId val="1646490351"/>
        <c:extLst>
          <c:ext xmlns:c15="http://schemas.microsoft.com/office/drawing/2012/chart" uri="{02D57815-91ED-43cb-92C2-25804820EDAC}">
            <c15:filteredBarSeries>
              <c15:ser>
                <c:idx val="6"/>
                <c:order val="6"/>
                <c:tx>
                  <c:strRef>
                    <c:extLst>
                      <c:ext uri="{02D57815-91ED-43cb-92C2-25804820EDAC}">
                        <c15:formulaRef>
                          <c15:sqref>'2025-2029 Combined Category'!$B$78</c15:sqref>
                        </c15:formulaRef>
                      </c:ext>
                    </c:extLst>
                    <c:strCache>
                      <c:ptCount val="1"/>
                      <c:pt idx="0">
                        <c:v>Primary Research</c:v>
                      </c:pt>
                    </c:strCache>
                  </c:strRef>
                </c:tx>
                <c:spPr>
                  <a:solidFill>
                    <a:schemeClr val="accent1">
                      <a:lumMod val="60000"/>
                    </a:schemeClr>
                  </a:solidFill>
                  <a:ln>
                    <a:noFill/>
                  </a:ln>
                  <a:effectLst/>
                </c:spPr>
                <c:invertIfNegative val="0"/>
                <c:cat>
                  <c:strRef>
                    <c:extLst>
                      <c:ext uri="{02D57815-91ED-43cb-92C2-25804820EDAC}">
                        <c15:formulaRef>
                          <c15:sqref>'2025-2029 Combined Category'!$C$71:$G$71</c15:sqref>
                        </c15:formulaRef>
                      </c:ext>
                    </c:extLst>
                    <c:strCache>
                      <c:ptCount val="5"/>
                      <c:pt idx="0">
                        <c:v>Proposed 2025</c:v>
                      </c:pt>
                      <c:pt idx="1">
                        <c:v>Estimated 2026</c:v>
                      </c:pt>
                      <c:pt idx="2">
                        <c:v>Estimated 2027</c:v>
                      </c:pt>
                      <c:pt idx="3">
                        <c:v>Estimated 2028</c:v>
                      </c:pt>
                      <c:pt idx="4">
                        <c:v>Estimated 2029</c:v>
                      </c:pt>
                    </c:strCache>
                  </c:strRef>
                </c:cat>
                <c:val>
                  <c:numRef>
                    <c:extLst>
                      <c:ext uri="{02D57815-91ED-43cb-92C2-25804820EDAC}">
                        <c15:formulaRef>
                          <c15:sqref>'2025-2029 Combined Category'!$C$78:$G$78</c15:sqref>
                        </c15:formulaRef>
                      </c:ext>
                    </c:extLst>
                    <c:numCache>
                      <c:formatCode>"$"#,##0_);\("$"#,##0\)</c:formatCode>
                      <c:ptCount val="5"/>
                      <c:pt idx="0">
                        <c:v>0</c:v>
                      </c:pt>
                      <c:pt idx="1">
                        <c:v>0</c:v>
                      </c:pt>
                      <c:pt idx="2">
                        <c:v>0</c:v>
                      </c:pt>
                      <c:pt idx="3">
                        <c:v>0</c:v>
                      </c:pt>
                      <c:pt idx="4">
                        <c:v>0</c:v>
                      </c:pt>
                    </c:numCache>
                  </c:numRef>
                </c:val>
                <c:extLst>
                  <c:ext xmlns:c16="http://schemas.microsoft.com/office/drawing/2014/chart" uri="{C3380CC4-5D6E-409C-BE32-E72D297353CC}">
                    <c16:uniqueId val="{00000006-C41C-46EA-8688-26526EC78B4A}"/>
                  </c:ext>
                </c:extLst>
              </c15:ser>
            </c15:filteredBarSeries>
          </c:ext>
        </c:extLst>
      </c:barChart>
      <c:catAx>
        <c:axId val="18200509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6490351"/>
        <c:crosses val="autoZero"/>
        <c:auto val="1"/>
        <c:lblAlgn val="ctr"/>
        <c:lblOffset val="100"/>
        <c:noMultiLvlLbl val="0"/>
      </c:catAx>
      <c:valAx>
        <c:axId val="1646490351"/>
        <c:scaling>
          <c:orientation val="minMax"/>
        </c:scaling>
        <c:delete val="0"/>
        <c:axPos val="l"/>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0050911"/>
        <c:crosses val="autoZero"/>
        <c:crossBetween val="between"/>
      </c:valAx>
      <c:spPr>
        <a:noFill/>
        <a:ln>
          <a:noFill/>
        </a:ln>
        <a:effectLst/>
      </c:spPr>
    </c:plotArea>
    <c:legend>
      <c:legendPos val="b"/>
      <c:layout>
        <c:manualLayout>
          <c:xMode val="edge"/>
          <c:yMode val="edge"/>
          <c:x val="0.85809352929670879"/>
          <c:y val="4.2743234681871661E-2"/>
          <c:w val="0.1419064707032914"/>
          <c:h val="0.916668024255588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'2025-2029 Combined Category'!$B$21</c:f>
          <c:strCache>
            <c:ptCount val="1"/>
            <c:pt idx="0">
              <c:v>RTF Budgets (not including Council In-Kind Contribution)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0763292189836775E-2"/>
          <c:y val="0.12061788617886179"/>
          <c:w val="0.76909098818159594"/>
          <c:h val="0.80028090391140116"/>
        </c:manualLayout>
      </c:layout>
      <c:barChart>
        <c:barDir val="col"/>
        <c:grouping val="stacked"/>
        <c:varyColors val="0"/>
        <c:ser>
          <c:idx val="0"/>
          <c:order val="0"/>
          <c:tx>
            <c:strRef>
              <c:f>'2025-2029 Combined Category'!$B$22</c:f>
              <c:strCache>
                <c:ptCount val="1"/>
                <c:pt idx="0">
                  <c:v>Existing Measure Review &amp; Updates</c:v>
                </c:pt>
              </c:strCache>
            </c:strRef>
          </c:tx>
          <c:spPr>
            <a:solidFill>
              <a:schemeClr val="accent1"/>
            </a:solidFill>
            <a:ln>
              <a:noFill/>
            </a:ln>
            <a:effectLst/>
          </c:spPr>
          <c:invertIfNegative val="0"/>
          <c:cat>
            <c:strRef>
              <c:f>'2025-2029 Combined Category'!$C$21:$G$21</c:f>
              <c:strCache>
                <c:ptCount val="5"/>
                <c:pt idx="0">
                  <c:v>Proposed 2025</c:v>
                </c:pt>
                <c:pt idx="1">
                  <c:v>Estimated 2026</c:v>
                </c:pt>
                <c:pt idx="2">
                  <c:v>Estimated 2027</c:v>
                </c:pt>
                <c:pt idx="3">
                  <c:v>Estimated 2028</c:v>
                </c:pt>
                <c:pt idx="4">
                  <c:v>Estimated 2029</c:v>
                </c:pt>
              </c:strCache>
            </c:strRef>
          </c:cat>
          <c:val>
            <c:numRef>
              <c:f>'2025-2029 Combined Category'!$C$22:$G$22</c:f>
              <c:numCache>
                <c:formatCode>"$"#,##0_);\("$"#,##0\)</c:formatCode>
                <c:ptCount val="5"/>
                <c:pt idx="0">
                  <c:v>418000</c:v>
                </c:pt>
                <c:pt idx="1">
                  <c:v>428450</c:v>
                </c:pt>
                <c:pt idx="2">
                  <c:v>716100</c:v>
                </c:pt>
                <c:pt idx="3">
                  <c:v>805800</c:v>
                </c:pt>
                <c:pt idx="4">
                  <c:v>583200</c:v>
                </c:pt>
              </c:numCache>
            </c:numRef>
          </c:val>
          <c:extLst>
            <c:ext xmlns:c16="http://schemas.microsoft.com/office/drawing/2014/chart" uri="{C3380CC4-5D6E-409C-BE32-E72D297353CC}">
              <c16:uniqueId val="{00000000-148B-4937-87A7-8F92FB1AEAE3}"/>
            </c:ext>
          </c:extLst>
        </c:ser>
        <c:ser>
          <c:idx val="1"/>
          <c:order val="1"/>
          <c:tx>
            <c:strRef>
              <c:f>'2025-2029 Combined Category'!$B$23</c:f>
              <c:strCache>
                <c:ptCount val="1"/>
                <c:pt idx="0">
                  <c:v>New Measure Development &amp; Review of Unsolicited Proposals</c:v>
                </c:pt>
              </c:strCache>
            </c:strRef>
          </c:tx>
          <c:spPr>
            <a:solidFill>
              <a:schemeClr val="accent2"/>
            </a:solidFill>
            <a:ln>
              <a:noFill/>
            </a:ln>
            <a:effectLst/>
          </c:spPr>
          <c:invertIfNegative val="0"/>
          <c:cat>
            <c:strRef>
              <c:f>'2025-2029 Combined Category'!$C$21:$G$21</c:f>
              <c:strCache>
                <c:ptCount val="5"/>
                <c:pt idx="0">
                  <c:v>Proposed 2025</c:v>
                </c:pt>
                <c:pt idx="1">
                  <c:v>Estimated 2026</c:v>
                </c:pt>
                <c:pt idx="2">
                  <c:v>Estimated 2027</c:v>
                </c:pt>
                <c:pt idx="3">
                  <c:v>Estimated 2028</c:v>
                </c:pt>
                <c:pt idx="4">
                  <c:v>Estimated 2029</c:v>
                </c:pt>
              </c:strCache>
            </c:strRef>
          </c:cat>
          <c:val>
            <c:numRef>
              <c:f>'2025-2029 Combined Category'!$C$23:$G$23</c:f>
              <c:numCache>
                <c:formatCode>"$"#,##0_);\("$"#,##0\)</c:formatCode>
                <c:ptCount val="5"/>
                <c:pt idx="0">
                  <c:v>500500</c:v>
                </c:pt>
                <c:pt idx="1">
                  <c:v>606450</c:v>
                </c:pt>
                <c:pt idx="2">
                  <c:v>239000</c:v>
                </c:pt>
                <c:pt idx="3">
                  <c:v>0</c:v>
                </c:pt>
                <c:pt idx="4">
                  <c:v>452700</c:v>
                </c:pt>
              </c:numCache>
            </c:numRef>
          </c:val>
          <c:extLst>
            <c:ext xmlns:c16="http://schemas.microsoft.com/office/drawing/2014/chart" uri="{C3380CC4-5D6E-409C-BE32-E72D297353CC}">
              <c16:uniqueId val="{00000001-148B-4937-87A7-8F92FB1AEAE3}"/>
            </c:ext>
          </c:extLst>
        </c:ser>
        <c:ser>
          <c:idx val="2"/>
          <c:order val="2"/>
          <c:tx>
            <c:strRef>
              <c:f>'2025-2029 Combined Category'!$B$24</c:f>
              <c:strCache>
                <c:ptCount val="1"/>
                <c:pt idx="0">
                  <c:v>Standardization of Technical Analysis</c:v>
                </c:pt>
              </c:strCache>
            </c:strRef>
          </c:tx>
          <c:spPr>
            <a:solidFill>
              <a:schemeClr val="accent3"/>
            </a:solidFill>
            <a:ln>
              <a:noFill/>
            </a:ln>
            <a:effectLst/>
          </c:spPr>
          <c:invertIfNegative val="0"/>
          <c:cat>
            <c:strRef>
              <c:f>'2025-2029 Combined Category'!$C$21:$G$21</c:f>
              <c:strCache>
                <c:ptCount val="5"/>
                <c:pt idx="0">
                  <c:v>Proposed 2025</c:v>
                </c:pt>
                <c:pt idx="1">
                  <c:v>Estimated 2026</c:v>
                </c:pt>
                <c:pt idx="2">
                  <c:v>Estimated 2027</c:v>
                </c:pt>
                <c:pt idx="3">
                  <c:v>Estimated 2028</c:v>
                </c:pt>
                <c:pt idx="4">
                  <c:v>Estimated 2029</c:v>
                </c:pt>
              </c:strCache>
            </c:strRef>
          </c:cat>
          <c:val>
            <c:numRef>
              <c:f>'2025-2029 Combined Category'!$C$24:$G$24</c:f>
              <c:numCache>
                <c:formatCode>"$"#,##0_);\("$"#,##0\)</c:formatCode>
                <c:ptCount val="5"/>
                <c:pt idx="0">
                  <c:v>219500</c:v>
                </c:pt>
                <c:pt idx="1">
                  <c:v>191100</c:v>
                </c:pt>
                <c:pt idx="2">
                  <c:v>218800</c:v>
                </c:pt>
                <c:pt idx="3">
                  <c:v>198600</c:v>
                </c:pt>
                <c:pt idx="4">
                  <c:v>212200</c:v>
                </c:pt>
              </c:numCache>
            </c:numRef>
          </c:val>
          <c:extLst>
            <c:ext xmlns:c16="http://schemas.microsoft.com/office/drawing/2014/chart" uri="{C3380CC4-5D6E-409C-BE32-E72D297353CC}">
              <c16:uniqueId val="{00000002-148B-4937-87A7-8F92FB1AEAE3}"/>
            </c:ext>
          </c:extLst>
        </c:ser>
        <c:ser>
          <c:idx val="3"/>
          <c:order val="3"/>
          <c:tx>
            <c:strRef>
              <c:f>'2025-2029 Combined Category'!$B$25</c:f>
              <c:strCache>
                <c:ptCount val="1"/>
                <c:pt idx="0">
                  <c:v>Tool Development</c:v>
                </c:pt>
              </c:strCache>
            </c:strRef>
          </c:tx>
          <c:spPr>
            <a:solidFill>
              <a:schemeClr val="accent4"/>
            </a:solidFill>
            <a:ln>
              <a:noFill/>
            </a:ln>
            <a:effectLst/>
          </c:spPr>
          <c:invertIfNegative val="0"/>
          <c:cat>
            <c:strRef>
              <c:f>'2025-2029 Combined Category'!$C$21:$G$21</c:f>
              <c:strCache>
                <c:ptCount val="5"/>
                <c:pt idx="0">
                  <c:v>Proposed 2025</c:v>
                </c:pt>
                <c:pt idx="1">
                  <c:v>Estimated 2026</c:v>
                </c:pt>
                <c:pt idx="2">
                  <c:v>Estimated 2027</c:v>
                </c:pt>
                <c:pt idx="3">
                  <c:v>Estimated 2028</c:v>
                </c:pt>
                <c:pt idx="4">
                  <c:v>Estimated 2029</c:v>
                </c:pt>
              </c:strCache>
            </c:strRef>
          </c:cat>
          <c:val>
            <c:numRef>
              <c:f>'2025-2029 Combined Category'!$C$25:$G$25</c:f>
              <c:numCache>
                <c:formatCode>"$"#,##0_);\("$"#,##0\)</c:formatCode>
                <c:ptCount val="5"/>
                <c:pt idx="0">
                  <c:v>105000</c:v>
                </c:pt>
                <c:pt idx="1">
                  <c:v>60000</c:v>
                </c:pt>
                <c:pt idx="2">
                  <c:v>100000</c:v>
                </c:pt>
                <c:pt idx="3">
                  <c:v>185000</c:v>
                </c:pt>
                <c:pt idx="4">
                  <c:v>55000</c:v>
                </c:pt>
              </c:numCache>
            </c:numRef>
          </c:val>
          <c:extLst>
            <c:ext xmlns:c16="http://schemas.microsoft.com/office/drawing/2014/chart" uri="{C3380CC4-5D6E-409C-BE32-E72D297353CC}">
              <c16:uniqueId val="{00000003-148B-4937-87A7-8F92FB1AEAE3}"/>
            </c:ext>
          </c:extLst>
        </c:ser>
        <c:ser>
          <c:idx val="4"/>
          <c:order val="4"/>
          <c:tx>
            <c:strRef>
              <c:f>'2025-2029 Combined Category'!$B$26</c:f>
              <c:strCache>
                <c:ptCount val="1"/>
                <c:pt idx="0">
                  <c:v>Regional Coordination</c:v>
                </c:pt>
              </c:strCache>
            </c:strRef>
          </c:tx>
          <c:spPr>
            <a:solidFill>
              <a:schemeClr val="accent5"/>
            </a:solidFill>
            <a:ln>
              <a:noFill/>
            </a:ln>
            <a:effectLst/>
          </c:spPr>
          <c:invertIfNegative val="0"/>
          <c:cat>
            <c:strRef>
              <c:f>'2025-2029 Combined Category'!$C$21:$G$21</c:f>
              <c:strCache>
                <c:ptCount val="5"/>
                <c:pt idx="0">
                  <c:v>Proposed 2025</c:v>
                </c:pt>
                <c:pt idx="1">
                  <c:v>Estimated 2026</c:v>
                </c:pt>
                <c:pt idx="2">
                  <c:v>Estimated 2027</c:v>
                </c:pt>
                <c:pt idx="3">
                  <c:v>Estimated 2028</c:v>
                </c:pt>
                <c:pt idx="4">
                  <c:v>Estimated 2029</c:v>
                </c:pt>
              </c:strCache>
            </c:strRef>
          </c:cat>
          <c:val>
            <c:numRef>
              <c:f>'2025-2029 Combined Category'!$C$26:$G$26</c:f>
              <c:numCache>
                <c:formatCode>"$"#,##0_);\("$"#,##0\)</c:formatCode>
                <c:ptCount val="5"/>
                <c:pt idx="0">
                  <c:v>172600</c:v>
                </c:pt>
                <c:pt idx="1">
                  <c:v>163800</c:v>
                </c:pt>
                <c:pt idx="2">
                  <c:v>252000</c:v>
                </c:pt>
                <c:pt idx="3">
                  <c:v>347100</c:v>
                </c:pt>
                <c:pt idx="4">
                  <c:v>294700</c:v>
                </c:pt>
              </c:numCache>
            </c:numRef>
          </c:val>
          <c:extLst>
            <c:ext xmlns:c16="http://schemas.microsoft.com/office/drawing/2014/chart" uri="{C3380CC4-5D6E-409C-BE32-E72D297353CC}">
              <c16:uniqueId val="{00000004-148B-4937-87A7-8F92FB1AEAE3}"/>
            </c:ext>
          </c:extLst>
        </c:ser>
        <c:ser>
          <c:idx val="5"/>
          <c:order val="5"/>
          <c:tx>
            <c:strRef>
              <c:f>'2025-2029 Combined Category'!$B$27</c:f>
              <c:strCache>
                <c:ptCount val="1"/>
                <c:pt idx="0">
                  <c:v>Demand Response</c:v>
                </c:pt>
              </c:strCache>
            </c:strRef>
          </c:tx>
          <c:spPr>
            <a:solidFill>
              <a:schemeClr val="accent6"/>
            </a:solidFill>
            <a:ln>
              <a:noFill/>
            </a:ln>
            <a:effectLst/>
          </c:spPr>
          <c:invertIfNegative val="0"/>
          <c:cat>
            <c:strRef>
              <c:f>'2025-2029 Combined Category'!$C$21:$G$21</c:f>
              <c:strCache>
                <c:ptCount val="5"/>
                <c:pt idx="0">
                  <c:v>Proposed 2025</c:v>
                </c:pt>
                <c:pt idx="1">
                  <c:v>Estimated 2026</c:v>
                </c:pt>
                <c:pt idx="2">
                  <c:v>Estimated 2027</c:v>
                </c:pt>
                <c:pt idx="3">
                  <c:v>Estimated 2028</c:v>
                </c:pt>
                <c:pt idx="4">
                  <c:v>Estimated 2029</c:v>
                </c:pt>
              </c:strCache>
            </c:strRef>
          </c:cat>
          <c:val>
            <c:numRef>
              <c:f>'2025-2029 Combined Category'!$C$27:$G$27</c:f>
              <c:numCache>
                <c:formatCode>"$"#,##0_);\("$"#,##0\)</c:formatCode>
                <c:ptCount val="5"/>
                <c:pt idx="0">
                  <c:v>110500</c:v>
                </c:pt>
                <c:pt idx="1">
                  <c:v>114300</c:v>
                </c:pt>
                <c:pt idx="2">
                  <c:v>83400</c:v>
                </c:pt>
                <c:pt idx="3">
                  <c:v>103700</c:v>
                </c:pt>
                <c:pt idx="4">
                  <c:v>89300</c:v>
                </c:pt>
              </c:numCache>
            </c:numRef>
          </c:val>
          <c:extLst>
            <c:ext xmlns:c16="http://schemas.microsoft.com/office/drawing/2014/chart" uri="{C3380CC4-5D6E-409C-BE32-E72D297353CC}">
              <c16:uniqueId val="{00000005-148B-4937-87A7-8F92FB1AEAE3}"/>
            </c:ext>
          </c:extLst>
        </c:ser>
        <c:ser>
          <c:idx val="7"/>
          <c:order val="7"/>
          <c:tx>
            <c:strRef>
              <c:f>'2025-2029 Combined Category'!$B$29</c:f>
              <c:strCache>
                <c:ptCount val="1"/>
                <c:pt idx="0">
                  <c:v>RTF Member Support &amp; Administration</c:v>
                </c:pt>
              </c:strCache>
            </c:strRef>
          </c:tx>
          <c:spPr>
            <a:solidFill>
              <a:schemeClr val="accent2">
                <a:lumMod val="60000"/>
              </a:schemeClr>
            </a:solidFill>
            <a:ln>
              <a:noFill/>
            </a:ln>
            <a:effectLst/>
          </c:spPr>
          <c:invertIfNegative val="0"/>
          <c:cat>
            <c:strRef>
              <c:f>'2025-2029 Combined Category'!$C$21:$G$21</c:f>
              <c:strCache>
                <c:ptCount val="5"/>
                <c:pt idx="0">
                  <c:v>Proposed 2025</c:v>
                </c:pt>
                <c:pt idx="1">
                  <c:v>Estimated 2026</c:v>
                </c:pt>
                <c:pt idx="2">
                  <c:v>Estimated 2027</c:v>
                </c:pt>
                <c:pt idx="3">
                  <c:v>Estimated 2028</c:v>
                </c:pt>
                <c:pt idx="4">
                  <c:v>Estimated 2029</c:v>
                </c:pt>
              </c:strCache>
            </c:strRef>
          </c:cat>
          <c:val>
            <c:numRef>
              <c:f>'2025-2029 Combined Category'!$C$29:$G$29</c:f>
              <c:numCache>
                <c:formatCode>"$"#,##0_);\("$"#,##0\)</c:formatCode>
                <c:ptCount val="5"/>
                <c:pt idx="0">
                  <c:v>278200</c:v>
                </c:pt>
                <c:pt idx="1">
                  <c:v>282100</c:v>
                </c:pt>
                <c:pt idx="2">
                  <c:v>286000</c:v>
                </c:pt>
                <c:pt idx="3">
                  <c:v>299500</c:v>
                </c:pt>
                <c:pt idx="4">
                  <c:v>304200</c:v>
                </c:pt>
              </c:numCache>
            </c:numRef>
          </c:val>
          <c:extLst>
            <c:ext xmlns:c16="http://schemas.microsoft.com/office/drawing/2014/chart" uri="{C3380CC4-5D6E-409C-BE32-E72D297353CC}">
              <c16:uniqueId val="{00000007-148B-4937-87A7-8F92FB1AEAE3}"/>
            </c:ext>
          </c:extLst>
        </c:ser>
        <c:ser>
          <c:idx val="8"/>
          <c:order val="8"/>
          <c:tx>
            <c:strRef>
              <c:f>'2025-2029 Combined Category'!$B$30</c:f>
              <c:strCache>
                <c:ptCount val="1"/>
                <c:pt idx="0">
                  <c:v>Website, Database support, Conservation Tracking </c:v>
                </c:pt>
              </c:strCache>
            </c:strRef>
          </c:tx>
          <c:spPr>
            <a:solidFill>
              <a:schemeClr val="accent3">
                <a:lumMod val="60000"/>
              </a:schemeClr>
            </a:solidFill>
            <a:ln>
              <a:noFill/>
            </a:ln>
            <a:effectLst/>
          </c:spPr>
          <c:invertIfNegative val="0"/>
          <c:cat>
            <c:strRef>
              <c:f>'2025-2029 Combined Category'!$C$21:$G$21</c:f>
              <c:strCache>
                <c:ptCount val="5"/>
                <c:pt idx="0">
                  <c:v>Proposed 2025</c:v>
                </c:pt>
                <c:pt idx="1">
                  <c:v>Estimated 2026</c:v>
                </c:pt>
                <c:pt idx="2">
                  <c:v>Estimated 2027</c:v>
                </c:pt>
                <c:pt idx="3">
                  <c:v>Estimated 2028</c:v>
                </c:pt>
                <c:pt idx="4">
                  <c:v>Estimated 2029</c:v>
                </c:pt>
              </c:strCache>
            </c:strRef>
          </c:cat>
          <c:val>
            <c:numRef>
              <c:f>'2025-2029 Combined Category'!$C$30:$G$30</c:f>
              <c:numCache>
                <c:formatCode>"$"#,##0_);\("$"#,##0\)</c:formatCode>
                <c:ptCount val="5"/>
                <c:pt idx="0">
                  <c:v>61700</c:v>
                </c:pt>
                <c:pt idx="1">
                  <c:v>63200</c:v>
                </c:pt>
                <c:pt idx="2">
                  <c:v>64800</c:v>
                </c:pt>
                <c:pt idx="3">
                  <c:v>66400</c:v>
                </c:pt>
                <c:pt idx="4">
                  <c:v>68100</c:v>
                </c:pt>
              </c:numCache>
            </c:numRef>
          </c:val>
          <c:extLst>
            <c:ext xmlns:c16="http://schemas.microsoft.com/office/drawing/2014/chart" uri="{C3380CC4-5D6E-409C-BE32-E72D297353CC}">
              <c16:uniqueId val="{00000008-148B-4937-87A7-8F92FB1AEAE3}"/>
            </c:ext>
          </c:extLst>
        </c:ser>
        <c:ser>
          <c:idx val="9"/>
          <c:order val="9"/>
          <c:tx>
            <c:strRef>
              <c:f>'2025-2029 Combined Category'!$B$31</c:f>
              <c:strCache>
                <c:ptCount val="1"/>
                <c:pt idx="0">
                  <c:v>RTF Management</c:v>
                </c:pt>
              </c:strCache>
            </c:strRef>
          </c:tx>
          <c:spPr>
            <a:solidFill>
              <a:schemeClr val="accent4">
                <a:lumMod val="60000"/>
              </a:schemeClr>
            </a:solidFill>
            <a:ln>
              <a:noFill/>
            </a:ln>
            <a:effectLst/>
          </c:spPr>
          <c:invertIfNegative val="0"/>
          <c:cat>
            <c:strRef>
              <c:f>'2025-2029 Combined Category'!$C$21:$G$21</c:f>
              <c:strCache>
                <c:ptCount val="5"/>
                <c:pt idx="0">
                  <c:v>Proposed 2025</c:v>
                </c:pt>
                <c:pt idx="1">
                  <c:v>Estimated 2026</c:v>
                </c:pt>
                <c:pt idx="2">
                  <c:v>Estimated 2027</c:v>
                </c:pt>
                <c:pt idx="3">
                  <c:v>Estimated 2028</c:v>
                </c:pt>
                <c:pt idx="4">
                  <c:v>Estimated 2029</c:v>
                </c:pt>
              </c:strCache>
            </c:strRef>
          </c:cat>
          <c:val>
            <c:numRef>
              <c:f>'2025-2029 Combined Category'!$C$31:$G$31</c:f>
              <c:numCache>
                <c:formatCode>"$"#,##0_);\("$"#,##0\)</c:formatCode>
                <c:ptCount val="5"/>
                <c:pt idx="0">
                  <c:v>170500</c:v>
                </c:pt>
                <c:pt idx="1">
                  <c:v>178000</c:v>
                </c:pt>
                <c:pt idx="2">
                  <c:v>179500</c:v>
                </c:pt>
                <c:pt idx="3">
                  <c:v>187000</c:v>
                </c:pt>
                <c:pt idx="4">
                  <c:v>188500</c:v>
                </c:pt>
              </c:numCache>
            </c:numRef>
          </c:val>
          <c:extLst>
            <c:ext xmlns:c16="http://schemas.microsoft.com/office/drawing/2014/chart" uri="{C3380CC4-5D6E-409C-BE32-E72D297353CC}">
              <c16:uniqueId val="{00000009-148B-4937-87A7-8F92FB1AEAE3}"/>
            </c:ext>
          </c:extLst>
        </c:ser>
        <c:dLbls>
          <c:showLegendKey val="0"/>
          <c:showVal val="0"/>
          <c:showCatName val="0"/>
          <c:showSerName val="0"/>
          <c:showPercent val="0"/>
          <c:showBubbleSize val="0"/>
        </c:dLbls>
        <c:gapWidth val="150"/>
        <c:overlap val="100"/>
        <c:axId val="1816753887"/>
        <c:axId val="2062792959"/>
        <c:extLst>
          <c:ext xmlns:c15="http://schemas.microsoft.com/office/drawing/2012/chart" uri="{02D57815-91ED-43cb-92C2-25804820EDAC}">
            <c15:filteredBarSeries>
              <c15:ser>
                <c:idx val="6"/>
                <c:order val="6"/>
                <c:tx>
                  <c:strRef>
                    <c:extLst>
                      <c:ext uri="{02D57815-91ED-43cb-92C2-25804820EDAC}">
                        <c15:formulaRef>
                          <c15:sqref>'2025-2029 Combined Category'!$B$28</c15:sqref>
                        </c15:formulaRef>
                      </c:ext>
                    </c:extLst>
                    <c:strCache>
                      <c:ptCount val="1"/>
                      <c:pt idx="0">
                        <c:v>Primary Research</c:v>
                      </c:pt>
                    </c:strCache>
                  </c:strRef>
                </c:tx>
                <c:spPr>
                  <a:solidFill>
                    <a:schemeClr val="accent1">
                      <a:lumMod val="60000"/>
                    </a:schemeClr>
                  </a:solidFill>
                  <a:ln>
                    <a:noFill/>
                  </a:ln>
                  <a:effectLst/>
                </c:spPr>
                <c:invertIfNegative val="0"/>
                <c:cat>
                  <c:strRef>
                    <c:extLst>
                      <c:ext uri="{02D57815-91ED-43cb-92C2-25804820EDAC}">
                        <c15:formulaRef>
                          <c15:sqref>'2025-2029 Combined Category'!$C$21:$G$21</c15:sqref>
                        </c15:formulaRef>
                      </c:ext>
                    </c:extLst>
                    <c:strCache>
                      <c:ptCount val="5"/>
                      <c:pt idx="0">
                        <c:v>Proposed 2025</c:v>
                      </c:pt>
                      <c:pt idx="1">
                        <c:v>Estimated 2026</c:v>
                      </c:pt>
                      <c:pt idx="2">
                        <c:v>Estimated 2027</c:v>
                      </c:pt>
                      <c:pt idx="3">
                        <c:v>Estimated 2028</c:v>
                      </c:pt>
                      <c:pt idx="4">
                        <c:v>Estimated 2029</c:v>
                      </c:pt>
                    </c:strCache>
                  </c:strRef>
                </c:cat>
                <c:val>
                  <c:numRef>
                    <c:extLst>
                      <c:ext uri="{02D57815-91ED-43cb-92C2-25804820EDAC}">
                        <c15:formulaRef>
                          <c15:sqref>'2025-2029 Combined Category'!$C$28:$G$28</c15:sqref>
                        </c15:formulaRef>
                      </c:ext>
                    </c:extLst>
                    <c:numCache>
                      <c:formatCode>"$"#,##0_);\("$"#,##0\)</c:formatCode>
                      <c:ptCount val="5"/>
                      <c:pt idx="0">
                        <c:v>0</c:v>
                      </c:pt>
                      <c:pt idx="1">
                        <c:v>0</c:v>
                      </c:pt>
                      <c:pt idx="2">
                        <c:v>0</c:v>
                      </c:pt>
                      <c:pt idx="3">
                        <c:v>0</c:v>
                      </c:pt>
                      <c:pt idx="4">
                        <c:v>0</c:v>
                      </c:pt>
                    </c:numCache>
                  </c:numRef>
                </c:val>
                <c:extLst>
                  <c:ext xmlns:c16="http://schemas.microsoft.com/office/drawing/2014/chart" uri="{C3380CC4-5D6E-409C-BE32-E72D297353CC}">
                    <c16:uniqueId val="{00000006-148B-4937-87A7-8F92FB1AEAE3}"/>
                  </c:ext>
                </c:extLst>
              </c15:ser>
            </c15:filteredBarSeries>
          </c:ext>
        </c:extLst>
      </c:barChart>
      <c:catAx>
        <c:axId val="1816753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2792959"/>
        <c:crosses val="autoZero"/>
        <c:auto val="1"/>
        <c:lblAlgn val="ctr"/>
        <c:lblOffset val="100"/>
        <c:noMultiLvlLbl val="0"/>
      </c:catAx>
      <c:valAx>
        <c:axId val="2062792959"/>
        <c:scaling>
          <c:orientation val="minMax"/>
        </c:scaling>
        <c:delete val="0"/>
        <c:axPos val="l"/>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6753887"/>
        <c:crosses val="autoZero"/>
        <c:crossBetween val="between"/>
      </c:valAx>
      <c:spPr>
        <a:noFill/>
        <a:ln>
          <a:noFill/>
        </a:ln>
        <a:effectLst/>
      </c:spPr>
    </c:plotArea>
    <c:legend>
      <c:legendPos val="b"/>
      <c:layout>
        <c:manualLayout>
          <c:xMode val="edge"/>
          <c:yMode val="edge"/>
          <c:x val="0.83737000069798284"/>
          <c:y val="4.9998847705012478E-2"/>
          <c:w val="0.16262997034434343"/>
          <c:h val="0.899790365461183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RTF Budget by Category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9124233548783217E-2"/>
          <c:y val="0.12061788617886179"/>
          <c:w val="0.72467274572764806"/>
          <c:h val="0.75881672108059661"/>
        </c:manualLayout>
      </c:layout>
      <c:barChart>
        <c:barDir val="col"/>
        <c:grouping val="percentStacked"/>
        <c:varyColors val="0"/>
        <c:ser>
          <c:idx val="0"/>
          <c:order val="0"/>
          <c:tx>
            <c:strRef>
              <c:f>'2025-2029 Combined Category'!$M$21</c:f>
              <c:strCache>
                <c:ptCount val="1"/>
                <c:pt idx="0">
                  <c:v>Existing Measure Review &amp; Updates</c:v>
                </c:pt>
              </c:strCache>
            </c:strRef>
          </c:tx>
          <c:spPr>
            <a:solidFill>
              <a:schemeClr val="accent1"/>
            </a:solidFill>
            <a:ln>
              <a:noFill/>
            </a:ln>
            <a:effectLst/>
          </c:spPr>
          <c:invertIfNegative val="0"/>
          <c:cat>
            <c:strRef>
              <c:f>'2025-2029 Combined Category'!$N$20:$R$20</c:f>
              <c:strCache>
                <c:ptCount val="5"/>
                <c:pt idx="0">
                  <c:v>Proposed 2025</c:v>
                </c:pt>
                <c:pt idx="1">
                  <c:v>Estimated 2026</c:v>
                </c:pt>
                <c:pt idx="2">
                  <c:v>Estimated 2027</c:v>
                </c:pt>
                <c:pt idx="3">
                  <c:v>Estimated 2028</c:v>
                </c:pt>
                <c:pt idx="4">
                  <c:v>Estimated 2029</c:v>
                </c:pt>
              </c:strCache>
            </c:strRef>
          </c:cat>
          <c:val>
            <c:numRef>
              <c:f>'2025-2029 Combined Category'!$N$21:$R$21</c:f>
              <c:numCache>
                <c:formatCode>0%</c:formatCode>
                <c:ptCount val="5"/>
                <c:pt idx="0">
                  <c:v>0.20525411244782715</c:v>
                </c:pt>
                <c:pt idx="1">
                  <c:v>0.20525534157324901</c:v>
                </c:pt>
                <c:pt idx="2">
                  <c:v>0.33468872686483453</c:v>
                </c:pt>
                <c:pt idx="3">
                  <c:v>0.36742510601431766</c:v>
                </c:pt>
                <c:pt idx="4">
                  <c:v>0.25944214600293608</c:v>
                </c:pt>
              </c:numCache>
            </c:numRef>
          </c:val>
          <c:extLst>
            <c:ext xmlns:c16="http://schemas.microsoft.com/office/drawing/2014/chart" uri="{C3380CC4-5D6E-409C-BE32-E72D297353CC}">
              <c16:uniqueId val="{00000000-544D-4AA8-8CB8-2066245CC876}"/>
            </c:ext>
          </c:extLst>
        </c:ser>
        <c:ser>
          <c:idx val="1"/>
          <c:order val="1"/>
          <c:tx>
            <c:strRef>
              <c:f>'2025-2029 Combined Category'!$M$22</c:f>
              <c:strCache>
                <c:ptCount val="1"/>
                <c:pt idx="0">
                  <c:v>New Measure Development &amp; Review of Unsolicited Proposals</c:v>
                </c:pt>
              </c:strCache>
            </c:strRef>
          </c:tx>
          <c:spPr>
            <a:solidFill>
              <a:schemeClr val="accent2"/>
            </a:solidFill>
            <a:ln>
              <a:noFill/>
            </a:ln>
            <a:effectLst/>
          </c:spPr>
          <c:invertIfNegative val="0"/>
          <c:cat>
            <c:strRef>
              <c:f>'2025-2029 Combined Category'!$N$20:$R$20</c:f>
              <c:strCache>
                <c:ptCount val="5"/>
                <c:pt idx="0">
                  <c:v>Proposed 2025</c:v>
                </c:pt>
                <c:pt idx="1">
                  <c:v>Estimated 2026</c:v>
                </c:pt>
                <c:pt idx="2">
                  <c:v>Estimated 2027</c:v>
                </c:pt>
                <c:pt idx="3">
                  <c:v>Estimated 2028</c:v>
                </c:pt>
                <c:pt idx="4">
                  <c:v>Estimated 2029</c:v>
                </c:pt>
              </c:strCache>
            </c:strRef>
          </c:cat>
          <c:val>
            <c:numRef>
              <c:f>'2025-2029 Combined Category'!$N$22:$R$22</c:f>
              <c:numCache>
                <c:formatCode>0%</c:formatCode>
                <c:ptCount val="5"/>
                <c:pt idx="0">
                  <c:v>0.24576479253621408</c:v>
                </c:pt>
                <c:pt idx="1">
                  <c:v>0.29052888761138257</c:v>
                </c:pt>
                <c:pt idx="2">
                  <c:v>0.11170312207889325</c:v>
                </c:pt>
                <c:pt idx="3">
                  <c:v>0</c:v>
                </c:pt>
                <c:pt idx="4">
                  <c:v>0.20138796209795809</c:v>
                </c:pt>
              </c:numCache>
            </c:numRef>
          </c:val>
          <c:extLst>
            <c:ext xmlns:c16="http://schemas.microsoft.com/office/drawing/2014/chart" uri="{C3380CC4-5D6E-409C-BE32-E72D297353CC}">
              <c16:uniqueId val="{00000001-544D-4AA8-8CB8-2066245CC876}"/>
            </c:ext>
          </c:extLst>
        </c:ser>
        <c:ser>
          <c:idx val="2"/>
          <c:order val="2"/>
          <c:tx>
            <c:strRef>
              <c:f>'2025-2029 Combined Category'!$M$23</c:f>
              <c:strCache>
                <c:ptCount val="1"/>
                <c:pt idx="0">
                  <c:v>Standardization of Technical Analysis</c:v>
                </c:pt>
              </c:strCache>
            </c:strRef>
          </c:tx>
          <c:spPr>
            <a:solidFill>
              <a:schemeClr val="accent3"/>
            </a:solidFill>
            <a:ln>
              <a:noFill/>
            </a:ln>
            <a:effectLst/>
          </c:spPr>
          <c:invertIfNegative val="0"/>
          <c:cat>
            <c:strRef>
              <c:f>'2025-2029 Combined Category'!$N$20:$R$20</c:f>
              <c:strCache>
                <c:ptCount val="5"/>
                <c:pt idx="0">
                  <c:v>Proposed 2025</c:v>
                </c:pt>
                <c:pt idx="1">
                  <c:v>Estimated 2026</c:v>
                </c:pt>
                <c:pt idx="2">
                  <c:v>Estimated 2027</c:v>
                </c:pt>
                <c:pt idx="3">
                  <c:v>Estimated 2028</c:v>
                </c:pt>
                <c:pt idx="4">
                  <c:v>Estimated 2029</c:v>
                </c:pt>
              </c:strCache>
            </c:strRef>
          </c:cat>
          <c:val>
            <c:numRef>
              <c:f>'2025-2029 Combined Category'!$N$23:$R$23</c:f>
              <c:numCache>
                <c:formatCode>0%</c:formatCode>
                <c:ptCount val="5"/>
                <c:pt idx="0">
                  <c:v>0.10778296096243555</c:v>
                </c:pt>
                <c:pt idx="1">
                  <c:v>9.154929577464789E-2</c:v>
                </c:pt>
                <c:pt idx="2">
                  <c:v>0.10226210506636754</c:v>
                </c:pt>
                <c:pt idx="3">
                  <c:v>9.0556746158405907E-2</c:v>
                </c:pt>
                <c:pt idx="4">
                  <c:v>9.4399217047021658E-2</c:v>
                </c:pt>
              </c:numCache>
            </c:numRef>
          </c:val>
          <c:extLst>
            <c:ext xmlns:c16="http://schemas.microsoft.com/office/drawing/2014/chart" uri="{C3380CC4-5D6E-409C-BE32-E72D297353CC}">
              <c16:uniqueId val="{00000002-544D-4AA8-8CB8-2066245CC876}"/>
            </c:ext>
          </c:extLst>
        </c:ser>
        <c:ser>
          <c:idx val="3"/>
          <c:order val="3"/>
          <c:tx>
            <c:strRef>
              <c:f>'2025-2029 Combined Category'!$M$24</c:f>
              <c:strCache>
                <c:ptCount val="1"/>
                <c:pt idx="0">
                  <c:v>Tool Development</c:v>
                </c:pt>
              </c:strCache>
            </c:strRef>
          </c:tx>
          <c:spPr>
            <a:solidFill>
              <a:schemeClr val="accent4"/>
            </a:solidFill>
            <a:ln>
              <a:noFill/>
            </a:ln>
            <a:effectLst/>
          </c:spPr>
          <c:invertIfNegative val="0"/>
          <c:cat>
            <c:strRef>
              <c:f>'2025-2029 Combined Category'!$N$20:$R$20</c:f>
              <c:strCache>
                <c:ptCount val="5"/>
                <c:pt idx="0">
                  <c:v>Proposed 2025</c:v>
                </c:pt>
                <c:pt idx="1">
                  <c:v>Estimated 2026</c:v>
                </c:pt>
                <c:pt idx="2">
                  <c:v>Estimated 2027</c:v>
                </c:pt>
                <c:pt idx="3">
                  <c:v>Estimated 2028</c:v>
                </c:pt>
                <c:pt idx="4">
                  <c:v>Estimated 2029</c:v>
                </c:pt>
              </c:strCache>
            </c:strRef>
          </c:cat>
          <c:val>
            <c:numRef>
              <c:f>'2025-2029 Combined Category'!$N$24:$R$24</c:f>
              <c:numCache>
                <c:formatCode>0%</c:formatCode>
                <c:ptCount val="5"/>
                <c:pt idx="0">
                  <c:v>5.1559047385219742E-2</c:v>
                </c:pt>
                <c:pt idx="1">
                  <c:v>2.8743891922966371E-2</c:v>
                </c:pt>
                <c:pt idx="2">
                  <c:v>4.6737707982800525E-2</c:v>
                </c:pt>
                <c:pt idx="3">
                  <c:v>8.4355478546349921E-2</c:v>
                </c:pt>
                <c:pt idx="4">
                  <c:v>2.4467280572979224E-2</c:v>
                </c:pt>
              </c:numCache>
            </c:numRef>
          </c:val>
          <c:extLst>
            <c:ext xmlns:c16="http://schemas.microsoft.com/office/drawing/2014/chart" uri="{C3380CC4-5D6E-409C-BE32-E72D297353CC}">
              <c16:uniqueId val="{00000003-544D-4AA8-8CB8-2066245CC876}"/>
            </c:ext>
          </c:extLst>
        </c:ser>
        <c:ser>
          <c:idx val="4"/>
          <c:order val="4"/>
          <c:tx>
            <c:strRef>
              <c:f>'2025-2029 Combined Category'!$M$25</c:f>
              <c:strCache>
                <c:ptCount val="1"/>
                <c:pt idx="0">
                  <c:v>Regional Coordination</c:v>
                </c:pt>
              </c:strCache>
            </c:strRef>
          </c:tx>
          <c:spPr>
            <a:solidFill>
              <a:schemeClr val="accent5"/>
            </a:solidFill>
            <a:ln>
              <a:noFill/>
            </a:ln>
            <a:effectLst/>
          </c:spPr>
          <c:invertIfNegative val="0"/>
          <c:cat>
            <c:strRef>
              <c:f>'2025-2029 Combined Category'!$N$20:$R$20</c:f>
              <c:strCache>
                <c:ptCount val="5"/>
                <c:pt idx="0">
                  <c:v>Proposed 2025</c:v>
                </c:pt>
                <c:pt idx="1">
                  <c:v>Estimated 2026</c:v>
                </c:pt>
                <c:pt idx="2">
                  <c:v>Estimated 2027</c:v>
                </c:pt>
                <c:pt idx="3">
                  <c:v>Estimated 2028</c:v>
                </c:pt>
                <c:pt idx="4">
                  <c:v>Estimated 2029</c:v>
                </c:pt>
              </c:strCache>
            </c:strRef>
          </c:cat>
          <c:val>
            <c:numRef>
              <c:f>'2025-2029 Combined Category'!$N$25:$R$25</c:f>
              <c:numCache>
                <c:formatCode>0%</c:formatCode>
                <c:ptCount val="5"/>
                <c:pt idx="0">
                  <c:v>8.4753253130370729E-2</c:v>
                </c:pt>
                <c:pt idx="1">
                  <c:v>7.847082494969819E-2</c:v>
                </c:pt>
                <c:pt idx="2">
                  <c:v>0.11777902411665732</c:v>
                </c:pt>
                <c:pt idx="3">
                  <c:v>0.15826911677534083</c:v>
                </c:pt>
                <c:pt idx="4">
                  <c:v>0.1311001379064905</c:v>
                </c:pt>
              </c:numCache>
            </c:numRef>
          </c:val>
          <c:extLst>
            <c:ext xmlns:c16="http://schemas.microsoft.com/office/drawing/2014/chart" uri="{C3380CC4-5D6E-409C-BE32-E72D297353CC}">
              <c16:uniqueId val="{00000004-544D-4AA8-8CB8-2066245CC876}"/>
            </c:ext>
          </c:extLst>
        </c:ser>
        <c:ser>
          <c:idx val="5"/>
          <c:order val="5"/>
          <c:tx>
            <c:strRef>
              <c:f>'2025-2029 Combined Category'!$M$26</c:f>
              <c:strCache>
                <c:ptCount val="1"/>
                <c:pt idx="0">
                  <c:v>Demand Response</c:v>
                </c:pt>
              </c:strCache>
            </c:strRef>
          </c:tx>
          <c:spPr>
            <a:solidFill>
              <a:schemeClr val="accent6"/>
            </a:solidFill>
            <a:ln>
              <a:noFill/>
            </a:ln>
            <a:effectLst/>
          </c:spPr>
          <c:invertIfNegative val="0"/>
          <c:cat>
            <c:strRef>
              <c:f>'2025-2029 Combined Category'!$N$20:$R$20</c:f>
              <c:strCache>
                <c:ptCount val="5"/>
                <c:pt idx="0">
                  <c:v>Proposed 2025</c:v>
                </c:pt>
                <c:pt idx="1">
                  <c:v>Estimated 2026</c:v>
                </c:pt>
                <c:pt idx="2">
                  <c:v>Estimated 2027</c:v>
                </c:pt>
                <c:pt idx="3">
                  <c:v>Estimated 2028</c:v>
                </c:pt>
                <c:pt idx="4">
                  <c:v>Estimated 2029</c:v>
                </c:pt>
              </c:strCache>
            </c:strRef>
          </c:cat>
          <c:val>
            <c:numRef>
              <c:f>'2025-2029 Combined Category'!$N$26:$R$26</c:f>
              <c:numCache>
                <c:formatCode>0%</c:formatCode>
                <c:ptCount val="5"/>
                <c:pt idx="0">
                  <c:v>5.4259759391112203E-2</c:v>
                </c:pt>
                <c:pt idx="1">
                  <c:v>5.4757114113250932E-2</c:v>
                </c:pt>
                <c:pt idx="2">
                  <c:v>3.8979248457655637E-2</c:v>
                </c:pt>
                <c:pt idx="3">
                  <c:v>4.7284665541926951E-2</c:v>
                </c:pt>
                <c:pt idx="4">
                  <c:v>3.9725966457582633E-2</c:v>
                </c:pt>
              </c:numCache>
            </c:numRef>
          </c:val>
          <c:extLst>
            <c:ext xmlns:c16="http://schemas.microsoft.com/office/drawing/2014/chart" uri="{C3380CC4-5D6E-409C-BE32-E72D297353CC}">
              <c16:uniqueId val="{00000005-544D-4AA8-8CB8-2066245CC876}"/>
            </c:ext>
          </c:extLst>
        </c:ser>
        <c:ser>
          <c:idx val="7"/>
          <c:order val="7"/>
          <c:tx>
            <c:strRef>
              <c:f>'2025-2029 Combined Category'!$M$28</c:f>
              <c:strCache>
                <c:ptCount val="1"/>
                <c:pt idx="0">
                  <c:v>RTF Member Support &amp; Administration</c:v>
                </c:pt>
              </c:strCache>
            </c:strRef>
          </c:tx>
          <c:spPr>
            <a:solidFill>
              <a:schemeClr val="accent2">
                <a:lumMod val="60000"/>
              </a:schemeClr>
            </a:solidFill>
            <a:ln>
              <a:noFill/>
            </a:ln>
            <a:effectLst/>
          </c:spPr>
          <c:invertIfNegative val="0"/>
          <c:cat>
            <c:strRef>
              <c:f>'2025-2029 Combined Category'!$N$20:$R$20</c:f>
              <c:strCache>
                <c:ptCount val="5"/>
                <c:pt idx="0">
                  <c:v>Proposed 2025</c:v>
                </c:pt>
                <c:pt idx="1">
                  <c:v>Estimated 2026</c:v>
                </c:pt>
                <c:pt idx="2">
                  <c:v>Estimated 2027</c:v>
                </c:pt>
                <c:pt idx="3">
                  <c:v>Estimated 2028</c:v>
                </c:pt>
                <c:pt idx="4">
                  <c:v>Estimated 2029</c:v>
                </c:pt>
              </c:strCache>
            </c:strRef>
          </c:cat>
          <c:val>
            <c:numRef>
              <c:f>'2025-2029 Combined Category'!$N$28:$R$28</c:f>
              <c:numCache>
                <c:formatCode>0%</c:formatCode>
                <c:ptCount val="5"/>
                <c:pt idx="0">
                  <c:v>0.13660692364350602</c:v>
                </c:pt>
                <c:pt idx="1">
                  <c:v>0.1351441985244802</c:v>
                </c:pt>
                <c:pt idx="2">
                  <c:v>0.13366984483080949</c:v>
                </c:pt>
                <c:pt idx="3">
                  <c:v>0.13656468013314485</c:v>
                </c:pt>
                <c:pt idx="4">
                  <c:v>0.13532630455091418</c:v>
                </c:pt>
              </c:numCache>
            </c:numRef>
          </c:val>
          <c:extLst>
            <c:ext xmlns:c16="http://schemas.microsoft.com/office/drawing/2014/chart" uri="{C3380CC4-5D6E-409C-BE32-E72D297353CC}">
              <c16:uniqueId val="{00000007-544D-4AA8-8CB8-2066245CC876}"/>
            </c:ext>
          </c:extLst>
        </c:ser>
        <c:ser>
          <c:idx val="8"/>
          <c:order val="8"/>
          <c:tx>
            <c:strRef>
              <c:f>'2025-2029 Combined Category'!$M$29</c:f>
              <c:strCache>
                <c:ptCount val="1"/>
                <c:pt idx="0">
                  <c:v>Website, Database support, Conservation Tracking </c:v>
                </c:pt>
              </c:strCache>
            </c:strRef>
          </c:tx>
          <c:spPr>
            <a:solidFill>
              <a:schemeClr val="accent3">
                <a:lumMod val="60000"/>
              </a:schemeClr>
            </a:solidFill>
            <a:ln>
              <a:noFill/>
            </a:ln>
            <a:effectLst/>
          </c:spPr>
          <c:invertIfNegative val="0"/>
          <c:cat>
            <c:strRef>
              <c:f>'2025-2029 Combined Category'!$N$20:$R$20</c:f>
              <c:strCache>
                <c:ptCount val="5"/>
                <c:pt idx="0">
                  <c:v>Proposed 2025</c:v>
                </c:pt>
                <c:pt idx="1">
                  <c:v>Estimated 2026</c:v>
                </c:pt>
                <c:pt idx="2">
                  <c:v>Estimated 2027</c:v>
                </c:pt>
                <c:pt idx="3">
                  <c:v>Estimated 2028</c:v>
                </c:pt>
                <c:pt idx="4">
                  <c:v>Estimated 2029</c:v>
                </c:pt>
              </c:strCache>
            </c:strRef>
          </c:cat>
          <c:val>
            <c:numRef>
              <c:f>'2025-2029 Combined Category'!$N$29:$R$29</c:f>
              <c:numCache>
                <c:formatCode>0%</c:formatCode>
                <c:ptCount val="5"/>
                <c:pt idx="0">
                  <c:v>3.0297078320648169E-2</c:v>
                </c:pt>
                <c:pt idx="1">
                  <c:v>3.0276899492191242E-2</c:v>
                </c:pt>
                <c:pt idx="2">
                  <c:v>3.0286034772854738E-2</c:v>
                </c:pt>
                <c:pt idx="3">
                  <c:v>3.027677716474397E-2</c:v>
                </c:pt>
                <c:pt idx="4">
                  <c:v>3.0294941945816094E-2</c:v>
                </c:pt>
              </c:numCache>
            </c:numRef>
          </c:val>
          <c:extLst>
            <c:ext xmlns:c16="http://schemas.microsoft.com/office/drawing/2014/chart" uri="{C3380CC4-5D6E-409C-BE32-E72D297353CC}">
              <c16:uniqueId val="{00000008-544D-4AA8-8CB8-2066245CC876}"/>
            </c:ext>
          </c:extLst>
        </c:ser>
        <c:ser>
          <c:idx val="9"/>
          <c:order val="9"/>
          <c:tx>
            <c:strRef>
              <c:f>'2025-2029 Combined Category'!$M$30</c:f>
              <c:strCache>
                <c:ptCount val="1"/>
                <c:pt idx="0">
                  <c:v>RTF Management</c:v>
                </c:pt>
              </c:strCache>
            </c:strRef>
          </c:tx>
          <c:spPr>
            <a:solidFill>
              <a:schemeClr val="accent4">
                <a:lumMod val="60000"/>
              </a:schemeClr>
            </a:solidFill>
            <a:ln>
              <a:noFill/>
            </a:ln>
            <a:effectLst/>
          </c:spPr>
          <c:invertIfNegative val="0"/>
          <c:cat>
            <c:strRef>
              <c:f>'2025-2029 Combined Category'!$N$20:$R$20</c:f>
              <c:strCache>
                <c:ptCount val="5"/>
                <c:pt idx="0">
                  <c:v>Proposed 2025</c:v>
                </c:pt>
                <c:pt idx="1">
                  <c:v>Estimated 2026</c:v>
                </c:pt>
                <c:pt idx="2">
                  <c:v>Estimated 2027</c:v>
                </c:pt>
                <c:pt idx="3">
                  <c:v>Estimated 2028</c:v>
                </c:pt>
                <c:pt idx="4">
                  <c:v>Estimated 2029</c:v>
                </c:pt>
              </c:strCache>
            </c:strRef>
          </c:cat>
          <c:val>
            <c:numRef>
              <c:f>'2025-2029 Combined Category'!$N$30:$R$30</c:f>
              <c:numCache>
                <c:formatCode>0%</c:formatCode>
                <c:ptCount val="5"/>
                <c:pt idx="0">
                  <c:v>8.3722072182666335E-2</c:v>
                </c:pt>
                <c:pt idx="1">
                  <c:v>8.5273546038133557E-2</c:v>
                </c:pt>
                <c:pt idx="2">
                  <c:v>8.3894185829126944E-2</c:v>
                </c:pt>
                <c:pt idx="3">
                  <c:v>8.5267429665769917E-2</c:v>
                </c:pt>
                <c:pt idx="4">
                  <c:v>8.3856043418301524E-2</c:v>
                </c:pt>
              </c:numCache>
            </c:numRef>
          </c:val>
          <c:extLst>
            <c:ext xmlns:c16="http://schemas.microsoft.com/office/drawing/2014/chart" uri="{C3380CC4-5D6E-409C-BE32-E72D297353CC}">
              <c16:uniqueId val="{00000009-544D-4AA8-8CB8-2066245CC876}"/>
            </c:ext>
          </c:extLst>
        </c:ser>
        <c:dLbls>
          <c:showLegendKey val="0"/>
          <c:showVal val="0"/>
          <c:showCatName val="0"/>
          <c:showSerName val="0"/>
          <c:showPercent val="0"/>
          <c:showBubbleSize val="0"/>
        </c:dLbls>
        <c:gapWidth val="150"/>
        <c:overlap val="100"/>
        <c:axId val="2135465583"/>
        <c:axId val="1544773871"/>
        <c:extLst>
          <c:ext xmlns:c15="http://schemas.microsoft.com/office/drawing/2012/chart" uri="{02D57815-91ED-43cb-92C2-25804820EDAC}">
            <c15:filteredBarSeries>
              <c15:ser>
                <c:idx val="6"/>
                <c:order val="6"/>
                <c:tx>
                  <c:strRef>
                    <c:extLst>
                      <c:ext uri="{02D57815-91ED-43cb-92C2-25804820EDAC}">
                        <c15:formulaRef>
                          <c15:sqref>'2025-2029 Combined Category'!$M$27</c15:sqref>
                        </c15:formulaRef>
                      </c:ext>
                    </c:extLst>
                    <c:strCache>
                      <c:ptCount val="1"/>
                      <c:pt idx="0">
                        <c:v>Primary Research</c:v>
                      </c:pt>
                    </c:strCache>
                  </c:strRef>
                </c:tx>
                <c:spPr>
                  <a:solidFill>
                    <a:schemeClr val="accent1">
                      <a:lumMod val="60000"/>
                    </a:schemeClr>
                  </a:solidFill>
                  <a:ln>
                    <a:noFill/>
                  </a:ln>
                  <a:effectLst/>
                </c:spPr>
                <c:invertIfNegative val="0"/>
                <c:cat>
                  <c:strRef>
                    <c:extLst>
                      <c:ext uri="{02D57815-91ED-43cb-92C2-25804820EDAC}">
                        <c15:formulaRef>
                          <c15:sqref>'2025-2029 Combined Category'!$N$20:$R$20</c15:sqref>
                        </c15:formulaRef>
                      </c:ext>
                    </c:extLst>
                    <c:strCache>
                      <c:ptCount val="5"/>
                      <c:pt idx="0">
                        <c:v>Proposed 2025</c:v>
                      </c:pt>
                      <c:pt idx="1">
                        <c:v>Estimated 2026</c:v>
                      </c:pt>
                      <c:pt idx="2">
                        <c:v>Estimated 2027</c:v>
                      </c:pt>
                      <c:pt idx="3">
                        <c:v>Estimated 2028</c:v>
                      </c:pt>
                      <c:pt idx="4">
                        <c:v>Estimated 2029</c:v>
                      </c:pt>
                    </c:strCache>
                  </c:strRef>
                </c:cat>
                <c:val>
                  <c:numRef>
                    <c:extLst>
                      <c:ext uri="{02D57815-91ED-43cb-92C2-25804820EDAC}">
                        <c15:formulaRef>
                          <c15:sqref>'2025-2029 Combined Category'!$N$27:$R$27</c15:sqref>
                        </c15:formulaRef>
                      </c:ext>
                    </c:extLst>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6-544D-4AA8-8CB8-2066245CC876}"/>
                  </c:ext>
                </c:extLst>
              </c15:ser>
            </c15:filteredBarSeries>
          </c:ext>
        </c:extLst>
      </c:barChart>
      <c:catAx>
        <c:axId val="2135465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4773871"/>
        <c:crosses val="autoZero"/>
        <c:auto val="1"/>
        <c:lblAlgn val="ctr"/>
        <c:lblOffset val="100"/>
        <c:noMultiLvlLbl val="0"/>
      </c:catAx>
      <c:valAx>
        <c:axId val="1544773871"/>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5465583"/>
        <c:crosses val="autoZero"/>
        <c:crossBetween val="between"/>
      </c:valAx>
      <c:spPr>
        <a:noFill/>
        <a:ln>
          <a:noFill/>
        </a:ln>
        <a:effectLst/>
      </c:spPr>
    </c:plotArea>
    <c:legend>
      <c:legendPos val="b"/>
      <c:layout>
        <c:manualLayout>
          <c:xMode val="edge"/>
          <c:yMode val="edge"/>
          <c:x val="0.78354372194518884"/>
          <c:y val="2.8046859996159055E-2"/>
          <c:w val="0.21645625777665245"/>
          <c:h val="0.9589450099225401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4761</xdr:colOff>
      <xdr:row>41</xdr:row>
      <xdr:rowOff>152400</xdr:rowOff>
    </xdr:from>
    <xdr:to>
      <xdr:col>11</xdr:col>
      <xdr:colOff>0</xdr:colOff>
      <xdr:row>67</xdr:row>
      <xdr:rowOff>152400</xdr:rowOff>
    </xdr:to>
    <xdr:graphicFrame macro="">
      <xdr:nvGraphicFramePr>
        <xdr:cNvPr id="5" name="Chart 4">
          <a:extLst>
            <a:ext uri="{FF2B5EF4-FFF2-40B4-BE49-F238E27FC236}">
              <a16:creationId xmlns:a16="http://schemas.microsoft.com/office/drawing/2014/main" id="{56F82EF6-E40C-4958-0BC6-8AA956A1F2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604836</xdr:colOff>
      <xdr:row>68</xdr:row>
      <xdr:rowOff>114300</xdr:rowOff>
    </xdr:from>
    <xdr:to>
      <xdr:col>10</xdr:col>
      <xdr:colOff>942974</xdr:colOff>
      <xdr:row>96</xdr:row>
      <xdr:rowOff>0</xdr:rowOff>
    </xdr:to>
    <xdr:graphicFrame macro="">
      <xdr:nvGraphicFramePr>
        <xdr:cNvPr id="6" name="Chart 5">
          <a:extLst>
            <a:ext uri="{FF2B5EF4-FFF2-40B4-BE49-F238E27FC236}">
              <a16:creationId xmlns:a16="http://schemas.microsoft.com/office/drawing/2014/main" id="{7AC6EC61-CDBF-C09B-D091-17689C1E7E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xdr:colOff>
      <xdr:row>17</xdr:row>
      <xdr:rowOff>0</xdr:rowOff>
    </xdr:from>
    <xdr:to>
      <xdr:col>11</xdr:col>
      <xdr:colOff>0</xdr:colOff>
      <xdr:row>41</xdr:row>
      <xdr:rowOff>19050</xdr:rowOff>
    </xdr:to>
    <xdr:graphicFrame macro="">
      <xdr:nvGraphicFramePr>
        <xdr:cNvPr id="7" name="Chart 6">
          <a:extLst>
            <a:ext uri="{FF2B5EF4-FFF2-40B4-BE49-F238E27FC236}">
              <a16:creationId xmlns:a16="http://schemas.microsoft.com/office/drawing/2014/main" id="{ECC05A81-522F-A6B1-34D3-B8217EE12D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933449</xdr:colOff>
      <xdr:row>16</xdr:row>
      <xdr:rowOff>152400</xdr:rowOff>
    </xdr:from>
    <xdr:to>
      <xdr:col>23</xdr:col>
      <xdr:colOff>9525</xdr:colOff>
      <xdr:row>41</xdr:row>
      <xdr:rowOff>9525</xdr:rowOff>
    </xdr:to>
    <xdr:graphicFrame macro="">
      <xdr:nvGraphicFramePr>
        <xdr:cNvPr id="8" name="Chart 7">
          <a:extLst>
            <a:ext uri="{FF2B5EF4-FFF2-40B4-BE49-F238E27FC236}">
              <a16:creationId xmlns:a16="http://schemas.microsoft.com/office/drawing/2014/main" id="{EAF2DBF8-2C59-315A-BA7F-457BF23DCF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4761</xdr:colOff>
      <xdr:row>43</xdr:row>
      <xdr:rowOff>47625</xdr:rowOff>
    </xdr:from>
    <xdr:to>
      <xdr:col>11</xdr:col>
      <xdr:colOff>0</xdr:colOff>
      <xdr:row>69</xdr:row>
      <xdr:rowOff>47625</xdr:rowOff>
    </xdr:to>
    <xdr:graphicFrame macro="">
      <xdr:nvGraphicFramePr>
        <xdr:cNvPr id="2" name="Chart 1">
          <a:extLst>
            <a:ext uri="{FF2B5EF4-FFF2-40B4-BE49-F238E27FC236}">
              <a16:creationId xmlns:a16="http://schemas.microsoft.com/office/drawing/2014/main" id="{9520307E-11AD-451C-85B4-D8376327DC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604836</xdr:colOff>
      <xdr:row>69</xdr:row>
      <xdr:rowOff>123825</xdr:rowOff>
    </xdr:from>
    <xdr:to>
      <xdr:col>10</xdr:col>
      <xdr:colOff>942974</xdr:colOff>
      <xdr:row>97</xdr:row>
      <xdr:rowOff>9525</xdr:rowOff>
    </xdr:to>
    <xdr:graphicFrame macro="">
      <xdr:nvGraphicFramePr>
        <xdr:cNvPr id="3" name="Chart 2">
          <a:extLst>
            <a:ext uri="{FF2B5EF4-FFF2-40B4-BE49-F238E27FC236}">
              <a16:creationId xmlns:a16="http://schemas.microsoft.com/office/drawing/2014/main" id="{7CCE4FCE-2E0F-4B64-BEA8-2E57946D6A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608012</xdr:colOff>
      <xdr:row>17</xdr:row>
      <xdr:rowOff>142876</xdr:rowOff>
    </xdr:from>
    <xdr:to>
      <xdr:col>10</xdr:col>
      <xdr:colOff>939800</xdr:colOff>
      <xdr:row>42</xdr:row>
      <xdr:rowOff>25401</xdr:rowOff>
    </xdr:to>
    <xdr:graphicFrame macro="">
      <xdr:nvGraphicFramePr>
        <xdr:cNvPr id="4" name="Chart 3">
          <a:extLst>
            <a:ext uri="{FF2B5EF4-FFF2-40B4-BE49-F238E27FC236}">
              <a16:creationId xmlns:a16="http://schemas.microsoft.com/office/drawing/2014/main" id="{A46F7476-C11C-4360-89E3-C90A5DA635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923924</xdr:colOff>
      <xdr:row>18</xdr:row>
      <xdr:rowOff>104775</xdr:rowOff>
    </xdr:from>
    <xdr:to>
      <xdr:col>23</xdr:col>
      <xdr:colOff>0</xdr:colOff>
      <xdr:row>42</xdr:row>
      <xdr:rowOff>123825</xdr:rowOff>
    </xdr:to>
    <xdr:graphicFrame macro="">
      <xdr:nvGraphicFramePr>
        <xdr:cNvPr id="5" name="Chart 4">
          <a:extLst>
            <a:ext uri="{FF2B5EF4-FFF2-40B4-BE49-F238E27FC236}">
              <a16:creationId xmlns:a16="http://schemas.microsoft.com/office/drawing/2014/main" id="{5DC3267A-17BF-4DF4-9097-DC4B23833B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Q:\RTF\Administrative\Accounting\2025-2029%20Planning\2025-2029WorkPlan.xlsx" TargetMode="External"/><Relationship Id="rId1" Type="http://schemas.openxmlformats.org/officeDocument/2006/relationships/externalLinkPath" Target="2025-2029WorkPl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Analysis"/>
      <sheetName val="Table of Contents"/>
      <sheetName val="Category (2020)"/>
      <sheetName val="Category Detail (ALL)"/>
      <sheetName val="Combined 2020-2024"/>
      <sheetName val="Category 2020-2024 (ELECTRIC)"/>
      <sheetName val="Category 2020-2024 (GAS)"/>
      <sheetName val="Funding Shares (Combined)"/>
      <sheetName val="Measure Analysis"/>
      <sheetName val="Analytical Support (Tools, etc)"/>
      <sheetName val="NPCC In Kind"/>
      <sheetName val="Measure Timing"/>
      <sheetName val="Typical Rates"/>
    </sheetNames>
    <sheetDataSet>
      <sheetData sheetId="0" refreshError="1"/>
      <sheetData sheetId="1"/>
      <sheetData sheetId="2" refreshError="1"/>
      <sheetData sheetId="3">
        <row r="79">
          <cell r="D79">
            <v>174000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person displayName="Laura Thomas" id="{979A874B-0A53-48E0-B7FA-317CCBD0AD36}" userId="S::lthomas@nwcouncil.org::0bb5a7d5-0d83-4b5f-b5c5-4a0943859e7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3B34C5-7861-4322-A353-6B3552BAA6A0}" name="Table1" displayName="Table1" ref="B20:H29" totalsRowShown="0">
  <autoFilter ref="B20:H29" xr:uid="{D93B34C5-7861-4322-A353-6B3552BAA6A0}"/>
  <tableColumns count="7">
    <tableColumn id="1" xr3:uid="{89CD2227-EA7A-4257-8CD0-4782599C5DE8}" name="RTF Budgets (not including Council In-Kind Contribution)">
      <calculatedColumnFormula>B6</calculatedColumnFormula>
    </tableColumn>
    <tableColumn id="2" xr3:uid="{E151EA83-2598-40A1-BB09-840398C486F0}" name="Approved 2020">
      <calculatedColumnFormula>AO6</calculatedColumnFormula>
    </tableColumn>
    <tableColumn id="3" xr3:uid="{B2FD132C-FDC2-4455-81B5-9BD39308376C}" name="Estimated Approved 2021">
      <calculatedColumnFormula>AH6</calculatedColumnFormula>
    </tableColumn>
    <tableColumn id="4" xr3:uid="{D88BE941-E670-4F16-A3D5-902C9F52D584}" name="Estimated Approved 2022">
      <calculatedColumnFormula>AA6</calculatedColumnFormula>
    </tableColumn>
    <tableColumn id="5" xr3:uid="{8E4D6CB7-7620-4368-B504-66A705CBD992}" name="Estimated Approved 2023">
      <calculatedColumnFormula>T6</calculatedColumnFormula>
    </tableColumn>
    <tableColumn id="6" xr3:uid="{156CBEAF-D9F8-4824-9319-FCC33EEDBD4D}" name="Estimated Approved 2024">
      <calculatedColumnFormula>M6</calculatedColumnFormula>
    </tableColumn>
    <tableColumn id="7" xr3:uid="{0C4E6AF9-F004-42C7-BE01-DA2B036DDCF6}" name="Proposed 2025" dataDxfId="49">
      <calculatedColumnFormula>F6</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2C14B0-EDB9-4DF5-9F42-0732A7F0A72A}" name="Table13" displayName="Table13" ref="B49:H58" totalsRowShown="0">
  <autoFilter ref="B49:H58" xr:uid="{142C14B0-EDB9-4DF5-9F42-0732A7F0A72A}"/>
  <tableColumns count="7">
    <tableColumn id="1" xr3:uid="{55536E5F-6C50-4A46-BBFF-A04F40CBA667}" name="RTF Budgets - Contract RFP Allocation">
      <calculatedColumnFormula>B32</calculatedColumnFormula>
    </tableColumn>
    <tableColumn id="2" xr3:uid="{F2BDB4AE-B412-496B-BF15-E993C6541518}" name="Approved 2020">
      <calculatedColumnFormula>AL6</calculatedColumnFormula>
    </tableColumn>
    <tableColumn id="3" xr3:uid="{DE2E3EC6-0476-4591-9BE7-6466C06776A7}" name="Estimated Approved 2021">
      <calculatedColumnFormula>AE6</calculatedColumnFormula>
    </tableColumn>
    <tableColumn id="4" xr3:uid="{92CF8CD7-023F-45DB-BA0F-34550EE81541}" name="Estimated Approved 2022">
      <calculatedColumnFormula>X6</calculatedColumnFormula>
    </tableColumn>
    <tableColumn id="5" xr3:uid="{CB83783F-CCBE-4065-A442-6EDE2FAC77CE}" name="Estimated Approved 2023">
      <calculatedColumnFormula>Q6</calculatedColumnFormula>
    </tableColumn>
    <tableColumn id="6" xr3:uid="{DD854CA5-9EE5-4F06-8400-164D98823123}" name="Estimated Approved 2024">
      <calculatedColumnFormula>J6</calculatedColumnFormula>
    </tableColumn>
    <tableColumn id="7" xr3:uid="{5A4D39C4-CD61-40B7-A864-E106E6A7E1D8}" name="Proposed 2025" dataDxfId="48">
      <calculatedColumnFormula>C6</calculatedColumnFormula>
    </tableColumn>
  </tableColumns>
  <tableStyleInfo name="TableStyleLight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6D569A7-B78F-443F-837A-7EE84927B60D}" name="Table134" displayName="Table134" ref="B70:H79" totalsRowShown="0">
  <autoFilter ref="B70:H79" xr:uid="{86D569A7-B78F-443F-837A-7EE84927B60D}"/>
  <tableColumns count="7">
    <tableColumn id="1" xr3:uid="{21B47D38-34B4-48E8-BADF-DC874733AEE8}" name="RTF Budgets - Contract Analyst Team Allocation">
      <calculatedColumnFormula>B57</calculatedColumnFormula>
    </tableColumn>
    <tableColumn id="2" xr3:uid="{22DFD230-5F90-42DE-B9EC-2C55A3761217}" name="Approved 2020">
      <calculatedColumnFormula>AM6</calculatedColumnFormula>
    </tableColumn>
    <tableColumn id="3" xr3:uid="{86652697-46D6-43DC-8480-B06E776C2B6A}" name="Estimated Approved 2021">
      <calculatedColumnFormula>AF6</calculatedColumnFormula>
    </tableColumn>
    <tableColumn id="4" xr3:uid="{E896E308-51CF-483B-8859-7AF3C2338148}" name="Estimated Approved 2022">
      <calculatedColumnFormula>Y6</calculatedColumnFormula>
    </tableColumn>
    <tableColumn id="5" xr3:uid="{DB17A741-2002-4A60-A0D9-9839772D6EF1}" name="Estimated Approved 2023">
      <calculatedColumnFormula>R6</calculatedColumnFormula>
    </tableColumn>
    <tableColumn id="6" xr3:uid="{8F3B81BF-3D65-4F69-B1E5-84AA71538560}" name="Estimated Approved 2024">
      <calculatedColumnFormula>K6</calculatedColumnFormula>
    </tableColumn>
    <tableColumn id="7" xr3:uid="{A3A59185-021F-4700-98C3-AF864AB8194E}" name="Proposed 2025" dataDxfId="47">
      <calculatedColumnFormula>D6</calculatedColumnFormula>
    </tableColumn>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02CC3DD-9A2B-4D59-9169-3C925E62A67A}" name="Table15" displayName="Table15" ref="M19:S28" totalsRowShown="0">
  <autoFilter ref="M19:S28" xr:uid="{A02CC3DD-9A2B-4D59-9169-3C925E62A67A}"/>
  <tableColumns count="7">
    <tableColumn id="1" xr3:uid="{9B2F98BF-73B7-42F7-9575-20F9093AAD64}" name="Percentage Budget by Category">
      <calculatedColumnFormula>M5</calculatedColumnFormula>
    </tableColumn>
    <tableColumn id="2" xr3:uid="{E483B4AF-D84A-405D-B292-976B04E55CA4}" name="Approved 2020">
      <calculatedColumnFormula>AQ6</calculatedColumnFormula>
    </tableColumn>
    <tableColumn id="3" xr3:uid="{C2D80599-664E-421E-9776-7262BC02A536}" name="Estimated Approved 2021">
      <calculatedColumnFormula>AJ6</calculatedColumnFormula>
    </tableColumn>
    <tableColumn id="4" xr3:uid="{A1B5AF37-004C-400E-9389-F7FF3DFD7F83}" name="Estimated Approved 2022">
      <calculatedColumnFormula>AC6</calculatedColumnFormula>
    </tableColumn>
    <tableColumn id="5" xr3:uid="{3A478D6F-B329-421C-B376-81E06A51F59E}" name="Estimated Approved 2023">
      <calculatedColumnFormula>V6</calculatedColumnFormula>
    </tableColumn>
    <tableColumn id="6" xr3:uid="{B3218EC9-20CE-42F8-B258-036DEA4E505C}" name="Estimated Approved 2024">
      <calculatedColumnFormula>O6</calculatedColumnFormula>
    </tableColumn>
    <tableColumn id="7" xr3:uid="{E4AAD713-237D-4E84-BA30-AE3ECC40FB8C}" name="Proposed 2025" dataDxfId="46">
      <calculatedColumnFormula>H6</calculatedColumnFormula>
    </tableColumn>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4E2EBCF-C629-4FDC-B323-28BE171F5F5D}" name="Table1610" displayName="Table1610" ref="B21:G32" totalsRowShown="0">
  <autoFilter ref="B21:G32" xr:uid="{D93B34C5-7861-4322-A353-6B3552BAA6A0}"/>
  <tableColumns count="6">
    <tableColumn id="1" xr3:uid="{36F92AAA-BDC4-4D10-B756-B512CCE5C01D}" name="RTF Budgets (not including Council In-Kind Contribution)">
      <calculatedColumnFormula>B7</calculatedColumnFormula>
    </tableColumn>
    <tableColumn id="2" xr3:uid="{A2E8357E-3899-4604-990B-6FC456A59C71}" name="Proposed 2025">
      <calculatedColumnFormula>F7</calculatedColumnFormula>
    </tableColumn>
    <tableColumn id="3" xr3:uid="{45DE901A-C919-4E6F-92E0-06864208FE68}" name="Estimated 2026">
      <calculatedColumnFormula>M7</calculatedColumnFormula>
    </tableColumn>
    <tableColumn id="4" xr3:uid="{5B17DC3C-47D2-4F6D-9739-D2DF4C38D86D}" name="Estimated 2027">
      <calculatedColumnFormula>T7</calculatedColumnFormula>
    </tableColumn>
    <tableColumn id="5" xr3:uid="{B131EE8C-BFF1-413B-AE00-BCA580725778}" name="Estimated 2028">
      <calculatedColumnFormula>AA7</calculatedColumnFormula>
    </tableColumn>
    <tableColumn id="6" xr3:uid="{08E83E30-C70E-4AEC-A11D-2245D44A28C1}" name="Estimated 2029">
      <calculatedColumnFormula>AH7</calculatedColumnFormula>
    </tableColumn>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4D75735-34CF-4908-9969-70DB4CC9DBF1}" name="Table13711" displayName="Table13711" ref="B50:G60" totalsRowShown="0">
  <autoFilter ref="B50:G60" xr:uid="{142C14B0-EDB9-4DF5-9F42-0732A7F0A72A}"/>
  <tableColumns count="6">
    <tableColumn id="1" xr3:uid="{606EF0CF-2173-4752-BB66-F200403662FC}" name="RTF Budgets - Contract RFP Allocation"/>
    <tableColumn id="2" xr3:uid="{9354B837-50A3-40B0-AED9-3EF98EFF12D3}" name="Proposed 2025">
      <calculatedColumnFormula>C7</calculatedColumnFormula>
    </tableColumn>
    <tableColumn id="3" xr3:uid="{D07764AA-66E9-4E36-8514-F48D6CF7714E}" name="Estimated 2026">
      <calculatedColumnFormula>J7</calculatedColumnFormula>
    </tableColumn>
    <tableColumn id="4" xr3:uid="{9C289F44-3396-43E3-B383-05E3A8E05F6A}" name="Estimated 2027">
      <calculatedColumnFormula>Q7</calculatedColumnFormula>
    </tableColumn>
    <tableColumn id="5" xr3:uid="{2745CD46-A78A-4F10-B07A-EED90A130EBC}" name="Estimated 2028">
      <calculatedColumnFormula>X7</calculatedColumnFormula>
    </tableColumn>
    <tableColumn id="6" xr3:uid="{E73DF81F-85C4-4E31-9963-A62BF77CAE55}" name="Estimated 2029">
      <calculatedColumnFormula>AE7</calculatedColumnFormula>
    </tableColumn>
  </tableColumns>
  <tableStyleInfo name="TableStyleLight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5388430-9D18-44D9-92ED-F6A1726B26CC}" name="Table134812" displayName="Table134812" ref="B71:G81" totalsRowShown="0">
  <autoFilter ref="B71:G81" xr:uid="{86D569A7-B78F-443F-837A-7EE84927B60D}"/>
  <tableColumns count="6">
    <tableColumn id="1" xr3:uid="{C21BB026-ED87-4226-BC75-259175D4E6C3}" name="RTF Budgets - Contract Analyst Team Allocation"/>
    <tableColumn id="2" xr3:uid="{C7BA09F2-8D7C-481E-946E-0284A9F56A06}" name="Proposed 2025">
      <calculatedColumnFormula>D7</calculatedColumnFormula>
    </tableColumn>
    <tableColumn id="3" xr3:uid="{296A045A-4AF2-47C4-BB37-73BEBD6BC823}" name="Estimated 2026">
      <calculatedColumnFormula>K7</calculatedColumnFormula>
    </tableColumn>
    <tableColumn id="4" xr3:uid="{B1F936B4-D079-4D08-9C59-D99A384CD5A8}" name="Estimated 2027">
      <calculatedColumnFormula>R7</calculatedColumnFormula>
    </tableColumn>
    <tableColumn id="5" xr3:uid="{87331EFB-044A-4590-B36E-A00C25BB1D0C}" name="Estimated 2028">
      <calculatedColumnFormula>Y7</calculatedColumnFormula>
    </tableColumn>
    <tableColumn id="6" xr3:uid="{4FA57104-5FC3-4325-A666-971752949089}" name="Estimated 2029">
      <calculatedColumnFormula>AF7</calculatedColumnFormula>
    </tableColumn>
  </tableColumns>
  <tableStyleInfo name="TableStyleLight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493985D-6C73-4315-9537-89E0DCF7F251}" name="Table15913" displayName="Table15913" ref="M20:R30" totalsRowShown="0">
  <autoFilter ref="M20:R30" xr:uid="{A02CC3DD-9A2B-4D59-9169-3C925E62A67A}"/>
  <tableColumns count="6">
    <tableColumn id="1" xr3:uid="{537E8A8A-D66E-4908-BE05-95FF4878F62D}" name="Percentage Budget by Category"/>
    <tableColumn id="2" xr3:uid="{B27AF0D7-CD5D-4B6E-B2D0-2D0F7EB2D778}" name="Proposed 2025">
      <calculatedColumnFormula>H7</calculatedColumnFormula>
    </tableColumn>
    <tableColumn id="3" xr3:uid="{ACB3F7C0-D8DC-4E25-A077-38FD2D016D2F}" name="Estimated 2026">
      <calculatedColumnFormula>O7</calculatedColumnFormula>
    </tableColumn>
    <tableColumn id="4" xr3:uid="{8DDC50D4-69C0-4B6D-96B4-1D63596B206C}" name="Estimated 2027">
      <calculatedColumnFormula>V7</calculatedColumnFormula>
    </tableColumn>
    <tableColumn id="5" xr3:uid="{BE6E903A-1D56-4BCC-957B-911FCC28DDC7}" name="Estimated 2028">
      <calculatedColumnFormula>AC7</calculatedColumnFormula>
    </tableColumn>
    <tableColumn id="6" xr3:uid="{4CA29DA1-D2B4-4C93-8ECC-0D261D9A103D}" name="Estimated 2029">
      <calculatedColumnFormula>AJ7</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RTF Added Colors">
      <a:dk1>
        <a:sysClr val="windowText" lastClr="000000"/>
      </a:dk1>
      <a:lt1>
        <a:sysClr val="window" lastClr="FFFFFF"/>
      </a:lt1>
      <a:dk2>
        <a:srgbClr val="213E44"/>
      </a:dk2>
      <a:lt2>
        <a:srgbClr val="EDE4D4"/>
      </a:lt2>
      <a:accent1>
        <a:srgbClr val="336E7E"/>
      </a:accent1>
      <a:accent2>
        <a:srgbClr val="9E4A30"/>
      </a:accent2>
      <a:accent3>
        <a:srgbClr val="7CA7AF"/>
      </a:accent3>
      <a:accent4>
        <a:srgbClr val="B1CECA"/>
      </a:accent4>
      <a:accent5>
        <a:srgbClr val="EB805F"/>
      </a:accent5>
      <a:accent6>
        <a:srgbClr val="14764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0" dT="2024-03-21T16:12:17.49" personId="{979A874B-0A53-48E0-B7FA-317CCBD0AD36}" id="{2C0AE8E0-D9CF-4180-A189-C1F1C21EC929}">
    <text>Assumes new measured developed in 2025 will sunset this year.</text>
  </threadedComment>
  <threadedComment ref="F20" dT="2024-03-21T16:12:38.19" personId="{979A874B-0A53-48E0-B7FA-317CCBD0AD36}" id="{C1878426-2037-4ABD-AFDC-50C463B9B99F}">
    <text>Assumes new measures developed in 2026 will sunset this year.</text>
  </threadedComment>
  <threadedComment ref="A25" dT="2024-03-16T00:38:56.38" personId="{979A874B-0A53-48E0-B7FA-317CCBD0AD36}" id="{EF66B5CB-CE16-4364-8E3C-ACD675BB1381}">
    <text>Need to sort through this as there are some dual fuel that are flexible</text>
  </threadedComment>
</ThreadedComments>
</file>

<file path=xl/worksheets/_rels/sheet10.xml.rels><?xml version="1.0" encoding="UTF-8" standalone="yes"?>
<Relationships xmlns="http://schemas.openxmlformats.org/package/2006/relationships"><Relationship Id="rId26" Type="http://schemas.openxmlformats.org/officeDocument/2006/relationships/hyperlink" Target="https://rtf.nwcouncil.org/measure/ductless-heat-pump-forced-air-furnace-sf-and-mh/" TargetMode="External"/><Relationship Id="rId21" Type="http://schemas.openxmlformats.org/officeDocument/2006/relationships/hyperlink" Target="https://rtf.nwcouncil.org/measure/residential-gas-furnaces/" TargetMode="External"/><Relationship Id="rId42" Type="http://schemas.openxmlformats.org/officeDocument/2006/relationships/hyperlink" Target="https://rtf.nwcouncil.org/measure/commercial-secondary-glazing-systems/" TargetMode="External"/><Relationship Id="rId47" Type="http://schemas.openxmlformats.org/officeDocument/2006/relationships/hyperlink" Target="https://rtf.nwcouncil.org/measure/duct-sealing-sf/" TargetMode="External"/><Relationship Id="rId63" Type="http://schemas.openxmlformats.org/officeDocument/2006/relationships/hyperlink" Target="https://rtf.nwcouncil.org/measure/efficient-pumps/" TargetMode="External"/><Relationship Id="rId68" Type="http://schemas.openxmlformats.org/officeDocument/2006/relationships/hyperlink" Target="https://rtf.nwcouncil.org/measure/single-family/" TargetMode="External"/><Relationship Id="rId84" Type="http://schemas.openxmlformats.org/officeDocument/2006/relationships/hyperlink" Target="https://rtf.nwcouncil.org/measure/display-case-lighting/" TargetMode="External"/><Relationship Id="rId89" Type="http://schemas.openxmlformats.org/officeDocument/2006/relationships/vmlDrawing" Target="../drawings/vmlDrawing1.vml"/><Relationship Id="rId16" Type="http://schemas.openxmlformats.org/officeDocument/2006/relationships/hyperlink" Target="https://rtf.nwcouncil.org/measure/griddles/" TargetMode="External"/><Relationship Id="rId11" Type="http://schemas.openxmlformats.org/officeDocument/2006/relationships/hyperlink" Target="https://rtf.nwcouncil.org/measure/steamers/" TargetMode="External"/><Relationship Id="rId32" Type="http://schemas.openxmlformats.org/officeDocument/2006/relationships/hyperlink" Target="https://rtf.nwcouncil.org/measure/ductless-heat-pumps-zonal-heat-sf/" TargetMode="External"/><Relationship Id="rId37" Type="http://schemas.openxmlformats.org/officeDocument/2006/relationships/hyperlink" Target="https://rtf.nwcouncil.org/measure/performance-based-duct-sealing-mh/" TargetMode="External"/><Relationship Id="rId53" Type="http://schemas.openxmlformats.org/officeDocument/2006/relationships/hyperlink" Target="https://rtf.nwcouncil.org/measure/residential-gas-fireplaces/" TargetMode="External"/><Relationship Id="rId58" Type="http://schemas.openxmlformats.org/officeDocument/2006/relationships/hyperlink" Target="https://rtf.nwcouncil.org/measure/clothes-washers/" TargetMode="External"/><Relationship Id="rId74" Type="http://schemas.openxmlformats.org/officeDocument/2006/relationships/hyperlink" Target="https://rtf.nwcouncil.org/standard-protocol/irrigation-pressure-reduction/" TargetMode="External"/><Relationship Id="rId79" Type="http://schemas.openxmlformats.org/officeDocument/2006/relationships/hyperlink" Target="https://rtf.nwcouncil.org/standard-protocol/floating-pressure-controls-for-multiplex-systems-standard-protocol/" TargetMode="External"/><Relationship Id="rId5" Type="http://schemas.openxmlformats.org/officeDocument/2006/relationships/hyperlink" Target="https://rtf.nwcouncil.org/measure/circulator-pumps/" TargetMode="External"/><Relationship Id="rId90" Type="http://schemas.openxmlformats.org/officeDocument/2006/relationships/comments" Target="../comments1.xml"/><Relationship Id="rId14" Type="http://schemas.openxmlformats.org/officeDocument/2006/relationships/hyperlink" Target="https://rtf.nwcouncil.org/measure/combination-ovens/" TargetMode="External"/><Relationship Id="rId22" Type="http://schemas.openxmlformats.org/officeDocument/2006/relationships/hyperlink" Target="https://rtf.nwcouncil.org/whole-building-efforts-0/" TargetMode="External"/><Relationship Id="rId27" Type="http://schemas.openxmlformats.org/officeDocument/2006/relationships/hyperlink" Target="https://rtf.nwcouncil.org/measure/ductless-heat-pumps-multifamily/" TargetMode="External"/><Relationship Id="rId30" Type="http://schemas.openxmlformats.org/officeDocument/2006/relationships/hyperlink" Target="https://rtf.nwcouncil.org/measure/retrofit-or-upgrade-doors-existing-display-cases/" TargetMode="External"/><Relationship Id="rId35" Type="http://schemas.openxmlformats.org/officeDocument/2006/relationships/hyperlink" Target="https://rtf.nwcouncil.org/measure/hpwh/" TargetMode="External"/><Relationship Id="rId43" Type="http://schemas.openxmlformats.org/officeDocument/2006/relationships/hyperlink" Target="https://rtf.nwcouncil.org/measure/commercial-unitary-heat-pump-water-heaters/" TargetMode="External"/><Relationship Id="rId48" Type="http://schemas.openxmlformats.org/officeDocument/2006/relationships/hyperlink" Target="https://rtf.nwcouncil.org/measure/anti-sweat-heater-controls/" TargetMode="External"/><Relationship Id="rId56" Type="http://schemas.openxmlformats.org/officeDocument/2006/relationships/hyperlink" Target="https://rtf.nwcouncil.org/measure/clothes-dryers-sf-mh-and-mf-unit/" TargetMode="External"/><Relationship Id="rId64" Type="http://schemas.openxmlformats.org/officeDocument/2006/relationships/hyperlink" Target="https://rtf.nwcouncil.org/measure/ecms-walk-ins/" TargetMode="External"/><Relationship Id="rId69" Type="http://schemas.openxmlformats.org/officeDocument/2006/relationships/hyperlink" Target="https://rtf.nwcouncil.org/measure/multi-family/" TargetMode="External"/><Relationship Id="rId77" Type="http://schemas.openxmlformats.org/officeDocument/2006/relationships/hyperlink" Target="https://rtf.nwcouncil.org/standard-protocol/demand-controlled-kitchen-ventilation-standard-protocol/" TargetMode="External"/><Relationship Id="rId8" Type="http://schemas.openxmlformats.org/officeDocument/2006/relationships/hyperlink" Target="https://rtf.nwcouncil.org/measure/high-efficiency-residential-central-air-conditioners/" TargetMode="External"/><Relationship Id="rId51" Type="http://schemas.openxmlformats.org/officeDocument/2006/relationships/hyperlink" Target="https://rtf.nwcouncil.org/standard-protocol/voltage-optimization-protocol/" TargetMode="External"/><Relationship Id="rId72" Type="http://schemas.openxmlformats.org/officeDocument/2006/relationships/hyperlink" Target="https://rtf.nwcouncil.org/measure/pthp-multifamily/" TargetMode="External"/><Relationship Id="rId80" Type="http://schemas.openxmlformats.org/officeDocument/2006/relationships/hyperlink" Target="https://rtf.nwcouncil.org/measure/green-motor-rewind/" TargetMode="External"/><Relationship Id="rId85" Type="http://schemas.openxmlformats.org/officeDocument/2006/relationships/hyperlink" Target="https://rtf.nwcouncil.org/measure/demand-response-irrigation-pump-controls/" TargetMode="External"/><Relationship Id="rId3" Type="http://schemas.openxmlformats.org/officeDocument/2006/relationships/hyperlink" Target="https://rtf.nwcouncil.org/measure/advanced-rooftop-controls/" TargetMode="External"/><Relationship Id="rId12" Type="http://schemas.openxmlformats.org/officeDocument/2006/relationships/hyperlink" Target="https://rtf.nwcouncil.org/measure/convection-ovens/" TargetMode="External"/><Relationship Id="rId17" Type="http://schemas.openxmlformats.org/officeDocument/2006/relationships/hyperlink" Target="https://rtf.nwcouncil.org/measure/hot-food-holding-cabinets/" TargetMode="External"/><Relationship Id="rId25" Type="http://schemas.openxmlformats.org/officeDocument/2006/relationships/hyperlink" Target="https://rtf.nwcouncil.org/standard-protocol/new-homes/" TargetMode="External"/><Relationship Id="rId33" Type="http://schemas.openxmlformats.org/officeDocument/2006/relationships/hyperlink" Target="https://rtf.nwcouncil.org/measure/new-manufactured-homes/" TargetMode="External"/><Relationship Id="rId38" Type="http://schemas.openxmlformats.org/officeDocument/2006/relationships/hyperlink" Target="https://rtf.nwcouncil.org/measure/door-sweeps/" TargetMode="External"/><Relationship Id="rId46" Type="http://schemas.openxmlformats.org/officeDocument/2006/relationships/hyperlink" Target="https://rtf.nwcouncil.org/measure/electronic-thermostats/" TargetMode="External"/><Relationship Id="rId59" Type="http://schemas.openxmlformats.org/officeDocument/2006/relationships/hyperlink" Target="https://rtf.nwcouncil.org/measure/irrigation-hardware-maintenance/" TargetMode="External"/><Relationship Id="rId67" Type="http://schemas.openxmlformats.org/officeDocument/2006/relationships/hyperlink" Target="https://rtf.nwcouncil.org/measure/manufactured-home-weatherization/" TargetMode="External"/><Relationship Id="rId20" Type="http://schemas.openxmlformats.org/officeDocument/2006/relationships/hyperlink" Target="https://rtf.nwcouncil.org/measure/strip-curtains/" TargetMode="External"/><Relationship Id="rId41" Type="http://schemas.openxmlformats.org/officeDocument/2006/relationships/hyperlink" Target="https://rtf.nwcouncil.org/measure/commercial-industrial-fans/" TargetMode="External"/><Relationship Id="rId54" Type="http://schemas.openxmlformats.org/officeDocument/2006/relationships/hyperlink" Target="https://rtf.nwcouncil.org/measure/commercial-boilers/" TargetMode="External"/><Relationship Id="rId62" Type="http://schemas.openxmlformats.org/officeDocument/2006/relationships/hyperlink" Target="https://rtf.nwcouncil.org/measure/residential-gas-water-heaters-0/" TargetMode="External"/><Relationship Id="rId70" Type="http://schemas.openxmlformats.org/officeDocument/2006/relationships/hyperlink" Target="https://rtf.nwcouncil.org/measure/forced-circulation-generator-engine-block-heaters-nonresidential-standby-generators/" TargetMode="External"/><Relationship Id="rId75" Type="http://schemas.openxmlformats.org/officeDocument/2006/relationships/hyperlink" Target="https://rtf.nwcouncil.org/measure/manufactured-home-replacement/" TargetMode="External"/><Relationship Id="rId83" Type="http://schemas.openxmlformats.org/officeDocument/2006/relationships/hyperlink" Target="https://rtf.nwcouncil.org/measure/demand-overwrappers/" TargetMode="External"/><Relationship Id="rId88" Type="http://schemas.openxmlformats.org/officeDocument/2006/relationships/hyperlink" Target="https://rtf.nwcouncil.org/standard-protocol/whole-building-perfromance-commercial/" TargetMode="External"/><Relationship Id="rId91" Type="http://schemas.microsoft.com/office/2017/10/relationships/threadedComment" Target="../threadedComments/threadedComment1.xml"/><Relationship Id="rId1" Type="http://schemas.openxmlformats.org/officeDocument/2006/relationships/hyperlink" Target="https://rtf.nwcouncil.org/measure/residential-lighting/" TargetMode="External"/><Relationship Id="rId6" Type="http://schemas.openxmlformats.org/officeDocument/2006/relationships/hyperlink" Target="https://rtf.nwcouncil.org/measure/air-source-heat-pump-upgrades-and-conversions-mh/" TargetMode="External"/><Relationship Id="rId15" Type="http://schemas.openxmlformats.org/officeDocument/2006/relationships/hyperlink" Target="https://rtf.nwcouncil.org/measure/fryers/" TargetMode="External"/><Relationship Id="rId23" Type="http://schemas.openxmlformats.org/officeDocument/2006/relationships/hyperlink" Target="https://rtf.nwcouncil.org/measure/potatoonion-shed/" TargetMode="External"/><Relationship Id="rId28" Type="http://schemas.openxmlformats.org/officeDocument/2006/relationships/hyperlink" Target="https://rtf.nwcouncil.org/measure/commercial-timers-water-coolers/" TargetMode="External"/><Relationship Id="rId36" Type="http://schemas.openxmlformats.org/officeDocument/2006/relationships/hyperlink" Target="https://rtf.nwcouncil.org/measure/non-residential-lighting-midstream/" TargetMode="External"/><Relationship Id="rId49" Type="http://schemas.openxmlformats.org/officeDocument/2006/relationships/hyperlink" Target="https://rtf.nwcouncil.org/measure/ice-makers/" TargetMode="External"/><Relationship Id="rId57" Type="http://schemas.openxmlformats.org/officeDocument/2006/relationships/hyperlink" Target="https://rtf.nwcouncil.org/measure/clothes-washers-0/" TargetMode="External"/><Relationship Id="rId10" Type="http://schemas.openxmlformats.org/officeDocument/2006/relationships/hyperlink" Target="https://rtf.nwcouncil.org/measure/commercial-connected-thermostats/" TargetMode="External"/><Relationship Id="rId31" Type="http://schemas.openxmlformats.org/officeDocument/2006/relationships/hyperlink" Target="https://rtf.nwcouncil.org/measure/ductless-heat-pumps-zonal-heat-mh/" TargetMode="External"/><Relationship Id="rId44" Type="http://schemas.openxmlformats.org/officeDocument/2006/relationships/hyperlink" Target="https://rtf.nwcouncil.org/measure/irrigation-hardware-upgrades/" TargetMode="External"/><Relationship Id="rId52" Type="http://schemas.openxmlformats.org/officeDocument/2006/relationships/hyperlink" Target="https://rtf.nwcouncil.org/measure/energy-star-refrigerated-beverage-vending-machines/" TargetMode="External"/><Relationship Id="rId60" Type="http://schemas.openxmlformats.org/officeDocument/2006/relationships/hyperlink" Target="https://rtf.nwcouncil.org/measure/compressor-head-fan-motor-retrofit-ecm/" TargetMode="External"/><Relationship Id="rId65" Type="http://schemas.openxmlformats.org/officeDocument/2006/relationships/hyperlink" Target="https://rtf.nwcouncil.org/measure/ecms-walk-ins/" TargetMode="External"/><Relationship Id="rId73" Type="http://schemas.openxmlformats.org/officeDocument/2006/relationships/hyperlink" Target="https://rtf.nwcouncil.org/standard-protocol/compressed-air/" TargetMode="External"/><Relationship Id="rId78" Type="http://schemas.openxmlformats.org/officeDocument/2006/relationships/hyperlink" Target="https://rtf.nwcouncil.org/standard-protocol/transformer-de-energizing/" TargetMode="External"/><Relationship Id="rId81" Type="http://schemas.openxmlformats.org/officeDocument/2006/relationships/hyperlink" Target="https://rtf.nwcouncil.org/measure/stock-watering-tanks/" TargetMode="External"/><Relationship Id="rId86" Type="http://schemas.openxmlformats.org/officeDocument/2006/relationships/hyperlink" Target="https://rtf.nwcouncil.org/measure/refrigerated-warehouse-controls/" TargetMode="External"/><Relationship Id="rId4" Type="http://schemas.openxmlformats.org/officeDocument/2006/relationships/hyperlink" Target="https://rtf.nwcouncil.org/measure/variable-speed-drives/" TargetMode="External"/><Relationship Id="rId9" Type="http://schemas.openxmlformats.org/officeDocument/2006/relationships/hyperlink" Target="https://rtf.nwcouncil.org/measure/residential-refrigerators-and-freezers/" TargetMode="External"/><Relationship Id="rId13" Type="http://schemas.openxmlformats.org/officeDocument/2006/relationships/hyperlink" Target="https://rtf.nwcouncil.org/measure/rack-ovens/" TargetMode="External"/><Relationship Id="rId18" Type="http://schemas.openxmlformats.org/officeDocument/2006/relationships/hyperlink" Target="https://rtf.nwcouncil.org/measure/doorway-air-curtains/" TargetMode="External"/><Relationship Id="rId39" Type="http://schemas.openxmlformats.org/officeDocument/2006/relationships/hyperlink" Target="https://rtf.nwcouncil.org/standard-protocol/non-residential-lighting-retrofits/" TargetMode="External"/><Relationship Id="rId34" Type="http://schemas.openxmlformats.org/officeDocument/2006/relationships/hyperlink" Target="https://rtf.nwcouncil.org/measure/commercial-heat-pump-water-heaters/" TargetMode="External"/><Relationship Id="rId50" Type="http://schemas.openxmlformats.org/officeDocument/2006/relationships/hyperlink" Target="https://rtf.nwcouncil.org/measure/school/" TargetMode="External"/><Relationship Id="rId55" Type="http://schemas.openxmlformats.org/officeDocument/2006/relationships/hyperlink" Target="https://rtf.nwcouncil.org/standard-protocol/commercial-boiler-systems/" TargetMode="External"/><Relationship Id="rId76" Type="http://schemas.openxmlformats.org/officeDocument/2006/relationships/hyperlink" Target="https://rtf.nwcouncil.org/measure/thermostatic-shower-restriction-valve/" TargetMode="External"/><Relationship Id="rId7" Type="http://schemas.openxmlformats.org/officeDocument/2006/relationships/hyperlink" Target="https://rtf.nwcouncil.org/measure/air-source-heat-pump-upgrades-sf/" TargetMode="External"/><Relationship Id="rId71" Type="http://schemas.openxmlformats.org/officeDocument/2006/relationships/hyperlink" Target="https://rtf.nwcouncil.org/measure/engine-block-heater-controls/" TargetMode="External"/><Relationship Id="rId2" Type="http://schemas.openxmlformats.org/officeDocument/2006/relationships/hyperlink" Target="https://rtf.nwcouncil.org/standard-protocol/non-residential-lighting-code-compliant/" TargetMode="External"/><Relationship Id="rId29" Type="http://schemas.openxmlformats.org/officeDocument/2006/relationships/hyperlink" Target="https://rtf.nwcouncil.org/measure/energy-star-air-purifiers/" TargetMode="External"/><Relationship Id="rId24" Type="http://schemas.openxmlformats.org/officeDocument/2006/relationships/hyperlink" Target="https://rtf.nwcouncil.org/measure/small-commercial-dhps/" TargetMode="External"/><Relationship Id="rId40" Type="http://schemas.openxmlformats.org/officeDocument/2006/relationships/hyperlink" Target="https://rtf.nwcouncil.org/measure/connected-thermostats/" TargetMode="External"/><Relationship Id="rId45" Type="http://schemas.openxmlformats.org/officeDocument/2006/relationships/hyperlink" Target="https://rtf.nwcouncil.org/measure/freezers/" TargetMode="External"/><Relationship Id="rId66" Type="http://schemas.openxmlformats.org/officeDocument/2006/relationships/hyperlink" Target="https://rtf.nwcouncil.org/measure/level-2-electric-vehicle-charger/" TargetMode="External"/><Relationship Id="rId87" Type="http://schemas.openxmlformats.org/officeDocument/2006/relationships/hyperlink" Target="https://rtf.nwcouncil.org/measure/package-terminal-heat-pumps-commercial-lodging/" TargetMode="External"/><Relationship Id="rId61" Type="http://schemas.openxmlformats.org/officeDocument/2006/relationships/hyperlink" Target="https://rtf.nwcouncil.org/measure/ecms-display-cases/" TargetMode="External"/><Relationship Id="rId82" Type="http://schemas.openxmlformats.org/officeDocument/2006/relationships/hyperlink" Target="https://rtf.nwcouncil.org/measure/thermostatically-controlled-outlet-pump-house-heaters/" TargetMode="External"/><Relationship Id="rId19" Type="http://schemas.openxmlformats.org/officeDocument/2006/relationships/hyperlink" Target="https://rtf.nwcouncil.org/measure/floating-head-pressure-controls-single-compressor-systems/"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drawing" Target="../drawings/drawing2.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33591-3878-49E4-9FD8-503FF8FEABE2}">
  <dimension ref="B1:G13"/>
  <sheetViews>
    <sheetView tabSelected="1" workbookViewId="0">
      <selection activeCell="A2" sqref="A2"/>
    </sheetView>
  </sheetViews>
  <sheetFormatPr defaultRowHeight="15.75" x14ac:dyDescent="0.25"/>
  <cols>
    <col min="2" max="2" width="24.42578125" customWidth="1"/>
    <col min="3" max="3" width="93.28515625" customWidth="1"/>
    <col min="5" max="5" width="31.140625" style="10" customWidth="1"/>
    <col min="6" max="6" width="22.7109375" style="10" customWidth="1"/>
    <col min="7" max="7" width="39.140625" customWidth="1"/>
  </cols>
  <sheetData>
    <row r="1" spans="2:7" ht="18.75" x14ac:dyDescent="0.3">
      <c r="B1" s="4" t="s">
        <v>463</v>
      </c>
    </row>
    <row r="2" spans="2:7" x14ac:dyDescent="0.25">
      <c r="B2" s="7" t="s">
        <v>588</v>
      </c>
    </row>
    <row r="4" spans="2:7" x14ac:dyDescent="0.25">
      <c r="B4" s="310" t="s">
        <v>557</v>
      </c>
      <c r="C4" s="310" t="s">
        <v>2</v>
      </c>
      <c r="E4" s="51" t="s">
        <v>237</v>
      </c>
      <c r="F4" s="51" t="s">
        <v>576</v>
      </c>
      <c r="G4" s="51" t="s">
        <v>577</v>
      </c>
    </row>
    <row r="5" spans="2:7" ht="31.5" customHeight="1" x14ac:dyDescent="0.25">
      <c r="B5" s="311" t="s">
        <v>535</v>
      </c>
      <c r="C5" s="312" t="s">
        <v>558</v>
      </c>
      <c r="E5" s="316" t="s">
        <v>244</v>
      </c>
      <c r="F5" s="349" t="s">
        <v>455</v>
      </c>
      <c r="G5" s="349" t="s">
        <v>578</v>
      </c>
    </row>
    <row r="6" spans="2:7" ht="47.25" x14ac:dyDescent="0.2">
      <c r="B6" s="311" t="s">
        <v>561</v>
      </c>
      <c r="C6" s="313" t="s">
        <v>582</v>
      </c>
      <c r="E6" s="316" t="s">
        <v>246</v>
      </c>
      <c r="F6" s="349"/>
      <c r="G6" s="349"/>
    </row>
    <row r="7" spans="2:7" ht="78.75" x14ac:dyDescent="0.2">
      <c r="B7" s="313" t="s">
        <v>574</v>
      </c>
      <c r="C7" s="313" t="s">
        <v>575</v>
      </c>
      <c r="E7" s="316" t="s">
        <v>247</v>
      </c>
      <c r="F7" s="349"/>
      <c r="G7" s="349"/>
    </row>
    <row r="8" spans="2:7" ht="31.5" x14ac:dyDescent="0.25">
      <c r="B8" s="313" t="s">
        <v>569</v>
      </c>
      <c r="C8" s="312" t="s">
        <v>570</v>
      </c>
      <c r="E8" s="317" t="s">
        <v>248</v>
      </c>
      <c r="F8" s="350" t="s">
        <v>456</v>
      </c>
      <c r="G8" s="350" t="s">
        <v>579</v>
      </c>
    </row>
    <row r="9" spans="2:7" ht="31.5" x14ac:dyDescent="0.25">
      <c r="B9" s="313" t="s">
        <v>571</v>
      </c>
      <c r="C9" s="312" t="s">
        <v>568</v>
      </c>
      <c r="E9" s="317" t="s">
        <v>250</v>
      </c>
      <c r="F9" s="350"/>
      <c r="G9" s="350"/>
    </row>
    <row r="10" spans="2:7" ht="51.75" customHeight="1" x14ac:dyDescent="0.25">
      <c r="B10" s="313" t="s">
        <v>572</v>
      </c>
      <c r="C10" s="312" t="s">
        <v>567</v>
      </c>
      <c r="E10" s="318" t="s">
        <v>251</v>
      </c>
      <c r="F10" s="315" t="s">
        <v>251</v>
      </c>
      <c r="G10" s="320" t="s">
        <v>580</v>
      </c>
    </row>
    <row r="11" spans="2:7" ht="63" x14ac:dyDescent="0.25">
      <c r="B11" s="313" t="s">
        <v>573</v>
      </c>
      <c r="C11" s="312" t="s">
        <v>566</v>
      </c>
      <c r="E11" s="319" t="s">
        <v>253</v>
      </c>
      <c r="F11" s="351" t="s">
        <v>254</v>
      </c>
      <c r="G11" s="354" t="s">
        <v>581</v>
      </c>
    </row>
    <row r="12" spans="2:7" ht="63" x14ac:dyDescent="0.25">
      <c r="B12" s="313" t="s">
        <v>564</v>
      </c>
      <c r="C12" s="312" t="s">
        <v>565</v>
      </c>
      <c r="E12" s="319" t="s">
        <v>252</v>
      </c>
      <c r="F12" s="352"/>
      <c r="G12" s="355"/>
    </row>
    <row r="13" spans="2:7" ht="31.5" x14ac:dyDescent="0.2">
      <c r="B13" s="311" t="s">
        <v>562</v>
      </c>
      <c r="C13" s="313" t="s">
        <v>563</v>
      </c>
      <c r="E13" s="319" t="s">
        <v>254</v>
      </c>
      <c r="F13" s="353"/>
      <c r="G13" s="356"/>
    </row>
  </sheetData>
  <mergeCells count="6">
    <mergeCell ref="G5:G7"/>
    <mergeCell ref="G8:G9"/>
    <mergeCell ref="F11:F13"/>
    <mergeCell ref="G11:G13"/>
    <mergeCell ref="F8:F9"/>
    <mergeCell ref="F5:F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0144C-E40F-448D-BF65-30091920C2B8}">
  <sheetPr filterMode="1"/>
  <dimension ref="A1:P134"/>
  <sheetViews>
    <sheetView topLeftCell="A22" workbookViewId="0">
      <selection activeCell="H42" sqref="H42"/>
    </sheetView>
  </sheetViews>
  <sheetFormatPr defaultRowHeight="12.75" x14ac:dyDescent="0.2"/>
  <cols>
    <col min="1" max="1" width="54.7109375" style="63" customWidth="1"/>
    <col min="2" max="2" width="17.5703125" style="63" customWidth="1"/>
    <col min="3" max="3" width="20" style="63" customWidth="1"/>
    <col min="4" max="4" width="16.5703125" style="63" customWidth="1"/>
    <col min="5" max="5" width="17.7109375" style="63" customWidth="1"/>
    <col min="6" max="6" width="17.28515625" style="63" customWidth="1"/>
    <col min="7" max="7" width="18.140625" style="63" bestFit="1" customWidth="1"/>
    <col min="8" max="8" width="23.7109375" style="63" bestFit="1" customWidth="1"/>
    <col min="9" max="9" width="18.140625" style="63" bestFit="1" customWidth="1"/>
    <col min="10" max="10" width="15" style="63" bestFit="1" customWidth="1"/>
    <col min="11" max="12" width="12" style="63" bestFit="1" customWidth="1"/>
    <col min="13" max="15" width="9.140625" style="63"/>
    <col min="16" max="16" width="47.7109375" style="63" bestFit="1" customWidth="1"/>
    <col min="17" max="16384" width="9.140625" style="63"/>
  </cols>
  <sheetData>
    <row r="1" spans="1:15" s="1" customFormat="1" ht="18.75" x14ac:dyDescent="0.3">
      <c r="A1" s="90" t="s">
        <v>341</v>
      </c>
      <c r="K1" s="2"/>
      <c r="L1" s="2"/>
      <c r="M1" s="2"/>
      <c r="N1" s="2"/>
      <c r="O1" s="2"/>
    </row>
    <row r="2" spans="1:15" s="1" customFormat="1" ht="15" x14ac:dyDescent="0.25">
      <c r="A2" s="7" t="str">
        <f>'Table of Contents'!$B$2</f>
        <v>DRAFT Proposed 5-Year Funding Levels (2025-2029) for discussion at March 26, 2024 RTF Policy Advisory Committee Meeting</v>
      </c>
      <c r="K2" s="2"/>
      <c r="L2" s="2"/>
      <c r="M2" s="2"/>
      <c r="N2" s="2"/>
      <c r="O2" s="2"/>
    </row>
    <row r="3" spans="1:15" s="1" customFormat="1" ht="15" x14ac:dyDescent="0.25">
      <c r="K3" s="2"/>
      <c r="L3" s="2"/>
      <c r="M3" s="2"/>
      <c r="N3" s="2"/>
      <c r="O3" s="2"/>
    </row>
    <row r="4" spans="1:15" s="1" customFormat="1" ht="28.5" customHeight="1" x14ac:dyDescent="0.25">
      <c r="A4" s="3" t="s">
        <v>346</v>
      </c>
      <c r="B4" s="131" t="s">
        <v>376</v>
      </c>
      <c r="C4" s="131" t="s">
        <v>377</v>
      </c>
      <c r="D4" s="131" t="s">
        <v>378</v>
      </c>
      <c r="E4" s="131" t="s">
        <v>379</v>
      </c>
      <c r="F4" s="131" t="s">
        <v>380</v>
      </c>
      <c r="H4" s="1" t="s">
        <v>348</v>
      </c>
      <c r="I4" s="1" t="s">
        <v>349</v>
      </c>
      <c r="J4" s="1" t="s">
        <v>350</v>
      </c>
      <c r="K4" s="1" t="s">
        <v>351</v>
      </c>
      <c r="L4" s="1" t="s">
        <v>352</v>
      </c>
      <c r="M4" s="2"/>
      <c r="N4" s="2"/>
      <c r="O4" s="2"/>
    </row>
    <row r="5" spans="1:15" x14ac:dyDescent="0.2">
      <c r="A5" s="63" t="s">
        <v>342</v>
      </c>
      <c r="B5" s="103">
        <v>5500</v>
      </c>
      <c r="C5" s="106">
        <v>5650</v>
      </c>
      <c r="D5" s="106">
        <v>5800</v>
      </c>
      <c r="E5" s="106">
        <v>5900</v>
      </c>
      <c r="F5" s="106">
        <v>6100</v>
      </c>
      <c r="G5" s="106"/>
      <c r="H5" s="106">
        <f>$B$5*COUNTIF(K35:K133,"x")</f>
        <v>115500</v>
      </c>
      <c r="I5" s="106">
        <f>$B$5*COUNTIF(L35:L133,"x")</f>
        <v>126500</v>
      </c>
      <c r="J5" s="106">
        <f>$B$5*COUNTIF(M35:M133,"x")</f>
        <v>176000</v>
      </c>
      <c r="K5" s="106">
        <f>$B$5*COUNTIF(N35:N133,"x")</f>
        <v>148500</v>
      </c>
      <c r="L5" s="106">
        <f>$B$5*COUNTIF(O35:O133,"x")</f>
        <v>110000</v>
      </c>
    </row>
    <row r="6" spans="1:15" x14ac:dyDescent="0.2">
      <c r="A6" s="63" t="s">
        <v>345</v>
      </c>
      <c r="B6" s="103">
        <v>16500</v>
      </c>
      <c r="C6" s="106">
        <v>16900</v>
      </c>
      <c r="D6" s="106">
        <v>17300</v>
      </c>
      <c r="E6" s="106">
        <v>17800</v>
      </c>
      <c r="F6" s="106">
        <v>18200</v>
      </c>
      <c r="G6" s="106"/>
      <c r="H6" s="106">
        <f>$B$6*COUNTIF(K36:K134,"x")</f>
        <v>363000</v>
      </c>
      <c r="I6" s="106">
        <f>$B$6*COUNTIF(L36:L134,"x")</f>
        <v>379500</v>
      </c>
      <c r="J6" s="106">
        <f>$B$6*COUNTIF(M36:M134,"x")</f>
        <v>511500</v>
      </c>
      <c r="K6" s="106">
        <f>$B$6*COUNTIF(N36:N134,"x")</f>
        <v>445500</v>
      </c>
      <c r="L6" s="106">
        <f>$B$6*COUNTIF(O36:O134,"x")</f>
        <v>330000</v>
      </c>
    </row>
    <row r="7" spans="1:15" x14ac:dyDescent="0.2">
      <c r="A7" s="63" t="s">
        <v>344</v>
      </c>
      <c r="B7" s="103">
        <v>40000</v>
      </c>
      <c r="C7" s="106">
        <v>41000</v>
      </c>
      <c r="D7" s="106">
        <v>42000</v>
      </c>
      <c r="E7" s="106">
        <v>43000</v>
      </c>
      <c r="F7" s="106">
        <v>44200</v>
      </c>
      <c r="G7" s="106"/>
      <c r="H7" s="106"/>
      <c r="I7" s="106"/>
      <c r="J7" s="106"/>
      <c r="K7" s="106"/>
      <c r="L7" s="106"/>
    </row>
    <row r="8" spans="1:15" x14ac:dyDescent="0.2">
      <c r="A8" s="63" t="s">
        <v>343</v>
      </c>
      <c r="B8" s="103">
        <v>800</v>
      </c>
      <c r="C8" s="106">
        <v>820</v>
      </c>
      <c r="D8" s="106">
        <v>840</v>
      </c>
      <c r="E8" s="106">
        <v>860</v>
      </c>
      <c r="F8" s="106">
        <v>880</v>
      </c>
      <c r="G8" s="106"/>
      <c r="H8" s="106">
        <f>$B$8*COUNTIF(K38:K136,"x")</f>
        <v>17600</v>
      </c>
      <c r="I8" s="106">
        <f>$B$8*COUNTIF(L38:L136,"x")</f>
        <v>18400</v>
      </c>
      <c r="J8" s="106">
        <f>$B$8*COUNTIF(M38:M136,"x")</f>
        <v>23200</v>
      </c>
      <c r="K8" s="106">
        <f>$B$8*COUNTIF(N38:N136,"x")</f>
        <v>21600</v>
      </c>
      <c r="L8" s="106">
        <f>$B$8*COUNTIF(O38:O136,"x")</f>
        <v>16000</v>
      </c>
    </row>
    <row r="9" spans="1:15" x14ac:dyDescent="0.2">
      <c r="C9" s="106"/>
    </row>
    <row r="11" spans="1:15" ht="15.75" x14ac:dyDescent="0.25">
      <c r="A11" s="89" t="s">
        <v>362</v>
      </c>
      <c r="B11" s="89">
        <v>2025</v>
      </c>
      <c r="C11" s="89">
        <v>2026</v>
      </c>
      <c r="D11" s="89">
        <v>2027</v>
      </c>
      <c r="E11" s="89">
        <v>2028</v>
      </c>
      <c r="F11" s="89">
        <v>2029</v>
      </c>
    </row>
    <row r="12" spans="1:15" x14ac:dyDescent="0.2">
      <c r="A12" s="63" t="s">
        <v>361</v>
      </c>
      <c r="B12" s="63">
        <v>1</v>
      </c>
      <c r="C12" s="63">
        <v>1</v>
      </c>
      <c r="D12" s="63">
        <v>1</v>
      </c>
      <c r="E12" s="63">
        <v>0</v>
      </c>
      <c r="F12" s="63">
        <v>1</v>
      </c>
    </row>
    <row r="13" spans="1:15" x14ac:dyDescent="0.2">
      <c r="A13" s="63" t="s">
        <v>363</v>
      </c>
      <c r="B13" s="63">
        <v>5</v>
      </c>
      <c r="C13" s="63">
        <v>6</v>
      </c>
      <c r="D13" s="63">
        <v>1</v>
      </c>
      <c r="E13" s="63">
        <v>0</v>
      </c>
      <c r="F13" s="63">
        <v>4</v>
      </c>
    </row>
    <row r="14" spans="1:15" x14ac:dyDescent="0.2">
      <c r="A14" s="63" t="s">
        <v>364</v>
      </c>
      <c r="B14" s="63">
        <v>1</v>
      </c>
      <c r="C14" s="63">
        <v>0</v>
      </c>
      <c r="D14" s="63">
        <v>0</v>
      </c>
      <c r="E14" s="63">
        <v>0</v>
      </c>
      <c r="F14" s="63">
        <v>1</v>
      </c>
    </row>
    <row r="15" spans="1:15" x14ac:dyDescent="0.2">
      <c r="A15" s="63" t="s">
        <v>368</v>
      </c>
      <c r="B15" s="63">
        <v>1</v>
      </c>
      <c r="C15" s="63">
        <v>2</v>
      </c>
      <c r="D15" s="63">
        <v>0</v>
      </c>
      <c r="E15" s="63">
        <v>0</v>
      </c>
      <c r="F15" s="63">
        <v>1</v>
      </c>
    </row>
    <row r="16" spans="1:15" x14ac:dyDescent="0.2">
      <c r="A16" s="63" t="s">
        <v>369</v>
      </c>
      <c r="B16" s="63">
        <v>2</v>
      </c>
      <c r="C16" s="63">
        <v>2</v>
      </c>
      <c r="D16" s="63">
        <v>2</v>
      </c>
      <c r="E16" s="63">
        <v>0</v>
      </c>
      <c r="F16" s="63">
        <v>1</v>
      </c>
    </row>
    <row r="17" spans="1:6" x14ac:dyDescent="0.2">
      <c r="A17" s="63" t="s">
        <v>372</v>
      </c>
      <c r="B17" s="63">
        <v>1</v>
      </c>
      <c r="C17" s="63">
        <v>2</v>
      </c>
      <c r="D17" s="63">
        <v>1</v>
      </c>
      <c r="E17" s="63">
        <v>0</v>
      </c>
      <c r="F17" s="63">
        <v>1</v>
      </c>
    </row>
    <row r="18" spans="1:6" x14ac:dyDescent="0.2">
      <c r="A18" s="63" t="s">
        <v>84</v>
      </c>
      <c r="B18" s="63">
        <v>1</v>
      </c>
      <c r="C18" s="63">
        <v>1</v>
      </c>
      <c r="D18" s="63">
        <v>0</v>
      </c>
      <c r="E18" s="63">
        <v>0</v>
      </c>
      <c r="F18" s="63">
        <v>0</v>
      </c>
    </row>
    <row r="20" spans="1:6" ht="15.75" x14ac:dyDescent="0.25">
      <c r="A20" s="89" t="s">
        <v>370</v>
      </c>
      <c r="B20" s="89">
        <v>2025</v>
      </c>
      <c r="C20" s="89">
        <v>2026</v>
      </c>
      <c r="D20" s="89">
        <v>2027</v>
      </c>
      <c r="E20" s="89">
        <v>2028</v>
      </c>
      <c r="F20" s="89">
        <v>2029</v>
      </c>
    </row>
    <row r="21" spans="1:6" x14ac:dyDescent="0.2">
      <c r="A21" s="63" t="s">
        <v>291</v>
      </c>
      <c r="B21" s="63">
        <f>COUNTIFS($D$34:$D$134,"electric",$E$34:$E$134,"no",$I$34:$I$134,"UES",$K$34:$K$134,"x")</f>
        <v>6</v>
      </c>
      <c r="C21" s="63">
        <f>COUNTIFS($D$34:$D$134,"electric",$E$34:$E$134,"no",$I$34:$I$134,"UES",$L$34:$L$134,"x")</f>
        <v>10</v>
      </c>
      <c r="D21" s="63">
        <f>COUNTIFS($D$34:$D$134,"electric",$E$34:$E$134,"no",$I$34:$I$134,"UES",$M$34:$M$134,"x")</f>
        <v>11</v>
      </c>
      <c r="E21" s="63">
        <f>COUNTIFS($D$34:$D$134,"electric",$E$34:$E$134,"no",$I$34:$I$134,"UES",$N$34:$N$134,"x")+B12+B13</f>
        <v>18</v>
      </c>
      <c r="F21" s="63">
        <f>COUNTIFS($D$34:$D$134,"electric",$E$34:$E$134,"no",$I$34:$I$134,"UES",$O$34:$O$134,"x")+(C12-3)+C13</f>
        <v>13</v>
      </c>
    </row>
    <row r="22" spans="1:6" x14ac:dyDescent="0.2">
      <c r="A22" s="63" t="s">
        <v>292</v>
      </c>
      <c r="B22" s="63">
        <f>COUNTIFS($D$34:$D$134,"electric",$E$34:$E$134,"no",$I$34:$I$134,"Standard Protocol",$K$34:$K$134,"x")</f>
        <v>1</v>
      </c>
      <c r="C22" s="63">
        <f>COUNTIFS($D$34:$D$134,"electric",$E$34:$E$134,"no",$I$34:$I$134,"Standard Protocol",$L$34:$L$134,"x")</f>
        <v>1</v>
      </c>
      <c r="D22" s="63">
        <f>COUNTIFS($D$34:$D$134,"electric",$E$34:$E$134,"no",$I$34:$I$134,"Standard Protocol",$M$34:$M$134,"x")</f>
        <v>4</v>
      </c>
      <c r="E22" s="63">
        <f>COUNTIFS($D$34:$D$134,"electric",$E$34:$E$134,"no",$I$34:$I$134,"Standard Protocol",$N$34:$N$134,"x")</f>
        <v>0</v>
      </c>
      <c r="F22" s="63">
        <f>COUNTIFS($D$34:$D$134,"electric",$E$34:$E$134,"no",$I$34:$I$134,"Standard Protocol",$O$34:$O$134,"x")</f>
        <v>1</v>
      </c>
    </row>
    <row r="23" spans="1:6" x14ac:dyDescent="0.2">
      <c r="A23" s="63" t="s">
        <v>367</v>
      </c>
      <c r="B23" s="63">
        <f>COUNTIFS($D$34:$D$134,"electric",$E$34:$E$134,"yes",$I$34:$I$134,"UES",$K$34:$K$134,"x")</f>
        <v>3</v>
      </c>
      <c r="C23" s="63">
        <f>COUNTIFS($D$34:$D$134,"electric",$E$34:$E$134,"yes",$I$34:$I$134,"UES",$L$34:$L$134,"x")</f>
        <v>4</v>
      </c>
      <c r="D23" s="63">
        <f>COUNTIFS($D$34:$D$134,"electric",$E$34:$E$134,"yes",$I$34:$I$134,"UES",$M$34:$M$134,"x")</f>
        <v>6</v>
      </c>
      <c r="E23" s="63">
        <f>COUNTIFS($D$34:$D$134,"electric",$E$34:$E$134,"yes",$I$34:$I$134,"UES",$N$34:$N$134,"x")+B14</f>
        <v>3</v>
      </c>
      <c r="F23" s="63">
        <f>COUNTIFS($D$34:$D$134,"electric",$E$34:$E$134,"yes",$I$34:$I$134,"UES",$O$34:$O$134,"x")+C14</f>
        <v>2</v>
      </c>
    </row>
    <row r="24" spans="1:6" x14ac:dyDescent="0.2">
      <c r="A24" s="63" t="s">
        <v>366</v>
      </c>
      <c r="B24" s="63">
        <f>COUNTIFS($D$34:$D$134,"electric",$E$34:$E$134,"yes",$I$34:$I$134,"Standard Protocol",$K$34:$K$134,"x")</f>
        <v>1</v>
      </c>
      <c r="C24" s="63">
        <f>COUNTIFS($D$34:$D$134,"electric",$E$34:$E$134,"yes",$I$34:$I$134,"Standard Protocol",$L$34:$L$134,"x")</f>
        <v>0</v>
      </c>
      <c r="D24" s="63">
        <f>COUNTIFS($D$34:$D$134,"electric",$E$34:$E$134,"yes",$I$34:$I$134,"Standard Protocol",$M$34:$M$134,"x")</f>
        <v>1</v>
      </c>
      <c r="E24" s="63">
        <f>COUNTIFS($D$34:$D$134,"electric",$E$34:$E$134,"yes",$I$34:$I$134,"Standard Protocol",$N$34:$N$134,"x")</f>
        <v>0</v>
      </c>
      <c r="F24" s="63">
        <f>COUNTIFS($D$34:$D$134,"electric",$E$34:$E$134,"yes",$I$34:$I$134,"Standard Protocol",$O$34:$O$134,"x")</f>
        <v>1</v>
      </c>
    </row>
    <row r="25" spans="1:6" x14ac:dyDescent="0.2">
      <c r="A25" s="63" t="s">
        <v>294</v>
      </c>
      <c r="B25" s="63">
        <f>COUNTIFS($D$34:$D$134,"dual",$E$34:$E$134,"no",$I$34:$I$134,"UES",$K$34:$K$134,"x")</f>
        <v>5</v>
      </c>
      <c r="C25" s="63">
        <f>COUNTIFS($D$34:$D$134,"dual",$E$34:$E$134,"no",$I$34:$I$134,"UES",$L$34:$L$134,"x")</f>
        <v>3</v>
      </c>
      <c r="D25" s="63">
        <f>COUNTIFS($D$34:$D$134,"dual",$E$34:$E$134,"no",$I$34:$I$134,"UES",$M$34:$M$134,"x")</f>
        <v>7</v>
      </c>
      <c r="E25" s="63">
        <f>COUNTIFS($D$34:$D$134,"dual",$E$34:$E$134,"no",$I$34:$I$134,"UES",$N$34:$N$134,"x")+B15</f>
        <v>7</v>
      </c>
      <c r="F25" s="63">
        <f>COUNTIFS($D$34:$D$134,"dual",$E$34:$E$134,"no",$I$34:$I$134,"UES",$O$34:$O$134,"x")+C15</f>
        <v>4</v>
      </c>
    </row>
    <row r="26" spans="1:6" x14ac:dyDescent="0.2">
      <c r="A26" s="63" t="s">
        <v>293</v>
      </c>
      <c r="B26" s="63">
        <f>COUNTIFS($D$34:$D$134,"dual",$E$34:$E$134,"no",$I$34:$I$134,"Standard Protocol",$K$34:$K$134,"x")</f>
        <v>0</v>
      </c>
      <c r="C26" s="63">
        <f>COUNTIFS($D$34:$D$134,"dual",$E$34:$E$134,"no",$I$34:$I$134,"Standard Protocol",$L$34:$L$134,"x")</f>
        <v>0</v>
      </c>
      <c r="D26" s="63">
        <f>COUNTIFS($D$34:$D$134,"dual",$E$34:$E$134,"no",$I$34:$I$134,"Standard Protocol",$M$34:$M$134,"x")</f>
        <v>1</v>
      </c>
      <c r="E26" s="63">
        <f>COUNTIFS($D$34:$D$134,"dual",$E$34:$E$134,"no",$I$34:$I$134,"Standard Protocol",$N$34:$N$134,"x")</f>
        <v>1</v>
      </c>
      <c r="F26" s="63">
        <f>COUNTIFS($D$34:$D$134,"dual",$E$34:$E$134,"no",$I$34:$I$134,"Standard Protocol",$O$34:$O$134,"x")</f>
        <v>0</v>
      </c>
    </row>
    <row r="27" spans="1:6" x14ac:dyDescent="0.2">
      <c r="A27" s="63" t="s">
        <v>295</v>
      </c>
      <c r="B27" s="63">
        <f>COUNTIFS($D$34:$D$134,"gas",$E$34:$E$134,"no",$I$34:$I$134,"UES",$K$34:$K$134,"x")</f>
        <v>2</v>
      </c>
      <c r="C27" s="63">
        <f>COUNTIFS($D$34:$D$134,"gas",$E$34:$E$134,"no",$I$34:$I$134,"UES",$L$34:$L$134,"x")</f>
        <v>1</v>
      </c>
      <c r="D27" s="63">
        <f>COUNTIFS($D$34:$D$134,"gas",$E$34:$E$134,"no",$I$34:$I$134,"UES",$M$34:$M$134,"x")</f>
        <v>1</v>
      </c>
      <c r="E27" s="63">
        <f>COUNTIFS($D$34:$D$134,"gas",$E$34:$E$134,"no",$I$34:$I$134,"UES",$N$34:$N$134,"x")+B16</f>
        <v>5</v>
      </c>
      <c r="F27" s="63">
        <f>COUNTIFS($D$34:$D$134,"gas",$E$34:$E$134,"no",$I$34:$I$134,"UES",$O$34:$O$134,"x")+C16</f>
        <v>3</v>
      </c>
    </row>
    <row r="28" spans="1:6" x14ac:dyDescent="0.2">
      <c r="A28" s="63" t="s">
        <v>296</v>
      </c>
      <c r="B28" s="63">
        <f>COUNTIFS($D$34:$D$134,"gas",$E$34:$E$134,"no",$I$34:$I$134,"Standard Protocol",$K$34:$K$134,"x")</f>
        <v>1</v>
      </c>
      <c r="C28" s="63">
        <f>COUNTIFS($D$34:$D$134,"gas",$E$34:$E$134,"no",$I$34:$I$134,"Standard Protocol",$L$34:$L$134,"x")</f>
        <v>0</v>
      </c>
      <c r="D28" s="63">
        <f>COUNTIFS($D$34:$D$134,"gas",$E$34:$E$134,"no",$I$34:$I$134,"Standard Protocol",$M$34:$M$134,"x")</f>
        <v>0</v>
      </c>
      <c r="E28" s="63">
        <f>COUNTIFS($D$34:$D$134,"gas",$E$34:$E$134,"no",$I$34:$I$134,"Standard Protocol",$N$34:$N$134,"x")</f>
        <v>0</v>
      </c>
      <c r="F28" s="63">
        <f>COUNTIFS($D$34:$D$134,"gas",$E$34:$E$134,"no",$I$34:$I$134,"Standard Protocol",$O$34:$O$134,"x")</f>
        <v>0</v>
      </c>
    </row>
    <row r="29" spans="1:6" x14ac:dyDescent="0.2">
      <c r="A29" s="63" t="s">
        <v>84</v>
      </c>
      <c r="B29" s="63">
        <f>COUNTIFS($D$34:$D$134,"electric",$E$34:$E$134,"yes",$I$34:$I$134,"DR Technology",$K$34:$K$134,"x")</f>
        <v>0</v>
      </c>
      <c r="C29" s="63">
        <f>COUNTIFS($D$34:$D$134,"electric",$E$34:$E$134,"yes",$I$34:$I$134,"DR Technology",$L$34:$L$134,"x")</f>
        <v>1</v>
      </c>
      <c r="D29" s="63">
        <f>COUNTIFS($D$34:$D$134,"electric",$E$34:$E$134,"yes",$I$34:$I$134,"DR Technology",$M$34:$M$134,"x")</f>
        <v>0</v>
      </c>
      <c r="E29" s="63">
        <f>COUNTIFS($D$34:$D$134,"electric",$E$34:$E$134,"yes",$I$34:$I$134,"DR Technology",$N$34:$N$134,"x")+B18</f>
        <v>1</v>
      </c>
      <c r="F29" s="63">
        <f>COUNTIFS($D$34:$D$134,"electric",$E$34:$E$134,"yes",$I$34:$I$134,"DR Technology",$O$34:$O$134,"x")+C18</f>
        <v>1</v>
      </c>
    </row>
    <row r="30" spans="1:6" x14ac:dyDescent="0.2">
      <c r="A30" s="63" t="s">
        <v>372</v>
      </c>
      <c r="B30" s="63">
        <f>COUNTIFS($D$34:$D$134,"dual",$E$34:$E$134,"no",$I$34:$I$134,"guidance document",$K$34:$K$134,"x")</f>
        <v>1</v>
      </c>
      <c r="C30" s="63">
        <f>COUNTIFS($D$34:$D$134,"dual",$E$34:$E$134,"no",$I$34:$I$134,"guidance document",$L$34:$L$134,"x")</f>
        <v>0</v>
      </c>
      <c r="D30" s="63">
        <f>COUNTIFS($D$34:$D$134,"dual",$E$34:$E$134,"no",$I$34:$I$134,"guidance document",$M$34:$M$134,"x")</f>
        <v>0</v>
      </c>
      <c r="E30" s="63">
        <f>COUNTIFS($D$34:$D$134,"dual",$E$34:$E$134,"no",$I$34:$I$134,"guidance document",$N$34:$N$134,"x")+B17</f>
        <v>2</v>
      </c>
      <c r="F30" s="63">
        <f>COUNTIFS($D$34:$D$134,"dual",$E$34:$E$134,"no",$I$34:$I$134,"guidance document",$O$34:$O$134,"x")</f>
        <v>1</v>
      </c>
    </row>
    <row r="32" spans="1:6" x14ac:dyDescent="0.2">
      <c r="A32" s="63" t="s">
        <v>502</v>
      </c>
      <c r="B32" s="63">
        <f>SUM(B12:B18,B21:B30)</f>
        <v>32</v>
      </c>
      <c r="C32" s="63">
        <f t="shared" ref="C32:F32" si="0">SUM(C12:C18,C21:C30)</f>
        <v>34</v>
      </c>
      <c r="D32" s="63">
        <f t="shared" si="0"/>
        <v>36</v>
      </c>
      <c r="E32" s="63">
        <f t="shared" si="0"/>
        <v>37</v>
      </c>
      <c r="F32" s="63">
        <f t="shared" si="0"/>
        <v>35</v>
      </c>
    </row>
    <row r="34" spans="1:16" s="92" customFormat="1" ht="15.75" x14ac:dyDescent="0.25">
      <c r="A34" s="89" t="s">
        <v>354</v>
      </c>
      <c r="B34" s="89" t="s">
        <v>355</v>
      </c>
      <c r="C34" s="89" t="s">
        <v>356</v>
      </c>
      <c r="D34" s="89" t="s">
        <v>357</v>
      </c>
      <c r="E34" s="89" t="s">
        <v>358</v>
      </c>
      <c r="F34" s="89" t="s">
        <v>237</v>
      </c>
      <c r="G34" s="89" t="s">
        <v>359</v>
      </c>
      <c r="H34" s="89" t="s">
        <v>0</v>
      </c>
      <c r="I34" s="89" t="s">
        <v>360</v>
      </c>
      <c r="J34" s="89" t="s">
        <v>1</v>
      </c>
      <c r="K34" s="91">
        <v>2025</v>
      </c>
      <c r="L34" s="91">
        <v>2026</v>
      </c>
      <c r="M34" s="91">
        <v>2027</v>
      </c>
      <c r="N34" s="91">
        <v>2028</v>
      </c>
      <c r="O34" s="91">
        <v>2029</v>
      </c>
      <c r="P34" s="89" t="s">
        <v>2</v>
      </c>
    </row>
    <row r="35" spans="1:16" s="92" customFormat="1" ht="15.75" hidden="1" x14ac:dyDescent="0.25">
      <c r="A35" s="93" t="s">
        <v>3</v>
      </c>
      <c r="B35" s="94" t="s">
        <v>4</v>
      </c>
      <c r="C35" s="94" t="s">
        <v>5</v>
      </c>
      <c r="D35" s="94" t="s">
        <v>6</v>
      </c>
      <c r="E35" s="94" t="s">
        <v>337</v>
      </c>
      <c r="F35" s="94" t="s">
        <v>7</v>
      </c>
      <c r="G35" s="94" t="s">
        <v>8</v>
      </c>
      <c r="H35" s="95" t="s">
        <v>9</v>
      </c>
      <c r="I35" s="94" t="s">
        <v>10</v>
      </c>
      <c r="J35" s="96">
        <v>45382</v>
      </c>
      <c r="K35" s="97"/>
      <c r="L35" s="97"/>
      <c r="M35" s="97" t="s">
        <v>11</v>
      </c>
      <c r="N35" s="97"/>
      <c r="O35" s="97"/>
      <c r="P35" s="92" t="s">
        <v>12</v>
      </c>
    </row>
    <row r="36" spans="1:16" s="92" customFormat="1" ht="15.75" hidden="1" x14ac:dyDescent="0.25">
      <c r="A36" s="93" t="s">
        <v>13</v>
      </c>
      <c r="B36" s="94" t="s">
        <v>14</v>
      </c>
      <c r="C36" s="94" t="s">
        <v>15</v>
      </c>
      <c r="D36" s="94" t="s">
        <v>347</v>
      </c>
      <c r="E36" s="94" t="s">
        <v>337</v>
      </c>
      <c r="F36" s="94" t="s">
        <v>16</v>
      </c>
      <c r="G36" s="94" t="s">
        <v>8</v>
      </c>
      <c r="H36" s="95" t="s">
        <v>17</v>
      </c>
      <c r="I36" s="94" t="s">
        <v>10</v>
      </c>
      <c r="J36" s="96">
        <v>45443</v>
      </c>
      <c r="K36" s="97"/>
      <c r="L36" s="97"/>
      <c r="M36" s="97" t="s">
        <v>11</v>
      </c>
      <c r="N36" s="97"/>
      <c r="O36" s="97"/>
      <c r="P36" s="92" t="s">
        <v>12</v>
      </c>
    </row>
    <row r="37" spans="1:16" s="92" customFormat="1" ht="15.75" hidden="1" x14ac:dyDescent="0.25">
      <c r="A37" s="93" t="s">
        <v>18</v>
      </c>
      <c r="B37" s="94" t="s">
        <v>14</v>
      </c>
      <c r="C37" s="94" t="s">
        <v>15</v>
      </c>
      <c r="D37" s="94" t="s">
        <v>347</v>
      </c>
      <c r="E37" s="94" t="s">
        <v>337</v>
      </c>
      <c r="F37" s="94" t="s">
        <v>16</v>
      </c>
      <c r="G37" s="94" t="s">
        <v>8</v>
      </c>
      <c r="H37" s="95" t="s">
        <v>19</v>
      </c>
      <c r="I37" s="94" t="s">
        <v>10</v>
      </c>
      <c r="J37" s="96">
        <v>45443</v>
      </c>
      <c r="K37" s="97"/>
      <c r="L37" s="97"/>
      <c r="M37" s="97" t="s">
        <v>11</v>
      </c>
      <c r="N37" s="97"/>
      <c r="O37" s="97"/>
      <c r="P37" s="92" t="s">
        <v>12</v>
      </c>
    </row>
    <row r="38" spans="1:16" s="92" customFormat="1" ht="15.75" hidden="1" x14ac:dyDescent="0.25">
      <c r="A38" s="93" t="s">
        <v>20</v>
      </c>
      <c r="B38" s="94" t="s">
        <v>14</v>
      </c>
      <c r="C38" s="94" t="s">
        <v>15</v>
      </c>
      <c r="D38" s="94" t="s">
        <v>21</v>
      </c>
      <c r="E38" s="94" t="s">
        <v>337</v>
      </c>
      <c r="F38" s="94" t="s">
        <v>16</v>
      </c>
      <c r="G38" s="94" t="s">
        <v>8</v>
      </c>
      <c r="H38" s="95" t="s">
        <v>19</v>
      </c>
      <c r="I38" s="94" t="s">
        <v>10</v>
      </c>
      <c r="J38" s="96">
        <v>45443</v>
      </c>
      <c r="K38" s="97"/>
      <c r="L38" s="97"/>
      <c r="M38" s="97" t="s">
        <v>11</v>
      </c>
      <c r="N38" s="97"/>
      <c r="O38" s="97"/>
      <c r="P38" s="92" t="s">
        <v>12</v>
      </c>
    </row>
    <row r="39" spans="1:16" s="92" customFormat="1" ht="15.75" hidden="1" x14ac:dyDescent="0.25">
      <c r="A39" s="93" t="s">
        <v>22</v>
      </c>
      <c r="B39" s="94" t="s">
        <v>14</v>
      </c>
      <c r="C39" s="94" t="s">
        <v>15</v>
      </c>
      <c r="D39" s="94" t="s">
        <v>347</v>
      </c>
      <c r="E39" s="94" t="s">
        <v>337</v>
      </c>
      <c r="F39" s="94" t="s">
        <v>23</v>
      </c>
      <c r="G39" s="94" t="s">
        <v>8</v>
      </c>
      <c r="H39" s="95" t="s">
        <v>24</v>
      </c>
      <c r="I39" s="94" t="s">
        <v>10</v>
      </c>
      <c r="J39" s="96">
        <v>45443</v>
      </c>
      <c r="K39" s="97"/>
      <c r="L39" s="97"/>
      <c r="M39" s="97" t="s">
        <v>11</v>
      </c>
      <c r="N39" s="97"/>
      <c r="O39" s="97"/>
      <c r="P39" s="92" t="s">
        <v>12</v>
      </c>
    </row>
    <row r="40" spans="1:16" s="92" customFormat="1" ht="15.75" hidden="1" x14ac:dyDescent="0.25">
      <c r="A40" s="93" t="s">
        <v>25</v>
      </c>
      <c r="B40" s="94" t="s">
        <v>14</v>
      </c>
      <c r="C40" s="94" t="s">
        <v>15</v>
      </c>
      <c r="D40" s="94" t="s">
        <v>347</v>
      </c>
      <c r="E40" s="94" t="s">
        <v>337</v>
      </c>
      <c r="F40" s="94" t="s">
        <v>26</v>
      </c>
      <c r="G40" s="94" t="s">
        <v>8</v>
      </c>
      <c r="H40" s="95" t="s">
        <v>24</v>
      </c>
      <c r="I40" s="94" t="s">
        <v>10</v>
      </c>
      <c r="J40" s="96">
        <v>45443</v>
      </c>
      <c r="K40" s="97"/>
      <c r="L40" s="97"/>
      <c r="M40" s="97" t="s">
        <v>11</v>
      </c>
      <c r="N40" s="97"/>
      <c r="O40" s="97"/>
      <c r="P40" s="92" t="s">
        <v>12</v>
      </c>
    </row>
    <row r="41" spans="1:16" s="92" customFormat="1" ht="15.75" hidden="1" x14ac:dyDescent="0.25">
      <c r="A41" s="93" t="s">
        <v>27</v>
      </c>
      <c r="B41" s="94" t="s">
        <v>14</v>
      </c>
      <c r="C41" s="94" t="s">
        <v>15</v>
      </c>
      <c r="D41" s="94" t="s">
        <v>347</v>
      </c>
      <c r="E41" s="94" t="s">
        <v>337</v>
      </c>
      <c r="F41" s="94" t="s">
        <v>23</v>
      </c>
      <c r="G41" s="94" t="s">
        <v>8</v>
      </c>
      <c r="H41" s="95" t="s">
        <v>24</v>
      </c>
      <c r="I41" s="94" t="s">
        <v>10</v>
      </c>
      <c r="J41" s="96">
        <v>45443</v>
      </c>
      <c r="K41" s="97"/>
      <c r="L41" s="97"/>
      <c r="M41" s="97" t="s">
        <v>11</v>
      </c>
      <c r="N41" s="97"/>
      <c r="O41" s="97"/>
      <c r="P41" s="92" t="s">
        <v>12</v>
      </c>
    </row>
    <row r="42" spans="1:16" s="92" customFormat="1" ht="15.75" hidden="1" x14ac:dyDescent="0.25">
      <c r="A42" s="93" t="s">
        <v>28</v>
      </c>
      <c r="B42" s="94" t="s">
        <v>14</v>
      </c>
      <c r="C42" s="94" t="s">
        <v>15</v>
      </c>
      <c r="D42" s="94" t="s">
        <v>6</v>
      </c>
      <c r="E42" s="94" t="s">
        <v>337</v>
      </c>
      <c r="F42" s="94" t="s">
        <v>23</v>
      </c>
      <c r="G42" s="94" t="s">
        <v>8</v>
      </c>
      <c r="H42" s="95" t="s">
        <v>24</v>
      </c>
      <c r="I42" s="94" t="s">
        <v>10</v>
      </c>
      <c r="J42" s="96">
        <v>45443</v>
      </c>
      <c r="K42" s="97"/>
      <c r="L42" s="97"/>
      <c r="M42" s="97" t="s">
        <v>11</v>
      </c>
      <c r="N42" s="97"/>
      <c r="O42" s="97"/>
      <c r="P42" s="92" t="s">
        <v>12</v>
      </c>
    </row>
    <row r="43" spans="1:16" s="92" customFormat="1" ht="15.75" hidden="1" x14ac:dyDescent="0.25">
      <c r="A43" s="93" t="s">
        <v>29</v>
      </c>
      <c r="B43" s="94" t="s">
        <v>14</v>
      </c>
      <c r="C43" s="94" t="s">
        <v>30</v>
      </c>
      <c r="D43" s="94" t="s">
        <v>6</v>
      </c>
      <c r="E43" s="94" t="s">
        <v>337</v>
      </c>
      <c r="F43" s="94" t="s">
        <v>23</v>
      </c>
      <c r="G43" s="94" t="s">
        <v>8</v>
      </c>
      <c r="H43" s="95" t="s">
        <v>31</v>
      </c>
      <c r="I43" s="94" t="s">
        <v>10</v>
      </c>
      <c r="J43" s="96">
        <v>45503</v>
      </c>
      <c r="K43" s="97"/>
      <c r="L43" s="97"/>
      <c r="M43" s="97" t="s">
        <v>11</v>
      </c>
      <c r="N43" s="97"/>
      <c r="O43" s="97"/>
      <c r="P43" s="92" t="s">
        <v>12</v>
      </c>
    </row>
    <row r="44" spans="1:16" s="92" customFormat="1" ht="15.75" hidden="1" x14ac:dyDescent="0.25">
      <c r="A44" s="93" t="s">
        <v>32</v>
      </c>
      <c r="B44" s="94" t="s">
        <v>14</v>
      </c>
      <c r="C44" s="94" t="s">
        <v>30</v>
      </c>
      <c r="D44" s="94" t="s">
        <v>6</v>
      </c>
      <c r="E44" s="94" t="s">
        <v>337</v>
      </c>
      <c r="F44" s="94" t="s">
        <v>16</v>
      </c>
      <c r="G44" s="94" t="s">
        <v>8</v>
      </c>
      <c r="H44" s="95" t="s">
        <v>33</v>
      </c>
      <c r="I44" s="94" t="s">
        <v>10</v>
      </c>
      <c r="J44" s="96">
        <v>45503</v>
      </c>
      <c r="K44" s="97"/>
      <c r="L44" s="97"/>
      <c r="M44" s="97"/>
      <c r="N44" s="97"/>
      <c r="O44" s="97" t="s">
        <v>11</v>
      </c>
      <c r="P44" s="92" t="s">
        <v>12</v>
      </c>
    </row>
    <row r="45" spans="1:16" s="92" customFormat="1" ht="15.75" hidden="1" x14ac:dyDescent="0.25">
      <c r="A45" s="93" t="s">
        <v>34</v>
      </c>
      <c r="B45" s="94" t="s">
        <v>14</v>
      </c>
      <c r="C45" s="94" t="s">
        <v>30</v>
      </c>
      <c r="D45" s="94" t="s">
        <v>6</v>
      </c>
      <c r="E45" s="94" t="s">
        <v>337</v>
      </c>
      <c r="F45" s="94" t="s">
        <v>16</v>
      </c>
      <c r="G45" s="94" t="s">
        <v>8</v>
      </c>
      <c r="H45" s="95" t="s">
        <v>33</v>
      </c>
      <c r="I45" s="94" t="s">
        <v>10</v>
      </c>
      <c r="J45" s="96">
        <v>45503</v>
      </c>
      <c r="K45" s="97"/>
      <c r="L45" s="97"/>
      <c r="M45" s="97"/>
      <c r="N45" s="97"/>
      <c r="O45" s="97" t="s">
        <v>11</v>
      </c>
      <c r="P45" s="92" t="s">
        <v>12</v>
      </c>
    </row>
    <row r="46" spans="1:16" s="92" customFormat="1" ht="15.75" hidden="1" x14ac:dyDescent="0.25">
      <c r="A46" s="93" t="s">
        <v>35</v>
      </c>
      <c r="B46" s="94" t="s">
        <v>4</v>
      </c>
      <c r="C46" s="94" t="s">
        <v>36</v>
      </c>
      <c r="D46" s="94" t="s">
        <v>21</v>
      </c>
      <c r="E46" s="94" t="s">
        <v>337</v>
      </c>
      <c r="F46" s="94" t="s">
        <v>7</v>
      </c>
      <c r="G46" s="94" t="s">
        <v>8</v>
      </c>
      <c r="H46" s="95" t="s">
        <v>24</v>
      </c>
      <c r="I46" s="94" t="s">
        <v>10</v>
      </c>
      <c r="J46" s="96">
        <v>45504</v>
      </c>
      <c r="K46" s="97"/>
      <c r="L46" s="97"/>
      <c r="M46" s="97"/>
      <c r="N46" s="97" t="s">
        <v>11</v>
      </c>
      <c r="O46" s="97"/>
      <c r="P46" s="92" t="s">
        <v>12</v>
      </c>
    </row>
    <row r="47" spans="1:16" s="92" customFormat="1" ht="15.75" hidden="1" x14ac:dyDescent="0.25">
      <c r="A47" s="98" t="s">
        <v>37</v>
      </c>
      <c r="B47" s="94" t="s">
        <v>38</v>
      </c>
      <c r="C47" s="94" t="s">
        <v>39</v>
      </c>
      <c r="D47" s="94" t="s">
        <v>347</v>
      </c>
      <c r="E47" s="94" t="s">
        <v>337</v>
      </c>
      <c r="F47" s="94"/>
      <c r="G47" s="94" t="s">
        <v>8</v>
      </c>
      <c r="H47" s="95" t="s">
        <v>24</v>
      </c>
      <c r="I47" s="94" t="s">
        <v>336</v>
      </c>
      <c r="J47" s="96">
        <v>45504</v>
      </c>
      <c r="K47" s="97"/>
      <c r="L47" s="97"/>
      <c r="M47" s="97"/>
      <c r="N47" s="97"/>
      <c r="O47" s="97" t="s">
        <v>11</v>
      </c>
      <c r="P47" s="92" t="s">
        <v>12</v>
      </c>
    </row>
    <row r="48" spans="1:16" s="92" customFormat="1" ht="15.75" hidden="1" x14ac:dyDescent="0.25">
      <c r="A48" s="93" t="s">
        <v>40</v>
      </c>
      <c r="B48" s="94" t="s">
        <v>41</v>
      </c>
      <c r="C48" s="94" t="s">
        <v>42</v>
      </c>
      <c r="D48" s="94" t="s">
        <v>6</v>
      </c>
      <c r="E48" s="94" t="s">
        <v>337</v>
      </c>
      <c r="F48" s="94" t="s">
        <v>16</v>
      </c>
      <c r="G48" s="94" t="s">
        <v>8</v>
      </c>
      <c r="H48" s="95" t="s">
        <v>43</v>
      </c>
      <c r="I48" s="94" t="s">
        <v>10</v>
      </c>
      <c r="J48" s="96">
        <v>45535</v>
      </c>
      <c r="K48" s="97"/>
      <c r="L48" s="97"/>
      <c r="M48" s="97"/>
      <c r="N48" s="97"/>
      <c r="O48" s="97" t="s">
        <v>11</v>
      </c>
      <c r="P48" s="92" t="s">
        <v>12</v>
      </c>
    </row>
    <row r="49" spans="1:16" s="92" customFormat="1" ht="15.75" x14ac:dyDescent="0.25">
      <c r="A49" s="93" t="s">
        <v>44</v>
      </c>
      <c r="B49" s="94" t="s">
        <v>14</v>
      </c>
      <c r="C49" s="94" t="s">
        <v>36</v>
      </c>
      <c r="D49" s="94" t="s">
        <v>6</v>
      </c>
      <c r="E49" s="94" t="s">
        <v>338</v>
      </c>
      <c r="F49" s="94" t="s">
        <v>23</v>
      </c>
      <c r="G49" s="94" t="s">
        <v>8</v>
      </c>
      <c r="H49" s="95" t="s">
        <v>45</v>
      </c>
      <c r="I49" s="94" t="s">
        <v>10</v>
      </c>
      <c r="J49" s="96">
        <v>45535</v>
      </c>
      <c r="K49" s="97"/>
      <c r="L49" s="97" t="s">
        <v>11</v>
      </c>
      <c r="M49" s="97"/>
      <c r="N49" s="97"/>
      <c r="O49" s="97"/>
      <c r="P49" s="92" t="s">
        <v>12</v>
      </c>
    </row>
    <row r="50" spans="1:16" s="92" customFormat="1" ht="15.75" x14ac:dyDescent="0.25">
      <c r="A50" s="93" t="s">
        <v>46</v>
      </c>
      <c r="B50" s="94" t="s">
        <v>4</v>
      </c>
      <c r="C50" s="94" t="s">
        <v>36</v>
      </c>
      <c r="D50" s="94" t="s">
        <v>6</v>
      </c>
      <c r="E50" s="94" t="s">
        <v>338</v>
      </c>
      <c r="F50" s="94" t="s">
        <v>47</v>
      </c>
      <c r="G50" s="94" t="s">
        <v>48</v>
      </c>
      <c r="H50" s="99" t="s">
        <v>205</v>
      </c>
      <c r="I50" s="94" t="s">
        <v>10</v>
      </c>
      <c r="J50" s="96">
        <v>45565</v>
      </c>
      <c r="K50" s="97"/>
      <c r="L50" s="97"/>
      <c r="M50" s="97" t="s">
        <v>11</v>
      </c>
      <c r="N50" s="97"/>
      <c r="O50" s="97"/>
      <c r="P50" s="92" t="s">
        <v>12</v>
      </c>
    </row>
    <row r="51" spans="1:16" s="92" customFormat="1" ht="15.75" x14ac:dyDescent="0.25">
      <c r="A51" s="93" t="s">
        <v>49</v>
      </c>
      <c r="B51" s="94" t="s">
        <v>4</v>
      </c>
      <c r="C51" s="94" t="s">
        <v>36</v>
      </c>
      <c r="D51" s="94" t="s">
        <v>6</v>
      </c>
      <c r="E51" s="94" t="s">
        <v>338</v>
      </c>
      <c r="F51" s="94" t="s">
        <v>47</v>
      </c>
      <c r="G51" s="94" t="s">
        <v>48</v>
      </c>
      <c r="H51" s="99" t="s">
        <v>205</v>
      </c>
      <c r="I51" s="94" t="s">
        <v>10</v>
      </c>
      <c r="J51" s="96">
        <v>45565</v>
      </c>
      <c r="K51" s="97"/>
      <c r="L51" s="97"/>
      <c r="M51" s="97" t="s">
        <v>11</v>
      </c>
      <c r="N51" s="97"/>
      <c r="O51" s="97"/>
      <c r="P51" s="92" t="s">
        <v>12</v>
      </c>
    </row>
    <row r="52" spans="1:16" s="92" customFormat="1" ht="15.75" x14ac:dyDescent="0.25">
      <c r="A52" s="93" t="s">
        <v>50</v>
      </c>
      <c r="B52" s="94" t="s">
        <v>4</v>
      </c>
      <c r="C52" s="94" t="s">
        <v>36</v>
      </c>
      <c r="D52" s="94" t="s">
        <v>6</v>
      </c>
      <c r="E52" s="94" t="s">
        <v>338</v>
      </c>
      <c r="F52" s="94" t="s">
        <v>23</v>
      </c>
      <c r="G52" s="94" t="s">
        <v>8</v>
      </c>
      <c r="H52" s="95" t="s">
        <v>51</v>
      </c>
      <c r="I52" s="94" t="s">
        <v>10</v>
      </c>
      <c r="J52" s="96">
        <v>45565</v>
      </c>
      <c r="K52" s="97"/>
      <c r="L52" s="97"/>
      <c r="M52" s="97" t="s">
        <v>11</v>
      </c>
      <c r="N52" s="97"/>
      <c r="O52" s="97"/>
      <c r="P52" s="92" t="s">
        <v>12</v>
      </c>
    </row>
    <row r="53" spans="1:16" s="92" customFormat="1" ht="15.75" hidden="1" x14ac:dyDescent="0.25">
      <c r="A53" s="93" t="s">
        <v>52</v>
      </c>
      <c r="B53" s="94" t="s">
        <v>4</v>
      </c>
      <c r="C53" s="94" t="s">
        <v>53</v>
      </c>
      <c r="D53" s="94" t="s">
        <v>347</v>
      </c>
      <c r="E53" s="94" t="s">
        <v>337</v>
      </c>
      <c r="F53" s="94"/>
      <c r="G53" s="94" t="s">
        <v>8</v>
      </c>
      <c r="H53" s="95" t="s">
        <v>54</v>
      </c>
      <c r="I53" s="94" t="s">
        <v>55</v>
      </c>
      <c r="J53" s="96">
        <v>45565</v>
      </c>
      <c r="K53" s="97"/>
      <c r="L53" s="97"/>
      <c r="M53" s="97"/>
      <c r="N53" s="97" t="s">
        <v>11</v>
      </c>
      <c r="O53" s="97"/>
      <c r="P53" s="92" t="s">
        <v>12</v>
      </c>
    </row>
    <row r="54" spans="1:16" s="92" customFormat="1" ht="15.75" x14ac:dyDescent="0.25">
      <c r="A54" s="93" t="s">
        <v>56</v>
      </c>
      <c r="B54" s="94" t="s">
        <v>4</v>
      </c>
      <c r="C54" s="94" t="s">
        <v>36</v>
      </c>
      <c r="D54" s="94" t="s">
        <v>6</v>
      </c>
      <c r="E54" s="94" t="s">
        <v>338</v>
      </c>
      <c r="F54" s="94" t="s">
        <v>47</v>
      </c>
      <c r="G54" s="94" t="s">
        <v>8</v>
      </c>
      <c r="H54" s="95" t="s">
        <v>57</v>
      </c>
      <c r="I54" s="94" t="s">
        <v>10</v>
      </c>
      <c r="J54" s="96">
        <v>45565</v>
      </c>
      <c r="K54" s="97"/>
      <c r="L54" s="97"/>
      <c r="M54" s="97" t="s">
        <v>11</v>
      </c>
      <c r="N54" s="97"/>
      <c r="O54" s="97"/>
      <c r="P54" s="92" t="s">
        <v>12</v>
      </c>
    </row>
    <row r="55" spans="1:16" s="92" customFormat="1" ht="15.75" x14ac:dyDescent="0.25">
      <c r="A55" s="93" t="s">
        <v>58</v>
      </c>
      <c r="B55" s="94" t="s">
        <v>4</v>
      </c>
      <c r="C55" s="94" t="s">
        <v>36</v>
      </c>
      <c r="D55" s="94" t="s">
        <v>6</v>
      </c>
      <c r="E55" s="94" t="s">
        <v>338</v>
      </c>
      <c r="F55" s="94" t="s">
        <v>23</v>
      </c>
      <c r="G55" s="94" t="s">
        <v>8</v>
      </c>
      <c r="H55" s="95" t="s">
        <v>57</v>
      </c>
      <c r="I55" s="94" t="s">
        <v>10</v>
      </c>
      <c r="J55" s="96">
        <v>45565</v>
      </c>
      <c r="K55" s="97"/>
      <c r="L55" s="97"/>
      <c r="M55" s="97" t="s">
        <v>11</v>
      </c>
      <c r="N55" s="97"/>
      <c r="O55" s="97"/>
      <c r="P55" s="92" t="s">
        <v>12</v>
      </c>
    </row>
    <row r="56" spans="1:16" s="92" customFormat="1" ht="15.75" hidden="1" x14ac:dyDescent="0.25">
      <c r="A56" s="93" t="s">
        <v>59</v>
      </c>
      <c r="B56" s="94" t="s">
        <v>14</v>
      </c>
      <c r="C56" s="94" t="s">
        <v>60</v>
      </c>
      <c r="D56" s="94" t="s">
        <v>6</v>
      </c>
      <c r="E56" s="94" t="s">
        <v>337</v>
      </c>
      <c r="F56" s="94" t="s">
        <v>23</v>
      </c>
      <c r="G56" s="94" t="s">
        <v>8</v>
      </c>
      <c r="H56" s="95" t="s">
        <v>61</v>
      </c>
      <c r="I56" s="94" t="s">
        <v>10</v>
      </c>
      <c r="J56" s="96">
        <v>45595</v>
      </c>
      <c r="K56" s="97"/>
      <c r="L56" s="97"/>
      <c r="M56" s="97" t="s">
        <v>11</v>
      </c>
      <c r="N56" s="97"/>
      <c r="O56" s="97"/>
      <c r="P56" s="92" t="s">
        <v>12</v>
      </c>
    </row>
    <row r="57" spans="1:16" s="92" customFormat="1" ht="15.75" hidden="1" x14ac:dyDescent="0.25">
      <c r="A57" s="93" t="s">
        <v>62</v>
      </c>
      <c r="B57" s="94" t="s">
        <v>4</v>
      </c>
      <c r="C57" s="94" t="s">
        <v>5</v>
      </c>
      <c r="D57" s="94" t="s">
        <v>6</v>
      </c>
      <c r="E57" s="94" t="s">
        <v>337</v>
      </c>
      <c r="F57" s="94" t="s">
        <v>23</v>
      </c>
      <c r="G57" s="94" t="s">
        <v>8</v>
      </c>
      <c r="H57" s="95" t="s">
        <v>61</v>
      </c>
      <c r="I57" s="94" t="s">
        <v>10</v>
      </c>
      <c r="J57" s="96">
        <v>45596</v>
      </c>
      <c r="K57" s="97"/>
      <c r="L57" s="97"/>
      <c r="M57" s="97" t="s">
        <v>11</v>
      </c>
      <c r="N57" s="97"/>
      <c r="O57" s="97"/>
      <c r="P57" s="92" t="s">
        <v>12</v>
      </c>
    </row>
    <row r="58" spans="1:16" s="92" customFormat="1" ht="15.75" hidden="1" x14ac:dyDescent="0.25">
      <c r="A58" s="93" t="s">
        <v>63</v>
      </c>
      <c r="B58" s="94" t="s">
        <v>14</v>
      </c>
      <c r="C58" s="94" t="s">
        <v>30</v>
      </c>
      <c r="D58" s="94" t="s">
        <v>6</v>
      </c>
      <c r="E58" s="94" t="s">
        <v>337</v>
      </c>
      <c r="F58" s="94" t="s">
        <v>23</v>
      </c>
      <c r="G58" s="94" t="s">
        <v>8</v>
      </c>
      <c r="H58" s="95" t="s">
        <v>61</v>
      </c>
      <c r="I58" s="94" t="s">
        <v>10</v>
      </c>
      <c r="J58" s="96">
        <v>45596</v>
      </c>
      <c r="K58" s="97"/>
      <c r="L58" s="97"/>
      <c r="M58" s="97" t="s">
        <v>11</v>
      </c>
      <c r="N58" s="97"/>
      <c r="O58" s="97"/>
      <c r="P58" s="92" t="s">
        <v>12</v>
      </c>
    </row>
    <row r="59" spans="1:16" s="92" customFormat="1" ht="15.75" x14ac:dyDescent="0.25">
      <c r="A59" s="93" t="s">
        <v>64</v>
      </c>
      <c r="B59" s="94" t="s">
        <v>4</v>
      </c>
      <c r="C59" s="94" t="s">
        <v>36</v>
      </c>
      <c r="D59" s="94" t="s">
        <v>6</v>
      </c>
      <c r="E59" s="94" t="s">
        <v>338</v>
      </c>
      <c r="F59" s="94" t="s">
        <v>16</v>
      </c>
      <c r="G59" s="94" t="s">
        <v>8</v>
      </c>
      <c r="H59" s="95" t="s">
        <v>65</v>
      </c>
      <c r="I59" s="94" t="s">
        <v>10</v>
      </c>
      <c r="J59" s="96">
        <v>45596</v>
      </c>
      <c r="K59" s="97"/>
      <c r="L59" s="97"/>
      <c r="M59" s="97"/>
      <c r="N59" s="97"/>
      <c r="O59" s="97"/>
      <c r="P59" s="92" t="s">
        <v>503</v>
      </c>
    </row>
    <row r="60" spans="1:16" s="92" customFormat="1" ht="15.75" x14ac:dyDescent="0.25">
      <c r="A60" s="93" t="s">
        <v>66</v>
      </c>
      <c r="B60" s="94" t="s">
        <v>4</v>
      </c>
      <c r="C60" s="94" t="s">
        <v>36</v>
      </c>
      <c r="D60" s="94" t="s">
        <v>6</v>
      </c>
      <c r="E60" s="94" t="s">
        <v>338</v>
      </c>
      <c r="F60" s="94" t="s">
        <v>7</v>
      </c>
      <c r="G60" s="94" t="s">
        <v>8</v>
      </c>
      <c r="H60" s="95" t="s">
        <v>65</v>
      </c>
      <c r="I60" s="94" t="s">
        <v>10</v>
      </c>
      <c r="J60" s="96">
        <v>45596</v>
      </c>
      <c r="K60" s="97"/>
      <c r="L60" s="97"/>
      <c r="M60" s="97" t="s">
        <v>11</v>
      </c>
      <c r="N60" s="97"/>
      <c r="O60" s="97"/>
      <c r="P60" s="92" t="s">
        <v>12</v>
      </c>
    </row>
    <row r="61" spans="1:16" s="92" customFormat="1" ht="15.75" hidden="1" x14ac:dyDescent="0.25">
      <c r="A61" s="93" t="s">
        <v>67</v>
      </c>
      <c r="B61" s="94" t="s">
        <v>4</v>
      </c>
      <c r="C61" s="94" t="s">
        <v>53</v>
      </c>
      <c r="D61" s="94" t="s">
        <v>347</v>
      </c>
      <c r="E61" s="94" t="s">
        <v>337</v>
      </c>
      <c r="F61" s="94" t="s">
        <v>23</v>
      </c>
      <c r="G61" s="94" t="s">
        <v>48</v>
      </c>
      <c r="H61" s="95" t="s">
        <v>68</v>
      </c>
      <c r="I61" s="94" t="s">
        <v>10</v>
      </c>
      <c r="J61" s="96">
        <v>45626</v>
      </c>
      <c r="K61" s="97"/>
      <c r="L61" s="97"/>
      <c r="M61" s="97"/>
      <c r="N61" s="97" t="s">
        <v>11</v>
      </c>
      <c r="O61" s="97"/>
      <c r="P61" s="92" t="s">
        <v>12</v>
      </c>
    </row>
    <row r="62" spans="1:16" s="92" customFormat="1" ht="15.75" x14ac:dyDescent="0.25">
      <c r="A62" s="93" t="s">
        <v>69</v>
      </c>
      <c r="B62" s="94" t="s">
        <v>14</v>
      </c>
      <c r="C62" s="94" t="s">
        <v>70</v>
      </c>
      <c r="D62" s="94" t="s">
        <v>6</v>
      </c>
      <c r="E62" s="94" t="s">
        <v>338</v>
      </c>
      <c r="F62" s="94" t="s">
        <v>23</v>
      </c>
      <c r="G62" s="94" t="s">
        <v>8</v>
      </c>
      <c r="H62" s="95" t="s">
        <v>71</v>
      </c>
      <c r="I62" s="94" t="s">
        <v>10</v>
      </c>
      <c r="J62" s="96">
        <v>45657</v>
      </c>
      <c r="K62" s="97"/>
      <c r="L62" s="97" t="s">
        <v>11</v>
      </c>
      <c r="M62" s="97"/>
      <c r="N62" s="97"/>
      <c r="O62" s="97" t="s">
        <v>11</v>
      </c>
      <c r="P62" s="92" t="s">
        <v>72</v>
      </c>
    </row>
    <row r="63" spans="1:16" s="92" customFormat="1" ht="15.75" x14ac:dyDescent="0.25">
      <c r="A63" s="93" t="s">
        <v>73</v>
      </c>
      <c r="B63" s="94" t="s">
        <v>4</v>
      </c>
      <c r="C63" s="94" t="s">
        <v>70</v>
      </c>
      <c r="D63" s="94" t="s">
        <v>6</v>
      </c>
      <c r="E63" s="94" t="s">
        <v>338</v>
      </c>
      <c r="F63" s="94" t="s">
        <v>47</v>
      </c>
      <c r="G63" s="94" t="s">
        <v>8</v>
      </c>
      <c r="H63" s="95" t="s">
        <v>74</v>
      </c>
      <c r="I63" s="94" t="s">
        <v>10</v>
      </c>
      <c r="J63" s="96">
        <v>45657</v>
      </c>
      <c r="K63" s="97"/>
      <c r="L63" s="97" t="s">
        <v>11</v>
      </c>
      <c r="M63" s="97"/>
      <c r="N63" s="97"/>
      <c r="O63" s="97" t="s">
        <v>11</v>
      </c>
      <c r="P63" s="92" t="s">
        <v>72</v>
      </c>
    </row>
    <row r="64" spans="1:16" s="92" customFormat="1" ht="15.75" hidden="1" x14ac:dyDescent="0.25">
      <c r="A64" s="93" t="s">
        <v>75</v>
      </c>
      <c r="B64" s="94" t="s">
        <v>76</v>
      </c>
      <c r="C64" s="94" t="s">
        <v>77</v>
      </c>
      <c r="D64" s="94" t="s">
        <v>6</v>
      </c>
      <c r="E64" s="94" t="s">
        <v>337</v>
      </c>
      <c r="F64" s="94" t="s">
        <v>7</v>
      </c>
      <c r="G64" s="94" t="s">
        <v>8</v>
      </c>
      <c r="H64" s="95" t="s">
        <v>78</v>
      </c>
      <c r="I64" s="94" t="s">
        <v>10</v>
      </c>
      <c r="J64" s="96">
        <v>45657</v>
      </c>
      <c r="K64" s="97"/>
      <c r="L64" s="97" t="s">
        <v>11</v>
      </c>
      <c r="N64" s="97"/>
      <c r="O64" s="97" t="s">
        <v>11</v>
      </c>
      <c r="P64" s="92" t="s">
        <v>72</v>
      </c>
    </row>
    <row r="65" spans="1:16" s="92" customFormat="1" ht="15.75" hidden="1" x14ac:dyDescent="0.25">
      <c r="A65" s="93" t="s">
        <v>79</v>
      </c>
      <c r="B65" s="94" t="s">
        <v>4</v>
      </c>
      <c r="C65" s="94" t="s">
        <v>80</v>
      </c>
      <c r="D65" s="94" t="s">
        <v>347</v>
      </c>
      <c r="E65" s="94" t="s">
        <v>337</v>
      </c>
      <c r="F65" s="94" t="s">
        <v>23</v>
      </c>
      <c r="G65" s="94" t="s">
        <v>8</v>
      </c>
      <c r="H65" s="95" t="s">
        <v>81</v>
      </c>
      <c r="I65" s="94" t="s">
        <v>10</v>
      </c>
      <c r="J65" s="96">
        <v>45657</v>
      </c>
      <c r="K65" s="97"/>
      <c r="L65" s="97"/>
      <c r="M65" s="97"/>
      <c r="N65" s="97" t="s">
        <v>11</v>
      </c>
      <c r="O65" s="97"/>
      <c r="P65" s="92" t="s">
        <v>12</v>
      </c>
    </row>
    <row r="66" spans="1:16" s="92" customFormat="1" ht="15.75" hidden="1" x14ac:dyDescent="0.25">
      <c r="A66" s="93" t="s">
        <v>82</v>
      </c>
      <c r="B66" s="94" t="s">
        <v>4</v>
      </c>
      <c r="C66" s="94" t="s">
        <v>83</v>
      </c>
      <c r="D66" s="94" t="s">
        <v>347</v>
      </c>
      <c r="E66" s="94" t="s">
        <v>337</v>
      </c>
      <c r="F66" s="94" t="s">
        <v>23</v>
      </c>
      <c r="G66" s="94" t="s">
        <v>8</v>
      </c>
      <c r="H66" s="95" t="s">
        <v>81</v>
      </c>
      <c r="I66" s="94" t="s">
        <v>10</v>
      </c>
      <c r="J66" s="96">
        <v>45657</v>
      </c>
      <c r="K66" s="97"/>
      <c r="L66" s="97"/>
      <c r="M66" s="97"/>
      <c r="N66" s="97" t="s">
        <v>11</v>
      </c>
      <c r="O66" s="97"/>
      <c r="P66" s="92" t="s">
        <v>12</v>
      </c>
    </row>
    <row r="67" spans="1:16" s="92" customFormat="1" ht="31.5" hidden="1" x14ac:dyDescent="0.25">
      <c r="A67" s="100" t="s">
        <v>86</v>
      </c>
      <c r="B67" s="94" t="s">
        <v>14</v>
      </c>
      <c r="C67" s="94"/>
      <c r="D67" s="94" t="s">
        <v>347</v>
      </c>
      <c r="E67" s="94" t="s">
        <v>337</v>
      </c>
      <c r="F67" s="94" t="s">
        <v>23</v>
      </c>
      <c r="G67" s="94" t="s">
        <v>8</v>
      </c>
      <c r="H67" s="95" t="s">
        <v>87</v>
      </c>
      <c r="I67" s="94" t="s">
        <v>10</v>
      </c>
      <c r="J67" s="96">
        <v>45657</v>
      </c>
      <c r="K67" s="97"/>
      <c r="L67" s="97"/>
      <c r="M67" s="97"/>
      <c r="N67" s="97" t="s">
        <v>11</v>
      </c>
      <c r="O67" s="97"/>
      <c r="P67" s="92" t="s">
        <v>202</v>
      </c>
    </row>
    <row r="68" spans="1:16" s="92" customFormat="1" ht="15.75" hidden="1" x14ac:dyDescent="0.25">
      <c r="A68" s="100" t="s">
        <v>88</v>
      </c>
      <c r="B68" s="94" t="s">
        <v>41</v>
      </c>
      <c r="C68" s="94" t="s">
        <v>89</v>
      </c>
      <c r="D68" s="94" t="s">
        <v>6</v>
      </c>
      <c r="E68" s="94" t="s">
        <v>337</v>
      </c>
      <c r="F68" s="94"/>
      <c r="G68" s="94" t="s">
        <v>8</v>
      </c>
      <c r="H68" s="95" t="s">
        <v>87</v>
      </c>
      <c r="I68" s="94" t="s">
        <v>10</v>
      </c>
      <c r="J68" s="96">
        <v>45657</v>
      </c>
      <c r="K68" s="97"/>
      <c r="L68" s="97"/>
      <c r="M68" s="97"/>
      <c r="N68" s="97" t="s">
        <v>11</v>
      </c>
      <c r="O68" s="97"/>
      <c r="P68" s="92" t="s">
        <v>202</v>
      </c>
    </row>
    <row r="69" spans="1:16" s="92" customFormat="1" ht="15.75" x14ac:dyDescent="0.25">
      <c r="A69" s="98" t="s">
        <v>90</v>
      </c>
      <c r="B69" s="94" t="s">
        <v>41</v>
      </c>
      <c r="C69" s="94" t="s">
        <v>91</v>
      </c>
      <c r="D69" s="94" t="s">
        <v>6</v>
      </c>
      <c r="E69" s="94" t="s">
        <v>338</v>
      </c>
      <c r="F69" s="94"/>
      <c r="G69" s="94" t="s">
        <v>8</v>
      </c>
      <c r="H69" s="95" t="s">
        <v>92</v>
      </c>
      <c r="I69" s="94" t="s">
        <v>371</v>
      </c>
      <c r="J69" s="96">
        <v>45657</v>
      </c>
      <c r="K69" s="97"/>
      <c r="L69" s="97" t="s">
        <v>11</v>
      </c>
      <c r="M69" s="97"/>
      <c r="N69" s="97"/>
      <c r="O69" s="97"/>
      <c r="P69" s="92" t="s">
        <v>12</v>
      </c>
    </row>
    <row r="70" spans="1:16" s="92" customFormat="1" ht="15.75" hidden="1" x14ac:dyDescent="0.25">
      <c r="A70" s="93" t="s">
        <v>96</v>
      </c>
      <c r="B70" s="94" t="s">
        <v>4</v>
      </c>
      <c r="C70" s="94" t="s">
        <v>77</v>
      </c>
      <c r="D70" s="94" t="s">
        <v>6</v>
      </c>
      <c r="E70" s="94" t="s">
        <v>337</v>
      </c>
      <c r="F70" s="94" t="s">
        <v>26</v>
      </c>
      <c r="G70" s="94" t="s">
        <v>8</v>
      </c>
      <c r="H70" s="95" t="s">
        <v>97</v>
      </c>
      <c r="I70" s="94" t="s">
        <v>10</v>
      </c>
      <c r="J70" s="96">
        <v>45688</v>
      </c>
      <c r="K70" s="97" t="s">
        <v>11</v>
      </c>
      <c r="L70" s="97"/>
      <c r="M70" s="97" t="s">
        <v>11</v>
      </c>
      <c r="N70" s="97"/>
      <c r="O70" s="97" t="s">
        <v>11</v>
      </c>
      <c r="P70" s="92" t="s">
        <v>98</v>
      </c>
    </row>
    <row r="71" spans="1:16" s="92" customFormat="1" ht="15.75" x14ac:dyDescent="0.25">
      <c r="A71" s="93" t="s">
        <v>99</v>
      </c>
      <c r="B71" s="94" t="s">
        <v>76</v>
      </c>
      <c r="C71" s="94" t="s">
        <v>77</v>
      </c>
      <c r="D71" s="94" t="s">
        <v>6</v>
      </c>
      <c r="E71" s="94" t="s">
        <v>338</v>
      </c>
      <c r="F71" s="94"/>
      <c r="G71" s="94" t="s">
        <v>8</v>
      </c>
      <c r="H71" s="95" t="s">
        <v>51</v>
      </c>
      <c r="I71" s="94" t="s">
        <v>55</v>
      </c>
      <c r="J71" s="96">
        <v>45688</v>
      </c>
      <c r="K71" s="97" t="s">
        <v>11</v>
      </c>
      <c r="L71" s="97"/>
      <c r="M71" s="97" t="s">
        <v>11</v>
      </c>
      <c r="N71" s="97"/>
      <c r="O71" s="97" t="s">
        <v>11</v>
      </c>
      <c r="P71" s="92" t="s">
        <v>98</v>
      </c>
    </row>
    <row r="72" spans="1:16" s="92" customFormat="1" ht="15.75" x14ac:dyDescent="0.25">
      <c r="A72" s="93" t="s">
        <v>100</v>
      </c>
      <c r="B72" s="94" t="s">
        <v>4</v>
      </c>
      <c r="C72" s="94" t="s">
        <v>36</v>
      </c>
      <c r="D72" s="94" t="s">
        <v>347</v>
      </c>
      <c r="E72" s="94" t="s">
        <v>338</v>
      </c>
      <c r="F72" s="94" t="s">
        <v>47</v>
      </c>
      <c r="G72" s="94" t="s">
        <v>8</v>
      </c>
      <c r="H72" s="95" t="s">
        <v>101</v>
      </c>
      <c r="I72" s="94" t="s">
        <v>10</v>
      </c>
      <c r="J72" s="96">
        <v>45688</v>
      </c>
      <c r="K72" s="97" t="s">
        <v>11</v>
      </c>
      <c r="L72" s="97"/>
      <c r="M72" s="97"/>
      <c r="N72" s="97" t="s">
        <v>11</v>
      </c>
      <c r="O72" s="97"/>
      <c r="P72" s="92" t="s">
        <v>72</v>
      </c>
    </row>
    <row r="73" spans="1:16" s="92" customFormat="1" ht="15.75" hidden="1" x14ac:dyDescent="0.25">
      <c r="A73" s="93" t="s">
        <v>102</v>
      </c>
      <c r="B73" s="94" t="s">
        <v>103</v>
      </c>
      <c r="C73" s="94" t="s">
        <v>104</v>
      </c>
      <c r="D73" s="94" t="s">
        <v>6</v>
      </c>
      <c r="E73" s="94" t="s">
        <v>337</v>
      </c>
      <c r="F73" s="94" t="s">
        <v>23</v>
      </c>
      <c r="G73" s="94" t="s">
        <v>8</v>
      </c>
      <c r="H73" s="95" t="s">
        <v>51</v>
      </c>
      <c r="I73" s="94" t="s">
        <v>10</v>
      </c>
      <c r="J73" s="96">
        <v>45688</v>
      </c>
      <c r="K73" s="97" t="s">
        <v>11</v>
      </c>
      <c r="L73" s="97"/>
      <c r="M73" s="97"/>
      <c r="N73" s="97"/>
      <c r="O73" s="97"/>
      <c r="P73" s="92" t="s">
        <v>504</v>
      </c>
    </row>
    <row r="74" spans="1:16" s="92" customFormat="1" ht="15.75" hidden="1" x14ac:dyDescent="0.25">
      <c r="A74" s="93" t="s">
        <v>105</v>
      </c>
      <c r="B74" s="94" t="s">
        <v>14</v>
      </c>
      <c r="C74" s="94" t="s">
        <v>83</v>
      </c>
      <c r="D74" s="94" t="s">
        <v>347</v>
      </c>
      <c r="E74" s="94" t="s">
        <v>337</v>
      </c>
      <c r="F74" s="94" t="s">
        <v>23</v>
      </c>
      <c r="G74" s="94" t="s">
        <v>8</v>
      </c>
      <c r="H74" s="95" t="s">
        <v>54</v>
      </c>
      <c r="I74" s="94" t="s">
        <v>10</v>
      </c>
      <c r="J74" s="96">
        <v>45716</v>
      </c>
      <c r="K74" s="97" t="s">
        <v>11</v>
      </c>
      <c r="L74" s="97"/>
      <c r="M74" s="97"/>
      <c r="N74" s="97"/>
      <c r="O74" s="97"/>
      <c r="P74" s="92" t="s">
        <v>504</v>
      </c>
    </row>
    <row r="75" spans="1:16" s="92" customFormat="1" ht="15.75" x14ac:dyDescent="0.25">
      <c r="A75" s="93" t="s">
        <v>106</v>
      </c>
      <c r="B75" s="94" t="s">
        <v>14</v>
      </c>
      <c r="C75" s="94" t="s">
        <v>36</v>
      </c>
      <c r="D75" s="94" t="s">
        <v>347</v>
      </c>
      <c r="E75" s="94" t="s">
        <v>338</v>
      </c>
      <c r="F75" s="94" t="s">
        <v>23</v>
      </c>
      <c r="G75" s="94" t="s">
        <v>8</v>
      </c>
      <c r="H75" s="95" t="s">
        <v>107</v>
      </c>
      <c r="I75" s="94" t="s">
        <v>10</v>
      </c>
      <c r="J75" s="96">
        <v>45747</v>
      </c>
      <c r="K75" s="97" t="s">
        <v>11</v>
      </c>
      <c r="L75" s="97"/>
      <c r="M75" s="97"/>
      <c r="N75" s="97" t="s">
        <v>11</v>
      </c>
      <c r="O75" s="97"/>
      <c r="P75" s="92" t="s">
        <v>72</v>
      </c>
    </row>
    <row r="76" spans="1:16" s="92" customFormat="1" ht="15.75" x14ac:dyDescent="0.25">
      <c r="A76" s="93" t="s">
        <v>108</v>
      </c>
      <c r="B76" s="94" t="s">
        <v>14</v>
      </c>
      <c r="C76" s="94" t="s">
        <v>93</v>
      </c>
      <c r="D76" s="94" t="s">
        <v>6</v>
      </c>
      <c r="E76" s="94" t="s">
        <v>338</v>
      </c>
      <c r="F76" s="94" t="s">
        <v>23</v>
      </c>
      <c r="G76" s="94" t="s">
        <v>8</v>
      </c>
      <c r="H76" s="95" t="s">
        <v>109</v>
      </c>
      <c r="I76" s="94" t="s">
        <v>10</v>
      </c>
      <c r="J76" s="96">
        <v>45747</v>
      </c>
      <c r="K76" s="97" t="s">
        <v>11</v>
      </c>
      <c r="L76" s="97"/>
      <c r="M76" s="97"/>
      <c r="N76" s="97" t="s">
        <v>11</v>
      </c>
      <c r="O76" s="97"/>
      <c r="P76" s="92" t="s">
        <v>72</v>
      </c>
    </row>
    <row r="77" spans="1:16" s="92" customFormat="1" ht="15.75" hidden="1" x14ac:dyDescent="0.25">
      <c r="A77" s="93" t="s">
        <v>110</v>
      </c>
      <c r="B77" s="94" t="s">
        <v>41</v>
      </c>
      <c r="C77" s="94" t="s">
        <v>91</v>
      </c>
      <c r="D77" s="94" t="s">
        <v>6</v>
      </c>
      <c r="E77" s="94" t="s">
        <v>337</v>
      </c>
      <c r="F77" s="94" t="s">
        <v>23</v>
      </c>
      <c r="G77" s="94" t="s">
        <v>8</v>
      </c>
      <c r="H77" s="95" t="s">
        <v>109</v>
      </c>
      <c r="I77" s="94" t="s">
        <v>10</v>
      </c>
      <c r="J77" s="96">
        <v>45747</v>
      </c>
      <c r="K77" s="97" t="s">
        <v>11</v>
      </c>
      <c r="L77" s="97"/>
      <c r="M77" s="97"/>
      <c r="N77" s="97" t="s">
        <v>11</v>
      </c>
      <c r="O77" s="97"/>
      <c r="P77" s="92" t="s">
        <v>72</v>
      </c>
    </row>
    <row r="78" spans="1:16" s="92" customFormat="1" ht="15.75" hidden="1" x14ac:dyDescent="0.25">
      <c r="A78" s="93" t="s">
        <v>111</v>
      </c>
      <c r="B78" s="94" t="s">
        <v>14</v>
      </c>
      <c r="C78" s="94" t="s">
        <v>5</v>
      </c>
      <c r="D78" s="94" t="s">
        <v>6</v>
      </c>
      <c r="E78" s="94" t="s">
        <v>337</v>
      </c>
      <c r="F78" s="94" t="s">
        <v>16</v>
      </c>
      <c r="G78" s="94" t="s">
        <v>8</v>
      </c>
      <c r="H78" s="95" t="s">
        <v>112</v>
      </c>
      <c r="I78" s="94" t="s">
        <v>10</v>
      </c>
      <c r="J78" s="96">
        <v>45747</v>
      </c>
      <c r="K78" s="97" t="s">
        <v>11</v>
      </c>
      <c r="L78" s="97"/>
      <c r="M78" s="97"/>
      <c r="N78" s="97"/>
      <c r="O78" s="97"/>
      <c r="P78" s="92" t="s">
        <v>12</v>
      </c>
    </row>
    <row r="79" spans="1:16" s="92" customFormat="1" ht="15.75" x14ac:dyDescent="0.25">
      <c r="A79" s="93" t="s">
        <v>113</v>
      </c>
      <c r="B79" s="94" t="s">
        <v>4</v>
      </c>
      <c r="C79" s="94" t="s">
        <v>36</v>
      </c>
      <c r="D79" s="94" t="s">
        <v>6</v>
      </c>
      <c r="E79" s="94" t="s">
        <v>338</v>
      </c>
      <c r="F79" s="94" t="s">
        <v>23</v>
      </c>
      <c r="G79" s="94" t="s">
        <v>8</v>
      </c>
      <c r="H79" s="95" t="s">
        <v>74</v>
      </c>
      <c r="I79" s="94" t="s">
        <v>10</v>
      </c>
      <c r="J79" s="96">
        <v>45777</v>
      </c>
      <c r="K79" s="97" t="s">
        <v>11</v>
      </c>
      <c r="L79" s="97"/>
      <c r="M79" s="97"/>
      <c r="N79" s="97" t="s">
        <v>11</v>
      </c>
      <c r="O79" s="97"/>
      <c r="P79" s="92" t="s">
        <v>72</v>
      </c>
    </row>
    <row r="80" spans="1:16" s="92" customFormat="1" ht="15.75" hidden="1" x14ac:dyDescent="0.25">
      <c r="A80" s="93" t="s">
        <v>114</v>
      </c>
      <c r="B80" s="94" t="s">
        <v>4</v>
      </c>
      <c r="C80" s="94" t="s">
        <v>36</v>
      </c>
      <c r="D80" s="94" t="s">
        <v>347</v>
      </c>
      <c r="E80" s="94" t="s">
        <v>337</v>
      </c>
      <c r="F80" s="94" t="s">
        <v>23</v>
      </c>
      <c r="G80" s="94" t="s">
        <v>8</v>
      </c>
      <c r="H80" s="95" t="s">
        <v>115</v>
      </c>
      <c r="I80" s="94" t="s">
        <v>10</v>
      </c>
      <c r="J80" s="96">
        <v>45838</v>
      </c>
      <c r="K80" s="97" t="s">
        <v>11</v>
      </c>
      <c r="L80" s="97"/>
      <c r="M80" s="97"/>
      <c r="N80" s="97" t="s">
        <v>11</v>
      </c>
      <c r="O80" s="97"/>
      <c r="P80" s="92" t="s">
        <v>72</v>
      </c>
    </row>
    <row r="81" spans="1:16" s="92" customFormat="1" ht="15.75" hidden="1" x14ac:dyDescent="0.25">
      <c r="A81" s="93" t="s">
        <v>116</v>
      </c>
      <c r="B81" s="94" t="s">
        <v>14</v>
      </c>
      <c r="C81" s="94" t="s">
        <v>30</v>
      </c>
      <c r="D81" s="94" t="s">
        <v>6</v>
      </c>
      <c r="E81" s="94" t="s">
        <v>337</v>
      </c>
      <c r="F81" s="94" t="s">
        <v>16</v>
      </c>
      <c r="G81" s="94" t="s">
        <v>8</v>
      </c>
      <c r="H81" s="95" t="s">
        <v>117</v>
      </c>
      <c r="I81" s="94" t="s">
        <v>10</v>
      </c>
      <c r="J81" s="96">
        <v>45838</v>
      </c>
      <c r="K81" s="97" t="s">
        <v>11</v>
      </c>
      <c r="L81" s="97"/>
      <c r="M81" s="97"/>
      <c r="N81" s="97"/>
      <c r="O81" s="97"/>
      <c r="P81" s="92" t="s">
        <v>12</v>
      </c>
    </row>
    <row r="82" spans="1:16" s="92" customFormat="1" ht="15.75" x14ac:dyDescent="0.25">
      <c r="A82" s="93" t="s">
        <v>118</v>
      </c>
      <c r="B82" s="94" t="s">
        <v>14</v>
      </c>
      <c r="C82" s="94" t="s">
        <v>5</v>
      </c>
      <c r="D82" s="94" t="s">
        <v>6</v>
      </c>
      <c r="E82" s="94" t="s">
        <v>338</v>
      </c>
      <c r="F82" s="94" t="s">
        <v>16</v>
      </c>
      <c r="G82" s="94" t="s">
        <v>8</v>
      </c>
      <c r="H82" s="95" t="s">
        <v>117</v>
      </c>
      <c r="I82" s="94" t="s">
        <v>10</v>
      </c>
      <c r="J82" s="96">
        <v>45838</v>
      </c>
      <c r="K82" s="97" t="s">
        <v>11</v>
      </c>
      <c r="L82" s="97"/>
      <c r="M82" s="97"/>
      <c r="N82" s="97"/>
      <c r="O82" s="97"/>
      <c r="P82" s="92" t="s">
        <v>12</v>
      </c>
    </row>
    <row r="83" spans="1:16" s="92" customFormat="1" ht="15.75" hidden="1" x14ac:dyDescent="0.25">
      <c r="A83" s="93" t="s">
        <v>119</v>
      </c>
      <c r="B83" s="94" t="s">
        <v>14</v>
      </c>
      <c r="C83" s="94" t="s">
        <v>83</v>
      </c>
      <c r="D83" s="94" t="s">
        <v>347</v>
      </c>
      <c r="E83" s="94" t="s">
        <v>337</v>
      </c>
      <c r="F83" s="94" t="s">
        <v>16</v>
      </c>
      <c r="G83" s="94" t="s">
        <v>8</v>
      </c>
      <c r="H83" s="95" t="s">
        <v>120</v>
      </c>
      <c r="I83" s="94" t="s">
        <v>10</v>
      </c>
      <c r="J83" s="96">
        <v>45869</v>
      </c>
      <c r="K83" s="97" t="s">
        <v>11</v>
      </c>
      <c r="L83" s="97"/>
      <c r="M83" s="97"/>
      <c r="N83" s="97"/>
      <c r="O83" s="97"/>
      <c r="P83" s="92" t="s">
        <v>12</v>
      </c>
    </row>
    <row r="84" spans="1:16" s="92" customFormat="1" ht="15.75" hidden="1" x14ac:dyDescent="0.25">
      <c r="A84" s="93" t="s">
        <v>121</v>
      </c>
      <c r="B84" s="94" t="s">
        <v>122</v>
      </c>
      <c r="C84" s="94" t="s">
        <v>123</v>
      </c>
      <c r="D84" s="94" t="s">
        <v>6</v>
      </c>
      <c r="E84" s="94" t="s">
        <v>337</v>
      </c>
      <c r="F84" s="94"/>
      <c r="G84" s="94" t="s">
        <v>8</v>
      </c>
      <c r="H84" s="95" t="s">
        <v>120</v>
      </c>
      <c r="I84" s="94" t="s">
        <v>55</v>
      </c>
      <c r="J84" s="96">
        <v>45869</v>
      </c>
      <c r="K84" s="97" t="s">
        <v>11</v>
      </c>
      <c r="L84" s="97"/>
      <c r="M84" s="97"/>
      <c r="N84" s="97"/>
      <c r="O84" s="97"/>
      <c r="P84" s="92" t="s">
        <v>12</v>
      </c>
    </row>
    <row r="85" spans="1:16" s="92" customFormat="1" ht="15.75" hidden="1" x14ac:dyDescent="0.25">
      <c r="A85" s="93" t="s">
        <v>124</v>
      </c>
      <c r="B85" s="94" t="s">
        <v>14</v>
      </c>
      <c r="C85" s="94" t="s">
        <v>125</v>
      </c>
      <c r="D85" s="94" t="s">
        <v>6</v>
      </c>
      <c r="E85" s="94" t="s">
        <v>337</v>
      </c>
      <c r="F85" s="94" t="s">
        <v>16</v>
      </c>
      <c r="G85" s="94" t="s">
        <v>8</v>
      </c>
      <c r="H85" s="95" t="s">
        <v>126</v>
      </c>
      <c r="I85" s="94" t="s">
        <v>10</v>
      </c>
      <c r="J85" s="96">
        <v>45900</v>
      </c>
      <c r="K85" s="97" t="s">
        <v>11</v>
      </c>
      <c r="L85" s="97"/>
      <c r="M85" s="97"/>
      <c r="N85" s="97"/>
      <c r="O85" s="97"/>
      <c r="P85" s="92" t="s">
        <v>12</v>
      </c>
    </row>
    <row r="86" spans="1:16" s="92" customFormat="1" ht="15.75" hidden="1" x14ac:dyDescent="0.25">
      <c r="A86" s="93" t="s">
        <v>127</v>
      </c>
      <c r="B86" s="94" t="s">
        <v>4</v>
      </c>
      <c r="C86" s="94" t="s">
        <v>36</v>
      </c>
      <c r="D86" s="94" t="s">
        <v>21</v>
      </c>
      <c r="E86" s="94" t="s">
        <v>337</v>
      </c>
      <c r="F86" s="94" t="s">
        <v>23</v>
      </c>
      <c r="G86" s="94" t="s">
        <v>8</v>
      </c>
      <c r="H86" s="95" t="s">
        <v>128</v>
      </c>
      <c r="I86" s="94" t="s">
        <v>10</v>
      </c>
      <c r="J86" s="96">
        <v>45930</v>
      </c>
      <c r="K86" s="97" t="s">
        <v>11</v>
      </c>
      <c r="L86" s="97"/>
      <c r="M86" s="97"/>
      <c r="N86" s="97" t="s">
        <v>11</v>
      </c>
      <c r="O86" s="97"/>
      <c r="P86" s="92" t="s">
        <v>72</v>
      </c>
    </row>
    <row r="87" spans="1:16" s="92" customFormat="1" ht="15.75" hidden="1" x14ac:dyDescent="0.25">
      <c r="A87" s="93" t="s">
        <v>129</v>
      </c>
      <c r="B87" s="94" t="s">
        <v>14</v>
      </c>
      <c r="C87" s="94" t="s">
        <v>36</v>
      </c>
      <c r="D87" s="94" t="s">
        <v>21</v>
      </c>
      <c r="E87" s="94" t="s">
        <v>337</v>
      </c>
      <c r="F87" s="94" t="s">
        <v>16</v>
      </c>
      <c r="G87" s="94" t="s">
        <v>8</v>
      </c>
      <c r="H87" s="95" t="s">
        <v>130</v>
      </c>
      <c r="I87" s="94" t="s">
        <v>10</v>
      </c>
      <c r="J87" s="96">
        <v>45991</v>
      </c>
      <c r="K87" s="97" t="s">
        <v>11</v>
      </c>
      <c r="L87" s="97"/>
      <c r="M87" s="97"/>
      <c r="N87" s="97"/>
      <c r="O87" s="97" t="s">
        <v>11</v>
      </c>
      <c r="P87" s="92" t="s">
        <v>72</v>
      </c>
    </row>
    <row r="88" spans="1:16" s="92" customFormat="1" ht="15.75" hidden="1" x14ac:dyDescent="0.25">
      <c r="A88" s="93" t="s">
        <v>131</v>
      </c>
      <c r="B88" s="94" t="s">
        <v>14</v>
      </c>
      <c r="C88" s="94" t="s">
        <v>36</v>
      </c>
      <c r="D88" s="94" t="s">
        <v>21</v>
      </c>
      <c r="E88" s="94" t="s">
        <v>337</v>
      </c>
      <c r="F88" s="94"/>
      <c r="G88" s="94" t="s">
        <v>8</v>
      </c>
      <c r="H88" s="95" t="s">
        <v>132</v>
      </c>
      <c r="I88" s="94" t="s">
        <v>55</v>
      </c>
      <c r="J88" s="96">
        <v>45991</v>
      </c>
      <c r="K88" s="97" t="s">
        <v>11</v>
      </c>
      <c r="L88" s="97"/>
      <c r="M88" s="97"/>
      <c r="N88" s="97"/>
      <c r="O88" s="97"/>
      <c r="P88" s="92" t="s">
        <v>12</v>
      </c>
    </row>
    <row r="89" spans="1:16" s="92" customFormat="1" ht="15.75" hidden="1" x14ac:dyDescent="0.25">
      <c r="A89" s="93" t="s">
        <v>133</v>
      </c>
      <c r="B89" s="94" t="s">
        <v>4</v>
      </c>
      <c r="C89" s="94" t="s">
        <v>5</v>
      </c>
      <c r="D89" s="94" t="s">
        <v>347</v>
      </c>
      <c r="E89" s="94" t="s">
        <v>337</v>
      </c>
      <c r="F89" s="94" t="s">
        <v>7</v>
      </c>
      <c r="G89" s="94" t="s">
        <v>8</v>
      </c>
      <c r="H89" s="95" t="s">
        <v>134</v>
      </c>
      <c r="I89" s="94" t="s">
        <v>10</v>
      </c>
      <c r="J89" s="96">
        <v>46022</v>
      </c>
      <c r="K89" s="97" t="s">
        <v>11</v>
      </c>
      <c r="L89" s="97"/>
      <c r="M89" s="97"/>
      <c r="N89" s="97"/>
      <c r="O89" s="97"/>
      <c r="P89" s="92" t="s">
        <v>12</v>
      </c>
    </row>
    <row r="90" spans="1:16" s="92" customFormat="1" ht="15.75" hidden="1" x14ac:dyDescent="0.25">
      <c r="A90" s="93" t="s">
        <v>135</v>
      </c>
      <c r="B90" s="94" t="s">
        <v>4</v>
      </c>
      <c r="C90" s="94" t="s">
        <v>5</v>
      </c>
      <c r="D90" s="94" t="s">
        <v>347</v>
      </c>
      <c r="E90" s="94" t="s">
        <v>337</v>
      </c>
      <c r="F90" s="94" t="s">
        <v>7</v>
      </c>
      <c r="G90" s="94" t="s">
        <v>8</v>
      </c>
      <c r="H90" s="95" t="s">
        <v>134</v>
      </c>
      <c r="I90" s="94" t="s">
        <v>10</v>
      </c>
      <c r="J90" s="96">
        <v>46022</v>
      </c>
      <c r="K90" s="97" t="s">
        <v>11</v>
      </c>
      <c r="L90" s="97"/>
      <c r="M90" s="97"/>
      <c r="N90" s="97"/>
      <c r="O90" s="97"/>
      <c r="P90" s="92" t="s">
        <v>12</v>
      </c>
    </row>
    <row r="91" spans="1:16" s="92" customFormat="1" ht="15.75" hidden="1" x14ac:dyDescent="0.25">
      <c r="A91" s="93" t="s">
        <v>136</v>
      </c>
      <c r="B91" s="94" t="s">
        <v>14</v>
      </c>
      <c r="C91" s="94" t="s">
        <v>5</v>
      </c>
      <c r="D91" s="94" t="s">
        <v>347</v>
      </c>
      <c r="E91" s="94" t="s">
        <v>337</v>
      </c>
      <c r="F91" s="94" t="s">
        <v>16</v>
      </c>
      <c r="G91" s="94" t="s">
        <v>8</v>
      </c>
      <c r="H91" s="95" t="s">
        <v>130</v>
      </c>
      <c r="I91" s="94" t="s">
        <v>10</v>
      </c>
      <c r="J91" s="96">
        <v>46081</v>
      </c>
      <c r="K91" s="97"/>
      <c r="L91" s="97" t="s">
        <v>11</v>
      </c>
      <c r="M91" s="97"/>
      <c r="N91" s="97"/>
      <c r="O91" s="97"/>
      <c r="P91" s="92" t="s">
        <v>12</v>
      </c>
    </row>
    <row r="92" spans="1:16" s="92" customFormat="1" ht="15.75" hidden="1" x14ac:dyDescent="0.25">
      <c r="A92" s="93" t="s">
        <v>137</v>
      </c>
      <c r="B92" s="94" t="s">
        <v>41</v>
      </c>
      <c r="C92" s="94" t="s">
        <v>91</v>
      </c>
      <c r="D92" s="94" t="s">
        <v>6</v>
      </c>
      <c r="E92" s="94" t="s">
        <v>337</v>
      </c>
      <c r="F92" s="94" t="s">
        <v>16</v>
      </c>
      <c r="G92" s="94" t="s">
        <v>8</v>
      </c>
      <c r="H92" s="95" t="s">
        <v>107</v>
      </c>
      <c r="I92" s="94" t="s">
        <v>10</v>
      </c>
      <c r="J92" s="96">
        <v>46112</v>
      </c>
      <c r="K92" s="97"/>
      <c r="L92" s="97" t="s">
        <v>11</v>
      </c>
      <c r="M92" s="97"/>
      <c r="N92" s="97"/>
      <c r="O92" s="97"/>
      <c r="P92" s="92" t="s">
        <v>12</v>
      </c>
    </row>
    <row r="93" spans="1:16" s="92" customFormat="1" ht="15.75" hidden="1" x14ac:dyDescent="0.25">
      <c r="A93" s="93" t="s">
        <v>138</v>
      </c>
      <c r="B93" s="94" t="s">
        <v>14</v>
      </c>
      <c r="C93" s="94" t="s">
        <v>30</v>
      </c>
      <c r="D93" s="94" t="s">
        <v>6</v>
      </c>
      <c r="E93" s="94" t="s">
        <v>337</v>
      </c>
      <c r="F93" s="94" t="s">
        <v>16</v>
      </c>
      <c r="G93" s="94" t="s">
        <v>8</v>
      </c>
      <c r="H93" s="95" t="s">
        <v>139</v>
      </c>
      <c r="I93" s="94" t="s">
        <v>10</v>
      </c>
      <c r="J93" s="96">
        <v>46142</v>
      </c>
      <c r="K93" s="97"/>
      <c r="L93" s="97" t="s">
        <v>11</v>
      </c>
      <c r="M93" s="97"/>
      <c r="N93" s="97"/>
      <c r="O93" s="97"/>
      <c r="P93" s="92" t="s">
        <v>12</v>
      </c>
    </row>
    <row r="94" spans="1:16" s="92" customFormat="1" ht="15.75" hidden="1" x14ac:dyDescent="0.25">
      <c r="A94" s="93" t="s">
        <v>140</v>
      </c>
      <c r="B94" s="94" t="s">
        <v>14</v>
      </c>
      <c r="C94" s="94" t="s">
        <v>30</v>
      </c>
      <c r="D94" s="94" t="s">
        <v>6</v>
      </c>
      <c r="E94" s="94" t="s">
        <v>337</v>
      </c>
      <c r="F94" s="94" t="s">
        <v>16</v>
      </c>
      <c r="G94" s="94" t="s">
        <v>8</v>
      </c>
      <c r="H94" s="95" t="s">
        <v>139</v>
      </c>
      <c r="I94" s="94" t="s">
        <v>10</v>
      </c>
      <c r="J94" s="96">
        <v>46142</v>
      </c>
      <c r="K94" s="97"/>
      <c r="L94" s="97" t="s">
        <v>11</v>
      </c>
      <c r="M94" s="97"/>
      <c r="N94" s="97"/>
      <c r="O94" s="97"/>
      <c r="P94" s="92" t="s">
        <v>12</v>
      </c>
    </row>
    <row r="95" spans="1:16" s="92" customFormat="1" ht="15.75" hidden="1" x14ac:dyDescent="0.25">
      <c r="A95" s="93" t="s">
        <v>141</v>
      </c>
      <c r="B95" s="94" t="s">
        <v>4</v>
      </c>
      <c r="C95" s="94" t="s">
        <v>70</v>
      </c>
      <c r="D95" s="94" t="s">
        <v>21</v>
      </c>
      <c r="E95" s="94" t="s">
        <v>337</v>
      </c>
      <c r="F95" s="94" t="s">
        <v>7</v>
      </c>
      <c r="G95" s="94" t="s">
        <v>8</v>
      </c>
      <c r="H95" s="95" t="s">
        <v>139</v>
      </c>
      <c r="I95" s="94" t="s">
        <v>10</v>
      </c>
      <c r="J95" s="96">
        <v>46142</v>
      </c>
      <c r="K95" s="97"/>
      <c r="L95" s="97" t="s">
        <v>11</v>
      </c>
      <c r="M95" s="97"/>
      <c r="N95" s="97"/>
      <c r="O95" s="97"/>
      <c r="P95" s="92" t="s">
        <v>12</v>
      </c>
    </row>
    <row r="96" spans="1:16" s="92" customFormat="1" ht="15.75" hidden="1" x14ac:dyDescent="0.25">
      <c r="A96" s="93" t="s">
        <v>142</v>
      </c>
      <c r="B96" s="94" t="s">
        <v>76</v>
      </c>
      <c r="C96" s="94" t="s">
        <v>143</v>
      </c>
      <c r="D96" s="94" t="s">
        <v>6</v>
      </c>
      <c r="E96" s="94" t="s">
        <v>337</v>
      </c>
      <c r="F96" s="94" t="s">
        <v>7</v>
      </c>
      <c r="G96" s="94" t="s">
        <v>8</v>
      </c>
      <c r="H96" s="95" t="s">
        <v>144</v>
      </c>
      <c r="I96" s="94" t="s">
        <v>10</v>
      </c>
      <c r="J96" s="96">
        <v>46142</v>
      </c>
      <c r="K96" s="97"/>
      <c r="L96" s="97" t="s">
        <v>11</v>
      </c>
      <c r="M96" s="97"/>
      <c r="N96" s="97"/>
      <c r="O96" s="97" t="s">
        <v>11</v>
      </c>
      <c r="P96" s="92" t="s">
        <v>145</v>
      </c>
    </row>
    <row r="97" spans="1:16" s="92" customFormat="1" ht="15.75" hidden="1" x14ac:dyDescent="0.25">
      <c r="A97" s="93" t="s">
        <v>146</v>
      </c>
      <c r="B97" s="94" t="s">
        <v>14</v>
      </c>
      <c r="C97" s="94" t="s">
        <v>30</v>
      </c>
      <c r="D97" s="94" t="s">
        <v>6</v>
      </c>
      <c r="E97" s="94" t="s">
        <v>337</v>
      </c>
      <c r="F97" s="94" t="s">
        <v>16</v>
      </c>
      <c r="G97" s="94" t="s">
        <v>8</v>
      </c>
      <c r="H97" s="95" t="s">
        <v>17</v>
      </c>
      <c r="I97" s="94" t="s">
        <v>10</v>
      </c>
      <c r="J97" s="96">
        <v>46142</v>
      </c>
      <c r="K97" s="97"/>
      <c r="L97" s="97" t="s">
        <v>11</v>
      </c>
      <c r="M97" s="97"/>
      <c r="N97" s="97"/>
      <c r="O97" s="97"/>
      <c r="P97" s="92" t="s">
        <v>12</v>
      </c>
    </row>
    <row r="98" spans="1:16" s="92" customFormat="1" ht="15.75" hidden="1" x14ac:dyDescent="0.25">
      <c r="A98" s="93" t="s">
        <v>147</v>
      </c>
      <c r="B98" s="94" t="s">
        <v>14</v>
      </c>
      <c r="C98" s="94" t="s">
        <v>30</v>
      </c>
      <c r="D98" s="94" t="s">
        <v>6</v>
      </c>
      <c r="E98" s="94" t="s">
        <v>337</v>
      </c>
      <c r="F98" s="94" t="s">
        <v>7</v>
      </c>
      <c r="G98" s="94" t="s">
        <v>8</v>
      </c>
      <c r="H98" s="95" t="s">
        <v>17</v>
      </c>
      <c r="I98" s="94" t="s">
        <v>10</v>
      </c>
      <c r="J98" s="96">
        <v>46142</v>
      </c>
      <c r="K98" s="97"/>
      <c r="L98" s="97" t="s">
        <v>11</v>
      </c>
      <c r="M98" s="97"/>
      <c r="N98" s="97"/>
      <c r="O98" s="97"/>
      <c r="P98" s="92" t="s">
        <v>12</v>
      </c>
    </row>
    <row r="99" spans="1:16" s="92" customFormat="1" ht="15.75" x14ac:dyDescent="0.25">
      <c r="A99" s="93" t="s">
        <v>148</v>
      </c>
      <c r="B99" s="94" t="s">
        <v>85</v>
      </c>
      <c r="C99" s="94" t="s">
        <v>60</v>
      </c>
      <c r="D99" s="94" t="s">
        <v>6</v>
      </c>
      <c r="E99" s="94" t="s">
        <v>338</v>
      </c>
      <c r="F99" s="94" t="s">
        <v>16</v>
      </c>
      <c r="G99" s="94" t="s">
        <v>8</v>
      </c>
      <c r="H99" s="95" t="s">
        <v>17</v>
      </c>
      <c r="I99" s="94" t="s">
        <v>10</v>
      </c>
      <c r="J99" s="96">
        <v>46172</v>
      </c>
      <c r="K99" s="97"/>
      <c r="L99" s="97" t="s">
        <v>11</v>
      </c>
      <c r="M99" s="97"/>
      <c r="N99" s="97"/>
      <c r="O99" s="97"/>
      <c r="P99" s="92" t="s">
        <v>12</v>
      </c>
    </row>
    <row r="100" spans="1:16" s="92" customFormat="1" ht="15.75" x14ac:dyDescent="0.25">
      <c r="A100" s="93" t="s">
        <v>149</v>
      </c>
      <c r="B100" s="94" t="s">
        <v>4</v>
      </c>
      <c r="C100" s="94" t="s">
        <v>83</v>
      </c>
      <c r="D100" s="94" t="s">
        <v>347</v>
      </c>
      <c r="E100" s="94" t="s">
        <v>338</v>
      </c>
      <c r="F100" s="94" t="s">
        <v>26</v>
      </c>
      <c r="G100" s="94" t="s">
        <v>8</v>
      </c>
      <c r="H100" s="95" t="s">
        <v>68</v>
      </c>
      <c r="I100" s="94" t="s">
        <v>10</v>
      </c>
      <c r="J100" s="96">
        <v>46173</v>
      </c>
      <c r="K100" s="97"/>
      <c r="L100" s="97" t="s">
        <v>11</v>
      </c>
      <c r="M100" s="97"/>
      <c r="N100" s="97"/>
      <c r="O100" s="97" t="s">
        <v>11</v>
      </c>
      <c r="P100" s="92" t="s">
        <v>72</v>
      </c>
    </row>
    <row r="101" spans="1:16" s="92" customFormat="1" ht="15.75" x14ac:dyDescent="0.25">
      <c r="A101" s="93" t="s">
        <v>150</v>
      </c>
      <c r="B101" s="94" t="s">
        <v>4</v>
      </c>
      <c r="C101" s="94" t="s">
        <v>83</v>
      </c>
      <c r="D101" s="94" t="s">
        <v>347</v>
      </c>
      <c r="E101" s="94" t="s">
        <v>338</v>
      </c>
      <c r="F101" s="94" t="s">
        <v>23</v>
      </c>
      <c r="G101" s="94" t="s">
        <v>8</v>
      </c>
      <c r="H101" s="95" t="s">
        <v>68</v>
      </c>
      <c r="I101" s="94" t="s">
        <v>10</v>
      </c>
      <c r="J101" s="96">
        <v>46173</v>
      </c>
      <c r="K101" s="97"/>
      <c r="L101" s="97" t="s">
        <v>11</v>
      </c>
      <c r="M101" s="97"/>
      <c r="N101" s="97"/>
      <c r="O101" s="97" t="s">
        <v>11</v>
      </c>
      <c r="P101" s="92" t="s">
        <v>72</v>
      </c>
    </row>
    <row r="102" spans="1:16" s="92" customFormat="1" ht="15.75" x14ac:dyDescent="0.25">
      <c r="A102" s="93" t="s">
        <v>151</v>
      </c>
      <c r="B102" s="94" t="s">
        <v>4</v>
      </c>
      <c r="C102" s="94" t="s">
        <v>83</v>
      </c>
      <c r="D102" s="94" t="s">
        <v>347</v>
      </c>
      <c r="E102" s="94" t="s">
        <v>338</v>
      </c>
      <c r="F102" s="94" t="s">
        <v>26</v>
      </c>
      <c r="G102" s="94" t="s">
        <v>8</v>
      </c>
      <c r="H102" s="95" t="s">
        <v>152</v>
      </c>
      <c r="I102" s="94" t="s">
        <v>10</v>
      </c>
      <c r="J102" s="96">
        <v>46203</v>
      </c>
      <c r="K102" s="97"/>
      <c r="L102" s="97" t="s">
        <v>11</v>
      </c>
      <c r="M102" s="97"/>
      <c r="N102" s="97"/>
      <c r="O102" s="97" t="s">
        <v>11</v>
      </c>
      <c r="P102" s="92" t="s">
        <v>72</v>
      </c>
    </row>
    <row r="103" spans="1:16" s="92" customFormat="1" ht="15.75" hidden="1" x14ac:dyDescent="0.25">
      <c r="A103" s="93" t="s">
        <v>153</v>
      </c>
      <c r="B103" s="94" t="s">
        <v>154</v>
      </c>
      <c r="C103" s="94" t="s">
        <v>155</v>
      </c>
      <c r="D103" s="94" t="s">
        <v>6</v>
      </c>
      <c r="E103" s="94" t="s">
        <v>337</v>
      </c>
      <c r="F103" s="94" t="s">
        <v>23</v>
      </c>
      <c r="G103" s="94" t="s">
        <v>8</v>
      </c>
      <c r="H103" s="95" t="s">
        <v>156</v>
      </c>
      <c r="I103" s="94" t="s">
        <v>10</v>
      </c>
      <c r="J103" s="96">
        <v>46234</v>
      </c>
      <c r="K103" s="97"/>
      <c r="L103" s="97" t="s">
        <v>11</v>
      </c>
      <c r="M103" s="97"/>
      <c r="N103" s="97"/>
      <c r="O103" s="97" t="s">
        <v>11</v>
      </c>
      <c r="P103" s="92" t="s">
        <v>72</v>
      </c>
    </row>
    <row r="104" spans="1:16" s="92" customFormat="1" ht="15.75" hidden="1" x14ac:dyDescent="0.25">
      <c r="A104" s="93" t="s">
        <v>157</v>
      </c>
      <c r="B104" s="94" t="s">
        <v>85</v>
      </c>
      <c r="C104" s="94" t="s">
        <v>158</v>
      </c>
      <c r="D104" s="94" t="s">
        <v>6</v>
      </c>
      <c r="E104" s="94" t="s">
        <v>337</v>
      </c>
      <c r="F104" s="94" t="s">
        <v>23</v>
      </c>
      <c r="G104" s="94" t="s">
        <v>8</v>
      </c>
      <c r="H104" s="95" t="s">
        <v>156</v>
      </c>
      <c r="I104" s="94" t="s">
        <v>10</v>
      </c>
      <c r="J104" s="96">
        <v>46234</v>
      </c>
      <c r="K104" s="97"/>
      <c r="L104" s="97" t="s">
        <v>11</v>
      </c>
      <c r="M104" s="97"/>
      <c r="N104" s="97"/>
      <c r="O104" s="97" t="s">
        <v>11</v>
      </c>
      <c r="P104" s="92" t="s">
        <v>72</v>
      </c>
    </row>
    <row r="105" spans="1:16" s="92" customFormat="1" ht="15.75" hidden="1" x14ac:dyDescent="0.25">
      <c r="A105" s="93" t="s">
        <v>159</v>
      </c>
      <c r="B105" s="94" t="s">
        <v>76</v>
      </c>
      <c r="C105" s="94" t="s">
        <v>77</v>
      </c>
      <c r="D105" s="94" t="s">
        <v>6</v>
      </c>
      <c r="E105" s="94" t="s">
        <v>337</v>
      </c>
      <c r="F105" s="94" t="s">
        <v>160</v>
      </c>
      <c r="G105" s="94" t="s">
        <v>8</v>
      </c>
      <c r="H105" s="95" t="s">
        <v>97</v>
      </c>
      <c r="I105" s="94" t="s">
        <v>55</v>
      </c>
      <c r="J105" s="96">
        <v>46295</v>
      </c>
      <c r="K105" s="97"/>
      <c r="L105" s="97" t="s">
        <v>11</v>
      </c>
      <c r="M105" s="97"/>
      <c r="N105" s="97"/>
      <c r="O105" s="97" t="s">
        <v>11</v>
      </c>
      <c r="P105" s="92" t="s">
        <v>72</v>
      </c>
    </row>
    <row r="106" spans="1:16" s="92" customFormat="1" ht="15.75" hidden="1" x14ac:dyDescent="0.25">
      <c r="A106" s="93" t="s">
        <v>161</v>
      </c>
      <c r="B106" s="94" t="s">
        <v>14</v>
      </c>
      <c r="C106" s="94" t="s">
        <v>36</v>
      </c>
      <c r="D106" s="94" t="s">
        <v>347</v>
      </c>
      <c r="E106" s="94" t="s">
        <v>337</v>
      </c>
      <c r="F106" s="94" t="s">
        <v>23</v>
      </c>
      <c r="G106" s="94" t="s">
        <v>8</v>
      </c>
      <c r="H106" s="101" t="s">
        <v>162</v>
      </c>
      <c r="I106" s="94" t="s">
        <v>10</v>
      </c>
      <c r="J106" s="96">
        <v>46326</v>
      </c>
      <c r="K106" s="97"/>
      <c r="L106" s="97" t="s">
        <v>11</v>
      </c>
      <c r="M106" s="97"/>
      <c r="N106" s="97"/>
      <c r="O106" s="97" t="s">
        <v>11</v>
      </c>
      <c r="P106" s="92" t="s">
        <v>72</v>
      </c>
    </row>
    <row r="107" spans="1:16" s="92" customFormat="1" ht="15.75" hidden="1" x14ac:dyDescent="0.25">
      <c r="A107" s="93" t="s">
        <v>163</v>
      </c>
      <c r="B107" s="94" t="s">
        <v>103</v>
      </c>
      <c r="C107" s="94" t="s">
        <v>164</v>
      </c>
      <c r="D107" s="94" t="s">
        <v>6</v>
      </c>
      <c r="E107" s="94" t="s">
        <v>337</v>
      </c>
      <c r="F107" s="94" t="s">
        <v>23</v>
      </c>
      <c r="G107" s="94" t="s">
        <v>8</v>
      </c>
      <c r="H107" s="95" t="s">
        <v>24</v>
      </c>
      <c r="I107" s="94" t="s">
        <v>10</v>
      </c>
      <c r="J107" s="96">
        <v>46326</v>
      </c>
      <c r="K107" s="97"/>
      <c r="L107" s="97" t="s">
        <v>11</v>
      </c>
      <c r="M107" s="97"/>
      <c r="N107" s="97"/>
      <c r="O107" s="97" t="s">
        <v>11</v>
      </c>
      <c r="P107" s="92" t="s">
        <v>72</v>
      </c>
    </row>
    <row r="108" spans="1:16" s="92" customFormat="1" ht="15.75" hidden="1" x14ac:dyDescent="0.25">
      <c r="A108" s="93" t="s">
        <v>165</v>
      </c>
      <c r="B108" s="94" t="s">
        <v>85</v>
      </c>
      <c r="C108" s="94" t="s">
        <v>143</v>
      </c>
      <c r="D108" s="94" t="s">
        <v>347</v>
      </c>
      <c r="E108" s="94" t="s">
        <v>337</v>
      </c>
      <c r="F108" s="94" t="s">
        <v>23</v>
      </c>
      <c r="G108" s="94" t="s">
        <v>8</v>
      </c>
      <c r="H108" s="99" t="s">
        <v>205</v>
      </c>
      <c r="I108" s="94" t="s">
        <v>10</v>
      </c>
      <c r="J108" s="96">
        <v>46387</v>
      </c>
      <c r="K108" s="97"/>
      <c r="L108" s="97" t="s">
        <v>11</v>
      </c>
      <c r="M108" s="97"/>
      <c r="N108" s="97"/>
      <c r="O108" s="97" t="s">
        <v>11</v>
      </c>
      <c r="P108" s="92" t="s">
        <v>72</v>
      </c>
    </row>
    <row r="109" spans="1:16" s="92" customFormat="1" ht="15.75" hidden="1" x14ac:dyDescent="0.25">
      <c r="A109" s="93" t="s">
        <v>166</v>
      </c>
      <c r="B109" s="94" t="s">
        <v>14</v>
      </c>
      <c r="C109" s="94" t="s">
        <v>36</v>
      </c>
      <c r="D109" s="94" t="s">
        <v>6</v>
      </c>
      <c r="E109" s="94" t="s">
        <v>337</v>
      </c>
      <c r="F109" s="94" t="s">
        <v>95</v>
      </c>
      <c r="G109" s="94" t="s">
        <v>8</v>
      </c>
      <c r="H109" s="95" t="s">
        <v>31</v>
      </c>
      <c r="I109" s="94" t="s">
        <v>10</v>
      </c>
      <c r="J109" s="96">
        <v>46477</v>
      </c>
      <c r="K109" s="97"/>
      <c r="L109" s="97"/>
      <c r="M109" s="97" t="s">
        <v>11</v>
      </c>
      <c r="N109" s="97"/>
      <c r="O109" s="97"/>
      <c r="P109" s="92" t="s">
        <v>12</v>
      </c>
    </row>
    <row r="110" spans="1:16" s="92" customFormat="1" ht="15.75" hidden="1" x14ac:dyDescent="0.25">
      <c r="A110" s="93" t="s">
        <v>167</v>
      </c>
      <c r="B110" s="94" t="s">
        <v>14</v>
      </c>
      <c r="C110" s="94" t="s">
        <v>36</v>
      </c>
      <c r="D110" s="94" t="s">
        <v>6</v>
      </c>
      <c r="E110" s="94" t="s">
        <v>337</v>
      </c>
      <c r="F110" s="94" t="s">
        <v>23</v>
      </c>
      <c r="G110" s="94" t="s">
        <v>8</v>
      </c>
      <c r="H110" s="99" t="s">
        <v>204</v>
      </c>
      <c r="I110" s="94" t="s">
        <v>10</v>
      </c>
      <c r="J110" s="96">
        <v>46477</v>
      </c>
      <c r="K110" s="97"/>
      <c r="L110" s="97"/>
      <c r="M110" s="97" t="s">
        <v>11</v>
      </c>
      <c r="N110" s="97"/>
      <c r="O110" s="97"/>
      <c r="P110" s="92" t="s">
        <v>12</v>
      </c>
    </row>
    <row r="111" spans="1:16" s="92" customFormat="1" ht="15.75" hidden="1" x14ac:dyDescent="0.25">
      <c r="A111" s="93" t="s">
        <v>168</v>
      </c>
      <c r="B111" s="94" t="s">
        <v>38</v>
      </c>
      <c r="C111" s="94" t="s">
        <v>169</v>
      </c>
      <c r="D111" s="94" t="s">
        <v>6</v>
      </c>
      <c r="E111" s="94" t="s">
        <v>337</v>
      </c>
      <c r="F111" s="94"/>
      <c r="G111" s="94" t="s">
        <v>8</v>
      </c>
      <c r="H111" s="95" t="s">
        <v>170</v>
      </c>
      <c r="I111" s="94" t="s">
        <v>55</v>
      </c>
      <c r="J111" s="96">
        <v>46538</v>
      </c>
      <c r="K111" s="97"/>
      <c r="L111" s="97"/>
      <c r="M111" s="97" t="s">
        <v>11</v>
      </c>
      <c r="N111" s="97"/>
      <c r="O111" s="97"/>
      <c r="P111" s="92" t="s">
        <v>12</v>
      </c>
    </row>
    <row r="112" spans="1:16" s="92" customFormat="1" ht="15.75" hidden="1" x14ac:dyDescent="0.25">
      <c r="A112" s="93" t="s">
        <v>171</v>
      </c>
      <c r="B112" s="94" t="s">
        <v>172</v>
      </c>
      <c r="C112" s="94" t="s">
        <v>91</v>
      </c>
      <c r="D112" s="94" t="s">
        <v>6</v>
      </c>
      <c r="E112" s="94" t="s">
        <v>337</v>
      </c>
      <c r="F112" s="94"/>
      <c r="G112" s="94" t="s">
        <v>8</v>
      </c>
      <c r="H112" s="95" t="s">
        <v>170</v>
      </c>
      <c r="I112" s="94" t="s">
        <v>55</v>
      </c>
      <c r="J112" s="96">
        <v>46538</v>
      </c>
      <c r="K112" s="97"/>
      <c r="L112" s="97"/>
      <c r="M112" s="97" t="s">
        <v>11</v>
      </c>
      <c r="N112" s="97"/>
      <c r="O112" s="97"/>
      <c r="P112" s="92" t="s">
        <v>12</v>
      </c>
    </row>
    <row r="113" spans="1:16" s="92" customFormat="1" ht="15.75" hidden="1" x14ac:dyDescent="0.25">
      <c r="A113" s="98" t="s">
        <v>173</v>
      </c>
      <c r="B113" s="94" t="s">
        <v>4</v>
      </c>
      <c r="C113" s="94"/>
      <c r="D113" s="94" t="s">
        <v>347</v>
      </c>
      <c r="E113" s="94" t="s">
        <v>337</v>
      </c>
      <c r="F113" s="94"/>
      <c r="G113" s="94" t="s">
        <v>8</v>
      </c>
      <c r="H113" s="95" t="s">
        <v>170</v>
      </c>
      <c r="I113" s="94" t="s">
        <v>10</v>
      </c>
      <c r="J113" s="96">
        <v>46538</v>
      </c>
      <c r="K113" s="97"/>
      <c r="L113" s="97"/>
      <c r="M113" s="97" t="s">
        <v>11</v>
      </c>
      <c r="N113" s="97"/>
      <c r="O113" s="97"/>
      <c r="P113" s="92" t="s">
        <v>12</v>
      </c>
    </row>
    <row r="114" spans="1:16" s="92" customFormat="1" ht="15.75" hidden="1" x14ac:dyDescent="0.25">
      <c r="A114" s="93" t="s">
        <v>174</v>
      </c>
      <c r="B114" s="94" t="s">
        <v>85</v>
      </c>
      <c r="C114" s="94" t="s">
        <v>70</v>
      </c>
      <c r="D114" s="94" t="s">
        <v>347</v>
      </c>
      <c r="E114" s="94" t="s">
        <v>337</v>
      </c>
      <c r="F114" s="94" t="s">
        <v>23</v>
      </c>
      <c r="G114" s="94" t="s">
        <v>8</v>
      </c>
      <c r="H114" s="95" t="s">
        <v>152</v>
      </c>
      <c r="I114" s="94" t="s">
        <v>10</v>
      </c>
      <c r="J114" s="96">
        <v>46568</v>
      </c>
      <c r="K114" s="97"/>
      <c r="L114" s="97"/>
      <c r="M114" s="97" t="s">
        <v>11</v>
      </c>
      <c r="N114" s="97"/>
      <c r="O114" s="97"/>
      <c r="P114" s="92" t="s">
        <v>12</v>
      </c>
    </row>
    <row r="115" spans="1:16" s="92" customFormat="1" ht="15.75" hidden="1" x14ac:dyDescent="0.25">
      <c r="A115" s="93" t="s">
        <v>175</v>
      </c>
      <c r="B115" s="94" t="s">
        <v>14</v>
      </c>
      <c r="C115" s="94" t="s">
        <v>104</v>
      </c>
      <c r="D115" s="94" t="s">
        <v>347</v>
      </c>
      <c r="E115" s="94" t="s">
        <v>337</v>
      </c>
      <c r="F115" s="94"/>
      <c r="G115" s="94" t="s">
        <v>8</v>
      </c>
      <c r="H115" s="95" t="s">
        <v>176</v>
      </c>
      <c r="I115" s="94" t="s">
        <v>55</v>
      </c>
      <c r="J115" s="96">
        <v>46599</v>
      </c>
      <c r="K115" s="97"/>
      <c r="L115" s="97"/>
      <c r="M115" s="97" t="s">
        <v>11</v>
      </c>
      <c r="N115" s="97"/>
      <c r="O115" s="97"/>
      <c r="P115" s="92" t="s">
        <v>12</v>
      </c>
    </row>
    <row r="116" spans="1:16" s="92" customFormat="1" ht="15.75" hidden="1" x14ac:dyDescent="0.25">
      <c r="A116" s="93" t="s">
        <v>177</v>
      </c>
      <c r="B116" s="94" t="s">
        <v>122</v>
      </c>
      <c r="C116" s="94" t="s">
        <v>123</v>
      </c>
      <c r="D116" s="94" t="s">
        <v>6</v>
      </c>
      <c r="E116" s="94" t="s">
        <v>337</v>
      </c>
      <c r="F116" s="94"/>
      <c r="G116" s="94" t="s">
        <v>8</v>
      </c>
      <c r="H116" s="95" t="s">
        <v>178</v>
      </c>
      <c r="I116" s="94" t="s">
        <v>55</v>
      </c>
      <c r="J116" s="96">
        <v>46630</v>
      </c>
      <c r="K116" s="97"/>
      <c r="L116" s="97"/>
      <c r="M116" s="97" t="s">
        <v>11</v>
      </c>
      <c r="N116" s="97"/>
      <c r="O116" s="97"/>
      <c r="P116" s="92" t="s">
        <v>12</v>
      </c>
    </row>
    <row r="117" spans="1:16" s="92" customFormat="1" ht="15.75" hidden="1" x14ac:dyDescent="0.25">
      <c r="A117" s="102" t="s">
        <v>179</v>
      </c>
      <c r="B117" s="94" t="s">
        <v>4</v>
      </c>
      <c r="C117" s="94" t="s">
        <v>5</v>
      </c>
      <c r="D117" s="94" t="s">
        <v>6</v>
      </c>
      <c r="E117" s="94" t="s">
        <v>337</v>
      </c>
      <c r="F117" s="94" t="s">
        <v>23</v>
      </c>
      <c r="G117" s="94" t="s">
        <v>8</v>
      </c>
      <c r="H117" s="95" t="s">
        <v>97</v>
      </c>
      <c r="I117" s="94" t="s">
        <v>10</v>
      </c>
      <c r="J117" s="96">
        <v>46660</v>
      </c>
      <c r="K117" s="97"/>
      <c r="L117" s="97"/>
      <c r="M117" s="97" t="s">
        <v>11</v>
      </c>
      <c r="N117" s="97"/>
      <c r="O117" s="97"/>
      <c r="P117" s="92" t="s">
        <v>12</v>
      </c>
    </row>
    <row r="118" spans="1:16" s="92" customFormat="1" ht="15.75" hidden="1" x14ac:dyDescent="0.25">
      <c r="A118" s="93" t="s">
        <v>180</v>
      </c>
      <c r="B118" s="94" t="s">
        <v>14</v>
      </c>
      <c r="C118" s="94" t="s">
        <v>125</v>
      </c>
      <c r="D118" s="94" t="s">
        <v>6</v>
      </c>
      <c r="E118" s="94" t="s">
        <v>337</v>
      </c>
      <c r="F118" s="94" t="s">
        <v>181</v>
      </c>
      <c r="G118" s="94" t="s">
        <v>8</v>
      </c>
      <c r="H118" s="95" t="s">
        <v>128</v>
      </c>
      <c r="I118" s="94" t="s">
        <v>55</v>
      </c>
      <c r="J118" s="96">
        <v>46660</v>
      </c>
      <c r="K118" s="97"/>
      <c r="L118" s="97"/>
      <c r="M118" s="97" t="s">
        <v>11</v>
      </c>
      <c r="N118" s="97"/>
      <c r="O118" s="97"/>
      <c r="P118" s="92" t="s">
        <v>12</v>
      </c>
    </row>
    <row r="119" spans="1:16" s="92" customFormat="1" ht="15.75" hidden="1" x14ac:dyDescent="0.25">
      <c r="A119" s="93" t="s">
        <v>182</v>
      </c>
      <c r="B119" s="94" t="s">
        <v>183</v>
      </c>
      <c r="C119" s="94" t="s">
        <v>42</v>
      </c>
      <c r="D119" s="94" t="s">
        <v>6</v>
      </c>
      <c r="E119" s="94" t="s">
        <v>337</v>
      </c>
      <c r="F119" s="94" t="s">
        <v>16</v>
      </c>
      <c r="G119" s="94" t="s">
        <v>8</v>
      </c>
      <c r="H119" s="95" t="s">
        <v>184</v>
      </c>
      <c r="I119" s="94" t="s">
        <v>10</v>
      </c>
      <c r="J119" s="96">
        <v>46691</v>
      </c>
      <c r="K119" s="97"/>
      <c r="L119" s="97"/>
      <c r="M119" s="97" t="s">
        <v>11</v>
      </c>
      <c r="N119" s="97"/>
      <c r="O119" s="97"/>
      <c r="P119" s="92" t="s">
        <v>12</v>
      </c>
    </row>
    <row r="120" spans="1:16" s="92" customFormat="1" ht="15.75" hidden="1" x14ac:dyDescent="0.25">
      <c r="A120" s="93" t="s">
        <v>185</v>
      </c>
      <c r="B120" s="94" t="s">
        <v>41</v>
      </c>
      <c r="C120" s="94" t="s">
        <v>186</v>
      </c>
      <c r="D120" s="94" t="s">
        <v>6</v>
      </c>
      <c r="E120" s="94" t="s">
        <v>337</v>
      </c>
      <c r="F120" s="94" t="s">
        <v>16</v>
      </c>
      <c r="G120" s="94" t="s">
        <v>8</v>
      </c>
      <c r="H120" s="95" t="s">
        <v>51</v>
      </c>
      <c r="I120" s="94" t="s">
        <v>10</v>
      </c>
      <c r="J120" s="96">
        <v>46783</v>
      </c>
      <c r="K120" s="97"/>
      <c r="L120" s="97"/>
      <c r="M120" s="97"/>
      <c r="N120" s="97" t="s">
        <v>11</v>
      </c>
      <c r="O120" s="97"/>
      <c r="P120" s="92" t="s">
        <v>12</v>
      </c>
    </row>
    <row r="121" spans="1:16" s="92" customFormat="1" ht="15.75" hidden="1" x14ac:dyDescent="0.25">
      <c r="A121" s="93" t="s">
        <v>187</v>
      </c>
      <c r="B121" s="94" t="s">
        <v>41</v>
      </c>
      <c r="C121" s="94" t="s">
        <v>5</v>
      </c>
      <c r="D121" s="94" t="s">
        <v>6</v>
      </c>
      <c r="E121" s="94" t="s">
        <v>337</v>
      </c>
      <c r="F121" s="94" t="s">
        <v>16</v>
      </c>
      <c r="G121" s="94" t="s">
        <v>8</v>
      </c>
      <c r="H121" s="95" t="s">
        <v>87</v>
      </c>
      <c r="I121" s="94" t="s">
        <v>10</v>
      </c>
      <c r="J121" s="96">
        <v>46812</v>
      </c>
      <c r="K121" s="97"/>
      <c r="L121" s="97"/>
      <c r="M121" s="97"/>
      <c r="N121" s="97" t="s">
        <v>11</v>
      </c>
      <c r="O121" s="97"/>
      <c r="P121" s="92" t="s">
        <v>12</v>
      </c>
    </row>
    <row r="122" spans="1:16" s="92" customFormat="1" ht="15.75" hidden="1" x14ac:dyDescent="0.25">
      <c r="A122" s="93" t="s">
        <v>188</v>
      </c>
      <c r="B122" s="94" t="s">
        <v>14</v>
      </c>
      <c r="C122" s="94" t="s">
        <v>30</v>
      </c>
      <c r="D122" s="94" t="s">
        <v>6</v>
      </c>
      <c r="E122" s="94" t="s">
        <v>337</v>
      </c>
      <c r="F122" s="94" t="s">
        <v>7</v>
      </c>
      <c r="G122" s="94" t="s">
        <v>8</v>
      </c>
      <c r="H122" s="95" t="s">
        <v>144</v>
      </c>
      <c r="I122" s="94" t="s">
        <v>10</v>
      </c>
      <c r="J122" s="96">
        <v>46873</v>
      </c>
      <c r="K122" s="97"/>
      <c r="L122" s="97"/>
      <c r="M122" s="97"/>
      <c r="N122" s="97" t="s">
        <v>11</v>
      </c>
      <c r="O122" s="97"/>
      <c r="P122" s="92" t="s">
        <v>12</v>
      </c>
    </row>
    <row r="123" spans="1:16" s="92" customFormat="1" ht="15.75" hidden="1" x14ac:dyDescent="0.25">
      <c r="A123" s="93" t="s">
        <v>189</v>
      </c>
      <c r="B123" s="94" t="s">
        <v>14</v>
      </c>
      <c r="C123" s="94" t="s">
        <v>30</v>
      </c>
      <c r="D123" s="94" t="s">
        <v>6</v>
      </c>
      <c r="E123" s="94" t="s">
        <v>337</v>
      </c>
      <c r="F123" s="94" t="s">
        <v>190</v>
      </c>
      <c r="G123" s="94" t="s">
        <v>8</v>
      </c>
      <c r="H123" s="95" t="s">
        <v>68</v>
      </c>
      <c r="I123" s="94" t="s">
        <v>10</v>
      </c>
      <c r="J123" s="96">
        <v>46904</v>
      </c>
      <c r="K123" s="97"/>
      <c r="L123" s="97"/>
      <c r="M123" s="97"/>
      <c r="N123" s="97" t="s">
        <v>11</v>
      </c>
      <c r="O123" s="97"/>
      <c r="P123" s="92" t="s">
        <v>12</v>
      </c>
    </row>
    <row r="124" spans="1:16" s="92" customFormat="1" ht="15.75" hidden="1" x14ac:dyDescent="0.25">
      <c r="A124" s="98" t="s">
        <v>191</v>
      </c>
      <c r="B124" s="94" t="s">
        <v>38</v>
      </c>
      <c r="C124" s="94" t="s">
        <v>125</v>
      </c>
      <c r="D124" s="94" t="s">
        <v>6</v>
      </c>
      <c r="E124" s="94" t="s">
        <v>337</v>
      </c>
      <c r="F124" s="94"/>
      <c r="G124" s="94" t="s">
        <v>8</v>
      </c>
      <c r="H124" s="95" t="s">
        <v>94</v>
      </c>
      <c r="I124" s="94" t="s">
        <v>371</v>
      </c>
      <c r="J124" s="94"/>
      <c r="K124" s="97"/>
      <c r="L124" s="97"/>
      <c r="M124" s="97" t="s">
        <v>11</v>
      </c>
      <c r="N124" s="97"/>
      <c r="O124" s="97"/>
      <c r="P124" s="92" t="s">
        <v>12</v>
      </c>
    </row>
    <row r="125" spans="1:16" s="92" customFormat="1" ht="15.75" hidden="1" x14ac:dyDescent="0.25">
      <c r="A125" s="93" t="s">
        <v>192</v>
      </c>
      <c r="B125" s="94" t="s">
        <v>14</v>
      </c>
      <c r="C125" s="94" t="s">
        <v>193</v>
      </c>
      <c r="D125" s="94" t="s">
        <v>347</v>
      </c>
      <c r="E125" s="94" t="s">
        <v>337</v>
      </c>
      <c r="F125" s="94"/>
      <c r="G125" s="94" t="s">
        <v>8</v>
      </c>
      <c r="H125" s="95" t="s">
        <v>57</v>
      </c>
      <c r="I125" s="94" t="s">
        <v>336</v>
      </c>
      <c r="J125" s="94"/>
      <c r="K125" s="97"/>
      <c r="L125" s="97"/>
      <c r="M125" s="97"/>
      <c r="N125" s="97" t="s">
        <v>11</v>
      </c>
      <c r="O125" s="97"/>
      <c r="P125" s="92" t="s">
        <v>203</v>
      </c>
    </row>
    <row r="126" spans="1:16" s="92" customFormat="1" ht="15.75" hidden="1" x14ac:dyDescent="0.25">
      <c r="A126" s="100" t="s">
        <v>194</v>
      </c>
      <c r="B126" s="94" t="s">
        <v>14</v>
      </c>
      <c r="C126" s="94" t="s">
        <v>93</v>
      </c>
      <c r="D126" s="94" t="s">
        <v>6</v>
      </c>
      <c r="E126" s="94" t="s">
        <v>337</v>
      </c>
      <c r="F126" s="94"/>
      <c r="G126" s="94" t="s">
        <v>8</v>
      </c>
      <c r="H126" s="94"/>
      <c r="I126" s="94" t="s">
        <v>10</v>
      </c>
      <c r="J126" s="94"/>
      <c r="K126" s="97"/>
      <c r="L126" s="97"/>
      <c r="M126" s="97"/>
      <c r="N126" s="97" t="s">
        <v>11</v>
      </c>
      <c r="O126" s="97"/>
      <c r="P126" s="92" t="s">
        <v>202</v>
      </c>
    </row>
    <row r="127" spans="1:16" s="92" customFormat="1" ht="15.75" hidden="1" x14ac:dyDescent="0.25">
      <c r="A127" s="92" t="s">
        <v>195</v>
      </c>
      <c r="D127" s="92" t="s">
        <v>6</v>
      </c>
      <c r="E127" s="92" t="s">
        <v>337</v>
      </c>
      <c r="G127" s="92" t="s">
        <v>8</v>
      </c>
      <c r="I127" s="92" t="s">
        <v>10</v>
      </c>
      <c r="K127" s="97"/>
      <c r="L127" s="97"/>
      <c r="M127" s="97"/>
      <c r="N127" s="97" t="s">
        <v>11</v>
      </c>
      <c r="O127" s="97"/>
      <c r="P127" s="92" t="s">
        <v>12</v>
      </c>
    </row>
    <row r="128" spans="1:16" s="92" customFormat="1" ht="15.75" hidden="1" x14ac:dyDescent="0.25">
      <c r="A128" s="92" t="s">
        <v>196</v>
      </c>
      <c r="D128" s="94" t="s">
        <v>347</v>
      </c>
      <c r="E128" s="92" t="s">
        <v>337</v>
      </c>
      <c r="G128" s="92" t="s">
        <v>8</v>
      </c>
      <c r="I128" s="92" t="s">
        <v>10</v>
      </c>
      <c r="K128" s="97"/>
      <c r="L128" s="97"/>
      <c r="M128" s="97"/>
      <c r="N128" s="97" t="s">
        <v>11</v>
      </c>
      <c r="O128" s="97"/>
      <c r="P128" s="92" t="s">
        <v>12</v>
      </c>
    </row>
    <row r="129" spans="1:16" s="92" customFormat="1" ht="15.75" hidden="1" x14ac:dyDescent="0.25">
      <c r="A129" s="92" t="s">
        <v>197</v>
      </c>
      <c r="D129" s="92" t="s">
        <v>21</v>
      </c>
      <c r="E129" s="92" t="s">
        <v>337</v>
      </c>
      <c r="G129" s="92" t="s">
        <v>8</v>
      </c>
      <c r="I129" s="92" t="s">
        <v>10</v>
      </c>
      <c r="K129" s="97"/>
      <c r="L129" s="97"/>
      <c r="M129" s="97"/>
      <c r="N129" s="97" t="s">
        <v>11</v>
      </c>
      <c r="O129" s="97"/>
      <c r="P129" s="92" t="s">
        <v>12</v>
      </c>
    </row>
    <row r="130" spans="1:16" s="92" customFormat="1" ht="15.75" hidden="1" x14ac:dyDescent="0.25">
      <c r="A130" s="92" t="s">
        <v>198</v>
      </c>
      <c r="D130" s="92" t="s">
        <v>6</v>
      </c>
      <c r="E130" s="92" t="s">
        <v>337</v>
      </c>
      <c r="G130" s="92" t="s">
        <v>8</v>
      </c>
      <c r="I130" s="92" t="s">
        <v>10</v>
      </c>
      <c r="K130" s="97"/>
      <c r="L130" s="97"/>
      <c r="M130" s="97"/>
      <c r="N130" s="97" t="s">
        <v>11</v>
      </c>
      <c r="O130" s="97"/>
      <c r="P130" s="92" t="s">
        <v>12</v>
      </c>
    </row>
    <row r="131" spans="1:16" s="92" customFormat="1" ht="15.75" hidden="1" x14ac:dyDescent="0.25">
      <c r="A131" s="92" t="s">
        <v>199</v>
      </c>
      <c r="D131" s="92" t="s">
        <v>6</v>
      </c>
      <c r="E131" s="92" t="s">
        <v>337</v>
      </c>
      <c r="G131" s="92" t="s">
        <v>8</v>
      </c>
      <c r="I131" s="92" t="s">
        <v>10</v>
      </c>
      <c r="K131" s="97"/>
      <c r="L131" s="97"/>
      <c r="M131" s="97"/>
      <c r="N131" s="97" t="s">
        <v>11</v>
      </c>
      <c r="O131" s="97"/>
      <c r="P131" s="92" t="s">
        <v>12</v>
      </c>
    </row>
    <row r="132" spans="1:16" s="92" customFormat="1" ht="15.75" hidden="1" x14ac:dyDescent="0.25">
      <c r="A132" s="92" t="s">
        <v>200</v>
      </c>
      <c r="D132" s="92" t="s">
        <v>6</v>
      </c>
      <c r="E132" s="92" t="s">
        <v>337</v>
      </c>
      <c r="G132" s="92" t="s">
        <v>8</v>
      </c>
      <c r="I132" s="92" t="s">
        <v>10</v>
      </c>
      <c r="K132" s="97"/>
      <c r="L132" s="97"/>
      <c r="M132" s="97"/>
      <c r="N132" s="97" t="s">
        <v>11</v>
      </c>
      <c r="O132" s="97"/>
      <c r="P132" s="92" t="s">
        <v>12</v>
      </c>
    </row>
    <row r="133" spans="1:16" s="92" customFormat="1" ht="15.75" hidden="1" x14ac:dyDescent="0.25">
      <c r="A133" s="92" t="s">
        <v>201</v>
      </c>
      <c r="D133" s="92" t="s">
        <v>6</v>
      </c>
      <c r="E133" s="92" t="s">
        <v>337</v>
      </c>
      <c r="G133" s="92" t="s">
        <v>8</v>
      </c>
      <c r="I133" s="92" t="s">
        <v>10</v>
      </c>
      <c r="K133" s="97"/>
      <c r="L133" s="97"/>
      <c r="M133" s="97"/>
      <c r="N133" s="97" t="s">
        <v>11</v>
      </c>
      <c r="O133" s="97"/>
      <c r="P133" s="92" t="s">
        <v>12</v>
      </c>
    </row>
    <row r="134" spans="1:16" s="10" customFormat="1" ht="15.75" hidden="1" x14ac:dyDescent="0.25">
      <c r="A134" s="10" t="s">
        <v>373</v>
      </c>
      <c r="B134" s="10" t="s">
        <v>4</v>
      </c>
      <c r="C134" s="10" t="s">
        <v>193</v>
      </c>
      <c r="D134" s="10" t="s">
        <v>347</v>
      </c>
      <c r="E134" s="10" t="s">
        <v>337</v>
      </c>
      <c r="G134" s="10" t="s">
        <v>8</v>
      </c>
      <c r="I134" s="10" t="s">
        <v>336</v>
      </c>
      <c r="J134" s="96">
        <v>45716</v>
      </c>
      <c r="K134" s="229" t="s">
        <v>11</v>
      </c>
      <c r="P134" s="10" t="s">
        <v>12</v>
      </c>
    </row>
  </sheetData>
  <autoFilter ref="A34:P134" xr:uid="{5EB0144C-E40F-448D-BF65-30091920C2B8}">
    <filterColumn colId="4">
      <filters>
        <filter val="yes"/>
      </filters>
    </filterColumn>
  </autoFilter>
  <phoneticPr fontId="13" type="noConversion"/>
  <hyperlinks>
    <hyperlink ref="A70" r:id="rId1" xr:uid="{AA6974C1-F3A4-4484-892C-FD66C753FBD7}"/>
    <hyperlink ref="A105" r:id="rId2" xr:uid="{CEEFA067-D590-46F9-969E-6539E054F547}"/>
    <hyperlink ref="A106" r:id="rId3" xr:uid="{80EE5ABA-ED56-41CA-A372-6B9F27AA03E0}"/>
    <hyperlink ref="A107" r:id="rId4" xr:uid="{69B39E54-957C-4096-8D9F-27A90A1B6575}"/>
    <hyperlink ref="A108" r:id="rId5" xr:uid="{5D061F2C-2B86-4E18-ACEB-2563E4F203DB}"/>
    <hyperlink ref="A50" r:id="rId6" xr:uid="{68D81825-06F4-400A-BE4F-C139FAF7412A}"/>
    <hyperlink ref="A51" r:id="rId7" xr:uid="{D11DCFA4-3E32-4114-A4BB-67002E39EF7E}"/>
    <hyperlink ref="A52" r:id="rId8" xr:uid="{64BF18E7-144E-4CD8-85B6-8558AF7A0A2B}"/>
    <hyperlink ref="A35" r:id="rId9" xr:uid="{6A551520-A5E5-429E-889A-B88825DC1F68}"/>
    <hyperlink ref="A75" r:id="rId10" xr:uid="{0F46CC6F-D785-4A66-8175-13BD95286149}"/>
    <hyperlink ref="A36" r:id="rId11" xr:uid="{BC8E5405-DA96-43C6-99A5-E4E5A51AEC74}"/>
    <hyperlink ref="A37" r:id="rId12" xr:uid="{84B07529-82B8-4B22-A6C2-C4909D83782D}"/>
    <hyperlink ref="A38" r:id="rId13" xr:uid="{7C731251-50FD-4C57-B614-E07070A7104D}"/>
    <hyperlink ref="A39" r:id="rId14" xr:uid="{2A72B4CC-12A6-4A31-9733-B9F1975EC24A}"/>
    <hyperlink ref="A40" r:id="rId15" xr:uid="{A076B2EA-0AB4-4F0E-A255-DC691169FA26}"/>
    <hyperlink ref="A41" r:id="rId16" xr:uid="{79A3BE78-72E3-440B-BE97-2572D5E99453}"/>
    <hyperlink ref="A42" r:id="rId17" xr:uid="{BE35DA83-6384-4407-87B6-D96CC0A9461C}"/>
    <hyperlink ref="A43" r:id="rId18" xr:uid="{8A5080ED-026B-417A-B4F4-B0CF5DE7C33B}"/>
    <hyperlink ref="A44" r:id="rId19" xr:uid="{9D982E9B-97E0-4586-8F38-CBA4265268C8}"/>
    <hyperlink ref="A45" r:id="rId20" xr:uid="{DE30B1C0-6D9C-4082-8D2C-B37E0BC7AF63}"/>
    <hyperlink ref="A46" r:id="rId21" xr:uid="{950AE187-50BA-4D0A-9BA1-AED52D2DFEEA}"/>
    <hyperlink ref="A47" r:id="rId22" xr:uid="{6C35E83C-6DD0-4FD7-8AE0-4AD9E3AB0DBB}"/>
    <hyperlink ref="A48" r:id="rId23" xr:uid="{F17FFCA0-6228-4163-B47E-CF41B10B2A52}"/>
    <hyperlink ref="A49" r:id="rId24" xr:uid="{A4910977-AB27-476C-AAFA-54B02C6CF06A}"/>
    <hyperlink ref="A53" r:id="rId25" xr:uid="{0F851998-2DCD-4EA3-B9FD-CB3B10C07247}"/>
    <hyperlink ref="A54" r:id="rId26" xr:uid="{887C8CEA-48F7-4CFD-9B37-8363C700C496}"/>
    <hyperlink ref="A55" r:id="rId27" xr:uid="{D4577D51-5832-4D01-AF25-1C510405F508}"/>
    <hyperlink ref="A56" r:id="rId28" xr:uid="{AFBE2350-AB3E-4045-84DD-A2BF9E25E86B}"/>
    <hyperlink ref="A57" r:id="rId29" xr:uid="{74EB19B1-58BF-41A7-8858-1CF2BC66738E}"/>
    <hyperlink ref="A58" r:id="rId30" xr:uid="{8E7467F4-E7E9-4719-8E8D-E0C5E63B41AD}"/>
    <hyperlink ref="A59" r:id="rId31" xr:uid="{BB84E37B-5271-4EC2-918B-D41F4D73DFCB}"/>
    <hyperlink ref="A60" r:id="rId32" xr:uid="{1A9F6E62-10C5-46B1-BCBE-8A364B55ECA4}"/>
    <hyperlink ref="A61" r:id="rId33" xr:uid="{F616D070-0E1B-47CF-AA4F-F5325F10DE19}"/>
    <hyperlink ref="A62" r:id="rId34" xr:uid="{3AF45F09-8B52-4367-8BD1-7E45ABFB902A}"/>
    <hyperlink ref="A63" r:id="rId35" xr:uid="{84122D13-077A-4088-A2EB-82CB55F67D98}"/>
    <hyperlink ref="A64" r:id="rId36" xr:uid="{2C0B0877-D9D9-400E-B174-244391F122BB}"/>
    <hyperlink ref="A65" r:id="rId37" xr:uid="{F200A61E-80EF-4CBD-9365-C44A821AD525}"/>
    <hyperlink ref="A66" r:id="rId38" xr:uid="{BE7C30E6-BFA8-469D-84F6-C483C51D34A0}"/>
    <hyperlink ref="A71" r:id="rId39" xr:uid="{27EBC0B4-0775-4C7A-A4D2-0303B4BCCBA4}"/>
    <hyperlink ref="A72" r:id="rId40" xr:uid="{6483F53E-EFC9-4935-83ED-CD73D3667021}"/>
    <hyperlink ref="A73" r:id="rId41" xr:uid="{362F9120-8ECC-4DA0-94DB-67463DF8C1EF}"/>
    <hyperlink ref="A74" r:id="rId42" xr:uid="{0AB1DE7E-5D71-451C-80FE-F5AEDF86068F}"/>
    <hyperlink ref="A76" r:id="rId43" xr:uid="{5FA11FCF-5189-4329-8182-79E48FA114F9}"/>
    <hyperlink ref="A77" r:id="rId44" xr:uid="{0FBB7A9F-BE96-40FA-B4ED-BD163AC80333}"/>
    <hyperlink ref="A78" r:id="rId45" xr:uid="{854F9DCA-1ADF-4003-85C2-255D080CC9E7}"/>
    <hyperlink ref="A79" r:id="rId46" xr:uid="{0984F004-2908-4E4C-B677-FF587BEC3ACC}"/>
    <hyperlink ref="A80" r:id="rId47" xr:uid="{0F504FAA-2923-45CB-8803-D6653D7F512B}"/>
    <hyperlink ref="A81" r:id="rId48" xr:uid="{6AAFDBE6-68EA-4787-A56F-37A2249464CF}"/>
    <hyperlink ref="A82" r:id="rId49" xr:uid="{FD11C18F-1443-41AE-A113-1EE5C1C9679D}"/>
    <hyperlink ref="A83" r:id="rId50" xr:uid="{A64C1441-E80A-4CBB-8F87-03D953F03F26}"/>
    <hyperlink ref="A84" r:id="rId51" xr:uid="{133203FB-FAFE-4501-AC04-A8BF50A099A6}"/>
    <hyperlink ref="A85" r:id="rId52" xr:uid="{984BFB22-4BF5-42BA-8887-036EA15DBB79}"/>
    <hyperlink ref="A86" r:id="rId53" xr:uid="{E133D2D3-E87F-4888-9A8C-2DC193B45689}"/>
    <hyperlink ref="A87" r:id="rId54" xr:uid="{1A3FECAB-3312-47C3-8285-1A30087F3634}"/>
    <hyperlink ref="A88" r:id="rId55" xr:uid="{22826C2C-F2AC-42BE-9082-38BF9CFF9A6D}"/>
    <hyperlink ref="A89" r:id="rId56" xr:uid="{C04BB526-AE01-4084-B0F3-B5BB4BF7E553}"/>
    <hyperlink ref="A90" r:id="rId57" xr:uid="{F8254DDE-DE50-4E1A-A926-872479662C9C}"/>
    <hyperlink ref="A91" r:id="rId58" xr:uid="{BD28A4B1-76B6-4D05-9ECE-ED6DA6FDABDD}"/>
    <hyperlink ref="A92" r:id="rId59" xr:uid="{A025B1C8-8884-4280-8856-8225F496DA8E}"/>
    <hyperlink ref="A93" r:id="rId60" xr:uid="{4AE8CEFA-03CE-4564-B59E-31F0637293A0}"/>
    <hyperlink ref="A94" r:id="rId61" xr:uid="{87A144AA-C217-448C-B88B-7ECEE8744638}"/>
    <hyperlink ref="A95" r:id="rId62" xr:uid="{391BDA35-1A7C-48F4-96DD-904C53023C44}"/>
    <hyperlink ref="A96" r:id="rId63" xr:uid="{EC139CE2-6E3A-46F8-B86C-68B43165BC2E}"/>
    <hyperlink ref="A97" r:id="rId64" xr:uid="{F5753F87-3BFC-42EA-9D18-E967AE4B6ADB}"/>
    <hyperlink ref="A98" r:id="rId65" xr:uid="{653179AB-93F5-4F74-8526-74CE382E47AC}"/>
    <hyperlink ref="A99" r:id="rId66" xr:uid="{8D2A0444-24A3-43FF-A097-248759303C6F}"/>
    <hyperlink ref="A100" r:id="rId67" xr:uid="{0D47A742-F69E-45FE-8AA8-0C718BC4B935}"/>
    <hyperlink ref="A101" r:id="rId68" xr:uid="{F176C460-5609-49F9-8846-D42FA3468A22}"/>
    <hyperlink ref="A102" r:id="rId69" xr:uid="{EC067FA6-C787-4D5B-98FC-42DF7B7919B6}"/>
    <hyperlink ref="A103" r:id="rId70" xr:uid="{62B2D485-8856-4D27-BF7B-3B1B8CCCCF1D}"/>
    <hyperlink ref="A104" r:id="rId71" xr:uid="{1C15EC71-CF8C-47FE-B1AC-336DEA2256E6}"/>
    <hyperlink ref="A109" r:id="rId72" xr:uid="{53DE8A4A-EF57-4D8D-B6FD-0FD035E85987}"/>
    <hyperlink ref="A111" r:id="rId73" xr:uid="{B07435DD-EC3A-44A0-AD16-F927EDC2F290}"/>
    <hyperlink ref="A112" r:id="rId74" xr:uid="{08D455FA-A6DF-42F3-A41B-83141453F8BF}"/>
    <hyperlink ref="A113" r:id="rId75" xr:uid="{511EACC3-E84E-46B6-B881-8073B97EB3C9}"/>
    <hyperlink ref="A114" r:id="rId76" xr:uid="{3EAA80D9-1BA5-4F25-B6E4-3AB409A8CE61}"/>
    <hyperlink ref="A115" r:id="rId77" xr:uid="{DDA54803-57A7-460C-ABAE-0DEF738ACB5A}"/>
    <hyperlink ref="A116" r:id="rId78" xr:uid="{E0A0DEE5-71D2-4F74-AA75-35A1B17423EB}"/>
    <hyperlink ref="A118" r:id="rId79" xr:uid="{93A5D650-778E-4795-8C22-093DD026B6B8}"/>
    <hyperlink ref="A119" r:id="rId80" xr:uid="{9DC2A924-468B-4F00-84D3-33F27AD6C783}"/>
    <hyperlink ref="A120" r:id="rId81" xr:uid="{4484DDFE-A30F-4B6F-973A-D64572FA5D54}"/>
    <hyperlink ref="A121" r:id="rId82" xr:uid="{ACA63BC2-3601-4708-AD9C-EF6A7E0194E3}"/>
    <hyperlink ref="A122" r:id="rId83" xr:uid="{83B0F3BC-0AB5-4FA6-B1F3-8CB18D944F58}"/>
    <hyperlink ref="A123" r:id="rId84" xr:uid="{3DA72906-CD4E-4F01-86CD-93DE4688446D}"/>
    <hyperlink ref="A69" r:id="rId85" xr:uid="{98D0D3FF-6572-482F-BDF8-A725FC49B00A}"/>
    <hyperlink ref="A124" r:id="rId86" xr:uid="{0C89CCD6-9B02-4118-B7CE-4D2C79E9F50B}"/>
    <hyperlink ref="A110" r:id="rId87" xr:uid="{0840B664-4ED2-4C32-8C72-E48B22A755A7}"/>
    <hyperlink ref="A125" r:id="rId88" xr:uid="{C5E965EB-181D-4EE7-B5A7-18C31E41E34D}"/>
  </hyperlinks>
  <pageMargins left="0.7" right="0.7" top="0.75" bottom="0.75" header="0.3" footer="0.3"/>
  <legacyDrawing r:id="rId8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3A36B-41F2-4790-A9B5-E27565FB64D7}">
  <dimension ref="A1:G35"/>
  <sheetViews>
    <sheetView workbookViewId="0">
      <selection activeCell="C33" sqref="C33"/>
    </sheetView>
  </sheetViews>
  <sheetFormatPr defaultRowHeight="12.75" x14ac:dyDescent="0.2"/>
  <cols>
    <col min="2" max="2" width="44.5703125" bestFit="1" customWidth="1"/>
    <col min="3" max="3" width="46.42578125" bestFit="1" customWidth="1"/>
    <col min="4" max="4" width="20.5703125" bestFit="1" customWidth="1"/>
    <col min="5" max="5" width="21.85546875" customWidth="1"/>
    <col min="6" max="6" width="14.140625" customWidth="1"/>
  </cols>
  <sheetData>
    <row r="1" spans="1:7" s="5" customFormat="1" ht="18.75" x14ac:dyDescent="0.3">
      <c r="A1" s="4" t="s">
        <v>206</v>
      </c>
      <c r="D1" s="6" t="s">
        <v>207</v>
      </c>
      <c r="G1"/>
    </row>
    <row r="2" spans="1:7" s="5" customFormat="1" ht="15.75" x14ac:dyDescent="0.25">
      <c r="A2" s="7"/>
      <c r="D2" s="8">
        <f>F24</f>
        <v>176000</v>
      </c>
      <c r="E2" s="9"/>
      <c r="G2"/>
    </row>
    <row r="3" spans="1:7" s="5" customFormat="1" ht="15.75" x14ac:dyDescent="0.25">
      <c r="A3" s="10"/>
      <c r="G3"/>
    </row>
    <row r="4" spans="1:7" s="5" customFormat="1" ht="15.75" x14ac:dyDescent="0.25">
      <c r="B4" s="11" t="s">
        <v>498</v>
      </c>
      <c r="E4" s="12">
        <f>F23</f>
        <v>1.07</v>
      </c>
      <c r="F4" s="13" t="s">
        <v>208</v>
      </c>
      <c r="G4"/>
    </row>
    <row r="5" spans="1:7" s="5" customFormat="1" ht="15.75" x14ac:dyDescent="0.25">
      <c r="G5"/>
    </row>
    <row r="6" spans="1:7" s="5" customFormat="1" ht="64.5" customHeight="1" x14ac:dyDescent="0.25">
      <c r="B6" s="14" t="s">
        <v>209</v>
      </c>
      <c r="C6" s="14" t="s">
        <v>210</v>
      </c>
      <c r="D6" s="14" t="s">
        <v>211</v>
      </c>
      <c r="E6" s="14" t="s">
        <v>212</v>
      </c>
      <c r="F6" s="14" t="s">
        <v>213</v>
      </c>
      <c r="G6"/>
    </row>
    <row r="7" spans="1:7" s="5" customFormat="1" ht="15.75" x14ac:dyDescent="0.25">
      <c r="B7" s="15" t="s">
        <v>383</v>
      </c>
      <c r="C7" s="15" t="s">
        <v>214</v>
      </c>
      <c r="D7" s="16">
        <v>0.02</v>
      </c>
      <c r="E7" s="16">
        <v>0.01</v>
      </c>
      <c r="F7" s="16">
        <f t="shared" ref="F7:F8" si="0">SUM(D7:E7)</f>
        <v>0.03</v>
      </c>
      <c r="G7"/>
    </row>
    <row r="8" spans="1:7" s="5" customFormat="1" ht="15.75" x14ac:dyDescent="0.25">
      <c r="B8" s="15" t="s">
        <v>215</v>
      </c>
      <c r="C8" s="15" t="s">
        <v>216</v>
      </c>
      <c r="D8" s="16">
        <v>0.1</v>
      </c>
      <c r="E8" s="16">
        <v>0.05</v>
      </c>
      <c r="F8" s="16">
        <f t="shared" si="0"/>
        <v>0.15000000000000002</v>
      </c>
      <c r="G8"/>
    </row>
    <row r="9" spans="1:7" s="5" customFormat="1" ht="15.75" x14ac:dyDescent="0.25">
      <c r="B9" s="15" t="s">
        <v>217</v>
      </c>
      <c r="C9" s="15" t="s">
        <v>218</v>
      </c>
      <c r="D9" s="17">
        <v>0.1</v>
      </c>
      <c r="E9" s="16">
        <v>0.08</v>
      </c>
      <c r="F9" s="18">
        <f>SUM(D9:E9)</f>
        <v>0.18</v>
      </c>
      <c r="G9"/>
    </row>
    <row r="10" spans="1:7" s="5" customFormat="1" ht="15.75" x14ac:dyDescent="0.25">
      <c r="B10" s="15" t="s">
        <v>219</v>
      </c>
      <c r="C10" s="15" t="s">
        <v>220</v>
      </c>
      <c r="D10" s="17">
        <v>0.02</v>
      </c>
      <c r="E10" s="16">
        <v>0.08</v>
      </c>
      <c r="F10" s="18">
        <f>SUM(D10:E10)</f>
        <v>0.1</v>
      </c>
      <c r="G10"/>
    </row>
    <row r="11" spans="1:7" s="5" customFormat="1" ht="15.75" x14ac:dyDescent="0.25">
      <c r="B11" s="15" t="s">
        <v>221</v>
      </c>
      <c r="C11" s="15" t="s">
        <v>222</v>
      </c>
      <c r="D11" s="17">
        <v>0.05</v>
      </c>
      <c r="E11" s="16">
        <v>0</v>
      </c>
      <c r="F11" s="18">
        <f t="shared" ref="F11:F17" si="1">SUM(D11:E11)</f>
        <v>0.05</v>
      </c>
      <c r="G11"/>
    </row>
    <row r="12" spans="1:7" s="5" customFormat="1" ht="15.75" x14ac:dyDescent="0.25">
      <c r="B12" s="15" t="s">
        <v>223</v>
      </c>
      <c r="C12" s="15" t="s">
        <v>224</v>
      </c>
      <c r="D12" s="17">
        <v>0.2</v>
      </c>
      <c r="E12" s="16">
        <v>0</v>
      </c>
      <c r="F12" s="18">
        <f t="shared" si="1"/>
        <v>0.2</v>
      </c>
      <c r="G12"/>
    </row>
    <row r="13" spans="1:7" s="5" customFormat="1" ht="15.75" x14ac:dyDescent="0.25">
      <c r="B13" s="15" t="s">
        <v>225</v>
      </c>
      <c r="C13" s="15" t="s">
        <v>226</v>
      </c>
      <c r="D13" s="17">
        <v>0.1</v>
      </c>
      <c r="E13" s="16">
        <v>0</v>
      </c>
      <c r="F13" s="18">
        <f t="shared" si="1"/>
        <v>0.1</v>
      </c>
      <c r="G13"/>
    </row>
    <row r="14" spans="1:7" s="5" customFormat="1" ht="15.75" x14ac:dyDescent="0.25">
      <c r="B14" s="15" t="s">
        <v>227</v>
      </c>
      <c r="C14" s="15" t="s">
        <v>228</v>
      </c>
      <c r="D14" s="16">
        <v>0.1</v>
      </c>
      <c r="E14" s="16">
        <v>0</v>
      </c>
      <c r="F14" s="16">
        <f t="shared" si="1"/>
        <v>0.1</v>
      </c>
      <c r="G14"/>
    </row>
    <row r="15" spans="1:7" s="5" customFormat="1" ht="15.75" x14ac:dyDescent="0.25">
      <c r="B15" s="15" t="s">
        <v>229</v>
      </c>
      <c r="C15" s="15" t="s">
        <v>230</v>
      </c>
      <c r="D15" s="16">
        <v>0.1</v>
      </c>
      <c r="E15" s="16">
        <v>0</v>
      </c>
      <c r="F15" s="19">
        <f t="shared" si="1"/>
        <v>0.1</v>
      </c>
      <c r="G15"/>
    </row>
    <row r="16" spans="1:7" s="5" customFormat="1" ht="15.75" x14ac:dyDescent="0.25">
      <c r="B16" s="15" t="s">
        <v>231</v>
      </c>
      <c r="C16" s="15" t="s">
        <v>230</v>
      </c>
      <c r="D16" s="16">
        <v>0.01</v>
      </c>
      <c r="E16" s="16">
        <v>0</v>
      </c>
      <c r="F16" s="19">
        <f t="shared" si="1"/>
        <v>0.01</v>
      </c>
      <c r="G16"/>
    </row>
    <row r="17" spans="2:7" s="5" customFormat="1" ht="15.75" x14ac:dyDescent="0.25">
      <c r="B17" s="15" t="s">
        <v>232</v>
      </c>
      <c r="C17" s="15" t="s">
        <v>233</v>
      </c>
      <c r="D17" s="16">
        <v>0.05</v>
      </c>
      <c r="E17" s="16">
        <v>0</v>
      </c>
      <c r="F17" s="19">
        <f t="shared" si="1"/>
        <v>0.05</v>
      </c>
      <c r="G17"/>
    </row>
    <row r="18" spans="2:7" s="5" customFormat="1" ht="15.75" x14ac:dyDescent="0.25">
      <c r="B18" s="20" t="s">
        <v>234</v>
      </c>
      <c r="C18" s="20" t="s">
        <v>235</v>
      </c>
      <c r="D18" s="21">
        <v>0.9</v>
      </c>
      <c r="E18" s="21">
        <v>0.1</v>
      </c>
      <c r="F18" s="21">
        <f>SUM(D18:E18)</f>
        <v>1</v>
      </c>
      <c r="G18"/>
    </row>
    <row r="19" spans="2:7" s="5" customFormat="1" ht="15.75" x14ac:dyDescent="0.25">
      <c r="C19" s="22" t="s">
        <v>208</v>
      </c>
      <c r="D19" s="23">
        <f>SUM(D7:D18)</f>
        <v>1.75</v>
      </c>
      <c r="E19" s="23">
        <f>SUM(E7:E18)</f>
        <v>0.32000000000000006</v>
      </c>
      <c r="F19" s="23">
        <f>SUM(F7:F18)</f>
        <v>2.0700000000000003</v>
      </c>
      <c r="G19"/>
    </row>
    <row r="20" spans="2:7" s="5" customFormat="1" ht="15.75" x14ac:dyDescent="0.25">
      <c r="D20" s="24"/>
      <c r="E20" s="24"/>
      <c r="F20" s="8">
        <v>350000</v>
      </c>
      <c r="G20"/>
    </row>
    <row r="21" spans="2:7" s="5" customFormat="1" ht="15" customHeight="1" x14ac:dyDescent="0.25">
      <c r="G21"/>
    </row>
    <row r="22" spans="2:7" s="5" customFormat="1" ht="15" customHeight="1" x14ac:dyDescent="0.25">
      <c r="C22" s="11" t="s">
        <v>236</v>
      </c>
      <c r="G22"/>
    </row>
    <row r="23" spans="2:7" s="5" customFormat="1" ht="15" customHeight="1" x14ac:dyDescent="0.25">
      <c r="C23" s="25" t="s">
        <v>208</v>
      </c>
      <c r="D23" s="23">
        <f>SUM(D7:D17)</f>
        <v>0.85000000000000009</v>
      </c>
      <c r="E23" s="23">
        <f>SUM(E7:E17)</f>
        <v>0.22000000000000003</v>
      </c>
      <c r="F23" s="23">
        <f>SUM(F7:F17)</f>
        <v>1.07</v>
      </c>
      <c r="G23"/>
    </row>
    <row r="24" spans="2:7" s="5" customFormat="1" ht="15.75" x14ac:dyDescent="0.25">
      <c r="D24" s="24"/>
      <c r="E24" s="24"/>
      <c r="F24" s="8">
        <f>F20-'[1]Category Detail (ALL)'!D79</f>
        <v>176000</v>
      </c>
      <c r="G24" s="127"/>
    </row>
    <row r="29" spans="2:7" x14ac:dyDescent="0.2">
      <c r="B29" s="125" t="s">
        <v>382</v>
      </c>
      <c r="C29" s="125" t="s">
        <v>384</v>
      </c>
    </row>
    <row r="30" spans="2:7" ht="31.5" x14ac:dyDescent="0.25">
      <c r="B30" s="126" t="s">
        <v>329</v>
      </c>
      <c r="C30" s="57">
        <v>0.2</v>
      </c>
    </row>
    <row r="31" spans="2:7" ht="31.5" x14ac:dyDescent="0.25">
      <c r="B31" s="126" t="s">
        <v>330</v>
      </c>
      <c r="C31" s="57">
        <v>0.3</v>
      </c>
    </row>
    <row r="32" spans="2:7" ht="31.5" x14ac:dyDescent="0.25">
      <c r="B32" s="126" t="s">
        <v>331</v>
      </c>
      <c r="C32" s="57">
        <v>0.19</v>
      </c>
    </row>
    <row r="33" spans="2:3" ht="15.75" x14ac:dyDescent="0.25">
      <c r="B33" s="126" t="s">
        <v>332</v>
      </c>
      <c r="C33" s="57">
        <v>0.1</v>
      </c>
    </row>
    <row r="34" spans="2:3" ht="15.75" x14ac:dyDescent="0.25">
      <c r="B34" s="126" t="s">
        <v>333</v>
      </c>
      <c r="C34" s="57">
        <v>0.2</v>
      </c>
    </row>
    <row r="35" spans="2:3" ht="15.75" x14ac:dyDescent="0.25">
      <c r="B35" s="126" t="s">
        <v>385</v>
      </c>
      <c r="C35" s="57">
        <v>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88F8B-1F20-4482-B92F-4C29E85C5EF2}">
  <dimension ref="A1:M60"/>
  <sheetViews>
    <sheetView workbookViewId="0">
      <selection sqref="A1:XFD1"/>
    </sheetView>
  </sheetViews>
  <sheetFormatPr defaultRowHeight="12.75" x14ac:dyDescent="0.2"/>
  <cols>
    <col min="1" max="1" width="47.5703125" customWidth="1"/>
    <col min="3" max="3" width="13.28515625" bestFit="1" customWidth="1"/>
    <col min="4" max="7" width="12" bestFit="1" customWidth="1"/>
    <col min="8" max="8" width="13.28515625" bestFit="1" customWidth="1"/>
    <col min="9" max="9" width="14" bestFit="1" customWidth="1"/>
  </cols>
  <sheetData>
    <row r="1" spans="1:13" ht="18.75" x14ac:dyDescent="0.3">
      <c r="A1" s="4" t="s">
        <v>535</v>
      </c>
    </row>
    <row r="2" spans="1:13" ht="30.75" customHeight="1" x14ac:dyDescent="0.2">
      <c r="A2" s="346" t="s">
        <v>586</v>
      </c>
      <c r="B2" s="346"/>
      <c r="C2" s="346"/>
      <c r="D2" s="346"/>
      <c r="E2" s="346"/>
      <c r="F2" s="346"/>
      <c r="G2" s="346"/>
      <c r="H2" s="346"/>
      <c r="I2" s="309"/>
      <c r="J2" s="309"/>
      <c r="K2" s="309"/>
      <c r="L2" s="309"/>
      <c r="M2" s="309"/>
    </row>
    <row r="4" spans="1:13" ht="18.75" x14ac:dyDescent="0.3">
      <c r="A4" s="4" t="s">
        <v>536</v>
      </c>
    </row>
    <row r="5" spans="1:13" ht="31.5" customHeight="1" x14ac:dyDescent="0.2">
      <c r="A5" s="346" t="s">
        <v>538</v>
      </c>
      <c r="B5" s="346"/>
      <c r="C5" s="346"/>
      <c r="D5" s="346"/>
      <c r="E5" s="346"/>
      <c r="F5" s="346"/>
      <c r="G5" s="346"/>
      <c r="H5" s="346"/>
      <c r="I5" s="309"/>
      <c r="J5" s="309"/>
      <c r="K5" s="309"/>
      <c r="L5" s="309"/>
      <c r="M5" s="309"/>
    </row>
    <row r="6" spans="1:13" ht="13.5" thickBot="1" x14ac:dyDescent="0.25"/>
    <row r="7" spans="1:13" s="273" customFormat="1" ht="19.5" customHeight="1" thickBot="1" x14ac:dyDescent="0.25">
      <c r="A7" s="271" t="s">
        <v>537</v>
      </c>
      <c r="B7" s="272">
        <v>0.25</v>
      </c>
    </row>
    <row r="9" spans="1:13" ht="19.5" thickBot="1" x14ac:dyDescent="0.35">
      <c r="A9" s="4" t="s">
        <v>539</v>
      </c>
    </row>
    <row r="10" spans="1:13" ht="19.5" thickBot="1" x14ac:dyDescent="0.35">
      <c r="A10" s="4"/>
      <c r="B10" s="347" t="s">
        <v>540</v>
      </c>
      <c r="C10" s="348"/>
    </row>
    <row r="11" spans="1:13" ht="19.5" thickBot="1" x14ac:dyDescent="0.35">
      <c r="A11" s="4"/>
      <c r="B11" s="274" t="s">
        <v>541</v>
      </c>
      <c r="C11" s="274" t="s">
        <v>542</v>
      </c>
    </row>
    <row r="12" spans="1:13" ht="15.75" x14ac:dyDescent="0.25">
      <c r="A12" s="275" t="s">
        <v>543</v>
      </c>
      <c r="B12" s="276">
        <f>C12/C14</f>
        <v>0.81005184735391655</v>
      </c>
      <c r="C12" s="277">
        <f>SUM('Funding Shares (Combined)'!H8,'Funding Shares (Combined)'!H10)</f>
        <v>8671200</v>
      </c>
    </row>
    <row r="13" spans="1:13" ht="16.5" thickBot="1" x14ac:dyDescent="0.3">
      <c r="A13" s="278" t="s">
        <v>544</v>
      </c>
      <c r="B13" s="279">
        <f>C13/C14</f>
        <v>0.18994815264608342</v>
      </c>
      <c r="C13" s="280">
        <f>'Funding Shares (Combined)'!H9</f>
        <v>2033300</v>
      </c>
    </row>
    <row r="14" spans="1:13" ht="16.5" thickBot="1" x14ac:dyDescent="0.3">
      <c r="A14" s="281" t="s">
        <v>545</v>
      </c>
      <c r="B14" s="282">
        <f>SUM(B12:B13)</f>
        <v>1</v>
      </c>
      <c r="C14" s="283">
        <f>SUM(C12:C13)</f>
        <v>10704500</v>
      </c>
    </row>
    <row r="16" spans="1:13" ht="18.75" x14ac:dyDescent="0.3">
      <c r="A16" s="4" t="s">
        <v>546</v>
      </c>
    </row>
    <row r="17" spans="1:13" ht="31.5" customHeight="1" x14ac:dyDescent="0.2">
      <c r="A17" s="346" t="s">
        <v>548</v>
      </c>
      <c r="B17" s="346"/>
      <c r="C17" s="346"/>
      <c r="D17" s="346"/>
      <c r="E17" s="346"/>
      <c r="F17" s="346"/>
      <c r="G17" s="346"/>
      <c r="H17" s="346"/>
      <c r="I17" s="309"/>
      <c r="J17" s="309"/>
      <c r="K17" s="309"/>
      <c r="L17" s="309"/>
      <c r="M17" s="309"/>
    </row>
    <row r="18" spans="1:13" ht="13.5" thickBot="1" x14ac:dyDescent="0.25"/>
    <row r="19" spans="1:13" s="273" customFormat="1" ht="19.5" customHeight="1" thickBot="1" x14ac:dyDescent="0.25">
      <c r="A19" s="271" t="s">
        <v>547</v>
      </c>
      <c r="B19" s="272">
        <v>0.25</v>
      </c>
    </row>
    <row r="20" spans="1:13" s="273" customFormat="1" ht="15.75" x14ac:dyDescent="0.2">
      <c r="A20" s="284"/>
      <c r="B20" s="285"/>
    </row>
    <row r="21" spans="1:13" ht="19.5" thickBot="1" x14ac:dyDescent="0.35">
      <c r="A21" s="4" t="s">
        <v>539</v>
      </c>
    </row>
    <row r="22" spans="1:13" ht="19.5" thickBot="1" x14ac:dyDescent="0.35">
      <c r="A22" s="4"/>
      <c r="B22" s="347" t="s">
        <v>540</v>
      </c>
      <c r="C22" s="348"/>
    </row>
    <row r="23" spans="1:13" ht="19.5" thickBot="1" x14ac:dyDescent="0.35">
      <c r="A23" s="4"/>
      <c r="B23" s="274" t="s">
        <v>541</v>
      </c>
      <c r="C23" s="274" t="s">
        <v>542</v>
      </c>
    </row>
    <row r="24" spans="1:13" ht="15.75" x14ac:dyDescent="0.25">
      <c r="A24" s="275" t="s">
        <v>583</v>
      </c>
      <c r="B24" s="276">
        <f>C24/C26</f>
        <v>0.92548897499769356</v>
      </c>
      <c r="C24" s="277">
        <f>'Funding Shares (Combined)'!H8</f>
        <v>8025100</v>
      </c>
    </row>
    <row r="25" spans="1:13" ht="16.5" thickBot="1" x14ac:dyDescent="0.3">
      <c r="A25" s="278" t="s">
        <v>549</v>
      </c>
      <c r="B25" s="279">
        <f>C25/C26</f>
        <v>7.4511025002306483E-2</v>
      </c>
      <c r="C25" s="280">
        <f>'Funding Shares (Combined)'!H10</f>
        <v>646100</v>
      </c>
    </row>
    <row r="26" spans="1:13" ht="16.5" thickBot="1" x14ac:dyDescent="0.3">
      <c r="A26" s="281" t="s">
        <v>545</v>
      </c>
      <c r="B26" s="282">
        <f>SUM(B24:B25)</f>
        <v>1</v>
      </c>
      <c r="C26" s="283">
        <f>SUM(C24:C25)</f>
        <v>8671200</v>
      </c>
    </row>
    <row r="29" spans="1:13" ht="18.75" x14ac:dyDescent="0.3">
      <c r="A29" s="4" t="s">
        <v>587</v>
      </c>
    </row>
    <row r="30" spans="1:13" ht="13.5" thickBot="1" x14ac:dyDescent="0.25">
      <c r="H30" s="56"/>
    </row>
    <row r="31" spans="1:13" ht="16.5" customHeight="1" thickBot="1" x14ac:dyDescent="0.3">
      <c r="A31" s="338" t="s">
        <v>465</v>
      </c>
      <c r="B31" s="340" t="s">
        <v>550</v>
      </c>
      <c r="C31" s="343" t="s">
        <v>551</v>
      </c>
      <c r="D31" s="344"/>
      <c r="E31" s="344"/>
      <c r="F31" s="344"/>
      <c r="G31" s="344"/>
      <c r="H31" s="345"/>
    </row>
    <row r="32" spans="1:13" ht="16.5" thickBot="1" x14ac:dyDescent="0.3">
      <c r="A32" s="339"/>
      <c r="B32" s="341"/>
      <c r="C32" s="286">
        <v>2025</v>
      </c>
      <c r="D32" s="287">
        <v>2026</v>
      </c>
      <c r="E32" s="287">
        <v>2027</v>
      </c>
      <c r="F32" s="287">
        <v>2028</v>
      </c>
      <c r="G32" s="287">
        <v>2029</v>
      </c>
      <c r="H32" s="288" t="s">
        <v>473</v>
      </c>
    </row>
    <row r="33" spans="1:10" ht="16.5" thickBot="1" x14ac:dyDescent="0.3">
      <c r="A33" s="339"/>
      <c r="B33" s="342"/>
      <c r="C33" s="289">
        <f>'2025-2029 Category Detail'!K5</f>
        <v>2036500</v>
      </c>
      <c r="D33" s="290">
        <f>'2025-2029 Category Detail'!U5</f>
        <v>2087400</v>
      </c>
      <c r="E33" s="290">
        <f>'2025-2029 Category Detail'!AE5</f>
        <v>2139600</v>
      </c>
      <c r="F33" s="290">
        <f>'2025-2029 Category Detail'!AO5</f>
        <v>2193100</v>
      </c>
      <c r="G33" s="290">
        <f>'2025-2029 Category Detail'!AY5</f>
        <v>2247900</v>
      </c>
      <c r="H33" s="291">
        <f>SUM(C33:G33)</f>
        <v>10704500</v>
      </c>
    </row>
    <row r="34" spans="1:10" ht="15.75" x14ac:dyDescent="0.25">
      <c r="A34" s="307" t="str">
        <f>'Funding Shares (Combined)'!A130</f>
        <v>Bonneville Power Administration</v>
      </c>
      <c r="B34" s="299">
        <f>H34/$H$33</f>
        <v>0.29664159932738565</v>
      </c>
      <c r="C34" s="300">
        <f>'Funding Shares (Combined)'!C130</f>
        <v>604100</v>
      </c>
      <c r="D34" s="301">
        <f>'Funding Shares (Combined)'!D130</f>
        <v>619200</v>
      </c>
      <c r="E34" s="301">
        <f>'Funding Shares (Combined)'!E130</f>
        <v>634700</v>
      </c>
      <c r="F34" s="301">
        <f>'Funding Shares (Combined)'!F130</f>
        <v>650500</v>
      </c>
      <c r="G34" s="301">
        <f>'Funding Shares (Combined)'!G130</f>
        <v>666900</v>
      </c>
      <c r="H34" s="302">
        <f>SUM(C34:G34)</f>
        <v>3175400</v>
      </c>
      <c r="I34" s="321"/>
      <c r="J34" s="322"/>
    </row>
    <row r="35" spans="1:10" ht="15.75" x14ac:dyDescent="0.25">
      <c r="A35" s="308" t="str">
        <f>'Funding Shares (Combined)'!A131</f>
        <v>Energy Trust of Oregon</v>
      </c>
      <c r="B35" s="303">
        <f t="shared" ref="B35:B51" si="0">H35/$H$33</f>
        <v>0.21462936148348824</v>
      </c>
      <c r="C35" s="304">
        <f>'Funding Shares (Combined)'!C131</f>
        <v>437100</v>
      </c>
      <c r="D35" s="305">
        <f>'Funding Shares (Combined)'!D131</f>
        <v>448000</v>
      </c>
      <c r="E35" s="305">
        <f>'Funding Shares (Combined)'!E131</f>
        <v>459200</v>
      </c>
      <c r="F35" s="305">
        <f>'Funding Shares (Combined)'!F131</f>
        <v>470700</v>
      </c>
      <c r="G35" s="305">
        <f>'Funding Shares (Combined)'!G131</f>
        <v>482500</v>
      </c>
      <c r="H35" s="306">
        <f t="shared" ref="H35:H51" si="1">SUM(C35:G35)</f>
        <v>2297500</v>
      </c>
      <c r="J35" s="322"/>
    </row>
    <row r="36" spans="1:10" ht="15.75" x14ac:dyDescent="0.25">
      <c r="A36" s="308" t="str">
        <f>'Funding Shares (Combined)'!A132</f>
        <v>Puget Sound Energy</v>
      </c>
      <c r="B36" s="303">
        <f t="shared" si="0"/>
        <v>0.19266663552711477</v>
      </c>
      <c r="C36" s="304">
        <f>'Funding Shares (Combined)'!C132</f>
        <v>392400</v>
      </c>
      <c r="D36" s="305">
        <f>'Funding Shares (Combined)'!D132</f>
        <v>402300</v>
      </c>
      <c r="E36" s="305">
        <f>'Funding Shares (Combined)'!E132</f>
        <v>412100</v>
      </c>
      <c r="F36" s="305">
        <f>'Funding Shares (Combined)'!F132</f>
        <v>422500</v>
      </c>
      <c r="G36" s="305">
        <f>'Funding Shares (Combined)'!G132</f>
        <v>433100</v>
      </c>
      <c r="H36" s="306">
        <f t="shared" si="1"/>
        <v>2062400</v>
      </c>
      <c r="J36" s="322"/>
    </row>
    <row r="37" spans="1:10" ht="15.75" x14ac:dyDescent="0.25">
      <c r="A37" s="308" t="str">
        <f>'Funding Shares (Combined)'!A133</f>
        <v>Idaho Power Company</v>
      </c>
      <c r="B37" s="303">
        <f t="shared" si="0"/>
        <v>7.4492036059601099E-2</v>
      </c>
      <c r="C37" s="304">
        <f>'Funding Shares (Combined)'!C133</f>
        <v>151700</v>
      </c>
      <c r="D37" s="305">
        <f>'Funding Shares (Combined)'!D133</f>
        <v>155500</v>
      </c>
      <c r="E37" s="305">
        <f>'Funding Shares (Combined)'!E133</f>
        <v>159400</v>
      </c>
      <c r="F37" s="305">
        <f>'Funding Shares (Combined)'!F133</f>
        <v>163400</v>
      </c>
      <c r="G37" s="305">
        <f>'Funding Shares (Combined)'!G133</f>
        <v>167400</v>
      </c>
      <c r="H37" s="306">
        <f t="shared" si="1"/>
        <v>797400</v>
      </c>
      <c r="J37" s="322"/>
    </row>
    <row r="38" spans="1:10" ht="15.75" x14ac:dyDescent="0.25">
      <c r="A38" s="308" t="str">
        <f>'Funding Shares (Combined)'!A134</f>
        <v>Avista Corporation, Inc</v>
      </c>
      <c r="B38" s="303">
        <f t="shared" si="0"/>
        <v>6.8429165304311271E-2</v>
      </c>
      <c r="C38" s="304">
        <f>'Funding Shares (Combined)'!C134</f>
        <v>139400</v>
      </c>
      <c r="D38" s="305">
        <f>'Funding Shares (Combined)'!D134</f>
        <v>142800</v>
      </c>
      <c r="E38" s="305">
        <f>'Funding Shares (Combined)'!E134</f>
        <v>146500</v>
      </c>
      <c r="F38" s="305">
        <f>'Funding Shares (Combined)'!F134</f>
        <v>150000</v>
      </c>
      <c r="G38" s="305">
        <f>'Funding Shares (Combined)'!G134</f>
        <v>153800</v>
      </c>
      <c r="H38" s="306">
        <f t="shared" si="1"/>
        <v>732500</v>
      </c>
      <c r="J38" s="322"/>
    </row>
    <row r="39" spans="1:10" ht="15.75" x14ac:dyDescent="0.25">
      <c r="A39" s="308" t="str">
        <f>'Funding Shares (Combined)'!A135</f>
        <v>Seattle City Light</v>
      </c>
      <c r="B39" s="303">
        <f t="shared" si="0"/>
        <v>2.8277827082068288E-2</v>
      </c>
      <c r="C39" s="304">
        <f>'Funding Shares (Combined)'!C135</f>
        <v>57600</v>
      </c>
      <c r="D39" s="305">
        <f>'Funding Shares (Combined)'!D135</f>
        <v>59000</v>
      </c>
      <c r="E39" s="305">
        <f>'Funding Shares (Combined)'!E135</f>
        <v>60500</v>
      </c>
      <c r="F39" s="305">
        <f>'Funding Shares (Combined)'!F135</f>
        <v>62000</v>
      </c>
      <c r="G39" s="305">
        <f>'Funding Shares (Combined)'!G135</f>
        <v>63600</v>
      </c>
      <c r="H39" s="306">
        <f t="shared" si="1"/>
        <v>302700</v>
      </c>
      <c r="J39" s="322"/>
    </row>
    <row r="40" spans="1:10" ht="15.75" x14ac:dyDescent="0.25">
      <c r="A40" s="308" t="str">
        <f>'Funding Shares (Combined)'!A136</f>
        <v>PacifiCorp (Washington)</v>
      </c>
      <c r="B40" s="303">
        <f t="shared" si="0"/>
        <v>2.5792890840300807E-2</v>
      </c>
      <c r="C40" s="304">
        <f>'Funding Shares (Combined)'!C136</f>
        <v>52500</v>
      </c>
      <c r="D40" s="305">
        <f>'Funding Shares (Combined)'!D136</f>
        <v>53900</v>
      </c>
      <c r="E40" s="305">
        <f>'Funding Shares (Combined)'!E136</f>
        <v>55200</v>
      </c>
      <c r="F40" s="305">
        <f>'Funding Shares (Combined)'!F136</f>
        <v>56600</v>
      </c>
      <c r="G40" s="305">
        <f>'Funding Shares (Combined)'!G136</f>
        <v>57900</v>
      </c>
      <c r="H40" s="306">
        <f t="shared" si="1"/>
        <v>276100</v>
      </c>
    </row>
    <row r="41" spans="1:10" ht="15.75" x14ac:dyDescent="0.25">
      <c r="A41" s="308" t="str">
        <f>'Funding Shares (Combined)'!A137</f>
        <v>PacifiCorp (Idaho)</v>
      </c>
      <c r="B41" s="303">
        <f t="shared" si="0"/>
        <v>1.7553365407071791E-2</v>
      </c>
      <c r="C41" s="304">
        <f>'Funding Shares (Combined)'!C137</f>
        <v>35800</v>
      </c>
      <c r="D41" s="305">
        <f>'Funding Shares (Combined)'!D137</f>
        <v>36600</v>
      </c>
      <c r="E41" s="305">
        <f>'Funding Shares (Combined)'!E137</f>
        <v>37600</v>
      </c>
      <c r="F41" s="305">
        <f>'Funding Shares (Combined)'!F137</f>
        <v>38500</v>
      </c>
      <c r="G41" s="305">
        <f>'Funding Shares (Combined)'!G137</f>
        <v>39400</v>
      </c>
      <c r="H41" s="306">
        <f t="shared" si="1"/>
        <v>187900</v>
      </c>
    </row>
    <row r="42" spans="1:10" ht="15.75" x14ac:dyDescent="0.25">
      <c r="A42" s="308" t="str">
        <f>'Funding Shares (Combined)'!A138</f>
        <v>Cascade Natural Gas</v>
      </c>
      <c r="B42" s="303">
        <f t="shared" si="0"/>
        <v>1.7506656079219019E-2</v>
      </c>
      <c r="C42" s="304">
        <f>'Funding Shares (Combined)'!C138</f>
        <v>35600</v>
      </c>
      <c r="D42" s="305">
        <f>'Funding Shares (Combined)'!D138</f>
        <v>36500</v>
      </c>
      <c r="E42" s="305">
        <f>'Funding Shares (Combined)'!E138</f>
        <v>37500</v>
      </c>
      <c r="F42" s="305">
        <f>'Funding Shares (Combined)'!F138</f>
        <v>38500</v>
      </c>
      <c r="G42" s="305">
        <f>'Funding Shares (Combined)'!G138</f>
        <v>39300</v>
      </c>
      <c r="H42" s="306">
        <f t="shared" si="1"/>
        <v>187400</v>
      </c>
    </row>
    <row r="43" spans="1:10" ht="15.75" x14ac:dyDescent="0.25">
      <c r="A43" s="308" t="str">
        <f>'Funding Shares (Combined)'!A139</f>
        <v>NorthWestern Energy</v>
      </c>
      <c r="B43" s="303">
        <f t="shared" si="0"/>
        <v>1.6834041758139101E-2</v>
      </c>
      <c r="C43" s="304">
        <f>'Funding Shares (Combined)'!C139</f>
        <v>34300</v>
      </c>
      <c r="D43" s="305">
        <f>'Funding Shares (Combined)'!D139</f>
        <v>35200</v>
      </c>
      <c r="E43" s="305">
        <f>'Funding Shares (Combined)'!E139</f>
        <v>36000</v>
      </c>
      <c r="F43" s="305">
        <f>'Funding Shares (Combined)'!F139</f>
        <v>36900</v>
      </c>
      <c r="G43" s="305">
        <f>'Funding Shares (Combined)'!G139</f>
        <v>37800</v>
      </c>
      <c r="H43" s="306">
        <f t="shared" si="1"/>
        <v>180200</v>
      </c>
    </row>
    <row r="44" spans="1:10" ht="15.75" x14ac:dyDescent="0.25">
      <c r="A44" s="308" t="str">
        <f>'Funding Shares (Combined)'!A140</f>
        <v>PUD No 1 of Clark County</v>
      </c>
      <c r="B44" s="303">
        <f t="shared" si="0"/>
        <v>1.0098556681769349E-2</v>
      </c>
      <c r="C44" s="304">
        <f>'Funding Shares (Combined)'!C140</f>
        <v>20500</v>
      </c>
      <c r="D44" s="305">
        <f>'Funding Shares (Combined)'!D140</f>
        <v>21100</v>
      </c>
      <c r="E44" s="305">
        <f>'Funding Shares (Combined)'!E140</f>
        <v>21600</v>
      </c>
      <c r="F44" s="305">
        <f>'Funding Shares (Combined)'!F140</f>
        <v>22200</v>
      </c>
      <c r="G44" s="305">
        <f>'Funding Shares (Combined)'!G140</f>
        <v>22700</v>
      </c>
      <c r="H44" s="306">
        <f t="shared" si="1"/>
        <v>108100</v>
      </c>
    </row>
    <row r="45" spans="1:10" ht="15.75" x14ac:dyDescent="0.25">
      <c r="A45" s="308" t="str">
        <f>'Funding Shares (Combined)'!A141</f>
        <v>Chelan</v>
      </c>
      <c r="B45" s="303">
        <f t="shared" si="0"/>
        <v>8.0059787939651544E-3</v>
      </c>
      <c r="C45" s="304">
        <f>'Funding Shares (Combined)'!C141</f>
        <v>16300</v>
      </c>
      <c r="D45" s="305">
        <f>'Funding Shares (Combined)'!D141</f>
        <v>16600</v>
      </c>
      <c r="E45" s="305">
        <f>'Funding Shares (Combined)'!E141</f>
        <v>17200</v>
      </c>
      <c r="F45" s="305">
        <f>'Funding Shares (Combined)'!F141</f>
        <v>17600</v>
      </c>
      <c r="G45" s="305">
        <f>'Funding Shares (Combined)'!G141</f>
        <v>18000</v>
      </c>
      <c r="H45" s="306">
        <f t="shared" si="1"/>
        <v>85700</v>
      </c>
    </row>
    <row r="46" spans="1:10" ht="15.75" x14ac:dyDescent="0.25">
      <c r="A46" s="308" t="str">
        <f>'Funding Shares (Combined)'!A142</f>
        <v>Tacoma Power</v>
      </c>
      <c r="B46" s="303">
        <f t="shared" si="0"/>
        <v>7.6416460367135317E-3</v>
      </c>
      <c r="C46" s="304">
        <f>'Funding Shares (Combined)'!C142</f>
        <v>15600</v>
      </c>
      <c r="D46" s="305">
        <f>'Funding Shares (Combined)'!D142</f>
        <v>16000</v>
      </c>
      <c r="E46" s="305">
        <f>'Funding Shares (Combined)'!E142</f>
        <v>16300</v>
      </c>
      <c r="F46" s="305">
        <f>'Funding Shares (Combined)'!F142</f>
        <v>16700</v>
      </c>
      <c r="G46" s="305">
        <f>'Funding Shares (Combined)'!G142</f>
        <v>17200</v>
      </c>
      <c r="H46" s="306">
        <f t="shared" si="1"/>
        <v>81800</v>
      </c>
    </row>
    <row r="47" spans="1:10" ht="15.75" x14ac:dyDescent="0.25">
      <c r="A47" s="308" t="str">
        <f>'Funding Shares (Combined)'!A143</f>
        <v>Portland General Electric (Energy Trust DR Share)</v>
      </c>
      <c r="B47" s="303">
        <f t="shared" si="0"/>
        <v>6.9223223877808394E-3</v>
      </c>
      <c r="C47" s="304">
        <f>'Funding Shares (Combined)'!C143</f>
        <v>14100</v>
      </c>
      <c r="D47" s="305">
        <f>'Funding Shares (Combined)'!D143</f>
        <v>14400</v>
      </c>
      <c r="E47" s="305">
        <f>'Funding Shares (Combined)'!E143</f>
        <v>14800</v>
      </c>
      <c r="F47" s="305">
        <f>'Funding Shares (Combined)'!F143</f>
        <v>15200</v>
      </c>
      <c r="G47" s="305">
        <f>'Funding Shares (Combined)'!G143</f>
        <v>15600</v>
      </c>
      <c r="H47" s="306">
        <f t="shared" si="1"/>
        <v>74100</v>
      </c>
    </row>
    <row r="48" spans="1:10" ht="15.75" x14ac:dyDescent="0.25">
      <c r="A48" s="308" t="str">
        <f>'Funding Shares (Combined)'!A144</f>
        <v>NW Natural</v>
      </c>
      <c r="B48" s="303">
        <f t="shared" si="0"/>
        <v>5.9040590405904057E-3</v>
      </c>
      <c r="C48" s="304">
        <f>'Funding Shares (Combined)'!C144</f>
        <v>12000</v>
      </c>
      <c r="D48" s="305">
        <f>'Funding Shares (Combined)'!D144</f>
        <v>12400</v>
      </c>
      <c r="E48" s="305">
        <f>'Funding Shares (Combined)'!E144</f>
        <v>12600</v>
      </c>
      <c r="F48" s="305">
        <f>'Funding Shares (Combined)'!F144</f>
        <v>12900</v>
      </c>
      <c r="G48" s="305">
        <f>'Funding Shares (Combined)'!G144</f>
        <v>13300</v>
      </c>
      <c r="H48" s="306">
        <f t="shared" si="1"/>
        <v>63200</v>
      </c>
    </row>
    <row r="49" spans="1:8" ht="15.75" x14ac:dyDescent="0.25">
      <c r="A49" s="308" t="str">
        <f>'Funding Shares (Combined)'!A145</f>
        <v>Snohomish County PUD</v>
      </c>
      <c r="B49" s="303">
        <f t="shared" si="0"/>
        <v>5.3715727030688026E-3</v>
      </c>
      <c r="C49" s="304">
        <f>'Funding Shares (Combined)'!C145</f>
        <v>10900</v>
      </c>
      <c r="D49" s="305">
        <f>'Funding Shares (Combined)'!D145</f>
        <v>11200</v>
      </c>
      <c r="E49" s="305">
        <f>'Funding Shares (Combined)'!E145</f>
        <v>11500</v>
      </c>
      <c r="F49" s="305">
        <f>'Funding Shares (Combined)'!F145</f>
        <v>11800</v>
      </c>
      <c r="G49" s="305">
        <f>'Funding Shares (Combined)'!G145</f>
        <v>12100</v>
      </c>
      <c r="H49" s="306">
        <f t="shared" si="1"/>
        <v>57500</v>
      </c>
    </row>
    <row r="50" spans="1:8" ht="15.75" x14ac:dyDescent="0.25">
      <c r="A50" s="335" t="str">
        <f>'Funding Shares (Combined)'!A146</f>
        <v>Eugene Water &amp; Electric Board</v>
      </c>
      <c r="B50" s="303">
        <f t="shared" si="0"/>
        <v>1.7282451305525714E-3</v>
      </c>
      <c r="C50" s="304">
        <f>'Funding Shares (Combined)'!C146</f>
        <v>3500</v>
      </c>
      <c r="D50" s="305">
        <f>'Funding Shares (Combined)'!D146</f>
        <v>3600</v>
      </c>
      <c r="E50" s="305">
        <f>'Funding Shares (Combined)'!E146</f>
        <v>3700</v>
      </c>
      <c r="F50" s="305">
        <f>'Funding Shares (Combined)'!F146</f>
        <v>3800</v>
      </c>
      <c r="G50" s="305">
        <f>'Funding Shares (Combined)'!G146</f>
        <v>3900</v>
      </c>
      <c r="H50" s="306">
        <f t="shared" si="1"/>
        <v>18500</v>
      </c>
    </row>
    <row r="51" spans="1:8" ht="16.5" thickBot="1" x14ac:dyDescent="0.3">
      <c r="A51" s="336" t="str">
        <f>'Funding Shares (Combined)'!A147</f>
        <v>PUD No 1 of Cowlitz County</v>
      </c>
      <c r="B51" s="303">
        <f t="shared" si="0"/>
        <v>1.5040403568592649E-3</v>
      </c>
      <c r="C51" s="304">
        <f>'Funding Shares (Combined)'!C147</f>
        <v>3100</v>
      </c>
      <c r="D51" s="305">
        <f>'Funding Shares (Combined)'!D147</f>
        <v>3100</v>
      </c>
      <c r="E51" s="305">
        <f>'Funding Shares (Combined)'!E147</f>
        <v>3200</v>
      </c>
      <c r="F51" s="305">
        <f>'Funding Shares (Combined)'!F147</f>
        <v>3300</v>
      </c>
      <c r="G51" s="305">
        <f>'Funding Shares (Combined)'!G147</f>
        <v>3400</v>
      </c>
      <c r="H51" s="306">
        <f t="shared" si="1"/>
        <v>16100</v>
      </c>
    </row>
    <row r="52" spans="1:8" ht="16.5" thickBot="1" x14ac:dyDescent="0.3">
      <c r="A52" s="292" t="s">
        <v>473</v>
      </c>
      <c r="B52" s="298">
        <v>0.99999999999999989</v>
      </c>
      <c r="C52" s="293">
        <f t="shared" ref="C52:H52" si="2">SUM(C34:C51)</f>
        <v>2036500</v>
      </c>
      <c r="D52" s="294">
        <f t="shared" si="2"/>
        <v>2087400</v>
      </c>
      <c r="E52" s="294">
        <f t="shared" si="2"/>
        <v>2139600</v>
      </c>
      <c r="F52" s="294">
        <f t="shared" si="2"/>
        <v>2193100</v>
      </c>
      <c r="G52" s="294">
        <f t="shared" si="2"/>
        <v>2247900</v>
      </c>
      <c r="H52" s="295">
        <f t="shared" si="2"/>
        <v>10704500</v>
      </c>
    </row>
    <row r="53" spans="1:8" x14ac:dyDescent="0.2">
      <c r="A53" s="296" t="s">
        <v>552</v>
      </c>
      <c r="H53" s="56"/>
    </row>
    <row r="54" spans="1:8" x14ac:dyDescent="0.2">
      <c r="A54" t="s">
        <v>556</v>
      </c>
      <c r="H54" s="56"/>
    </row>
    <row r="55" spans="1:8" x14ac:dyDescent="0.2">
      <c r="H55" s="56"/>
    </row>
    <row r="56" spans="1:8" ht="19.5" thickBot="1" x14ac:dyDescent="0.35">
      <c r="A56" s="4" t="s">
        <v>553</v>
      </c>
    </row>
    <row r="57" spans="1:8" ht="15.75" x14ac:dyDescent="0.25">
      <c r="A57" s="275" t="s">
        <v>554</v>
      </c>
      <c r="B57" s="297">
        <v>2.5000000000000001E-2</v>
      </c>
      <c r="C57" s="124"/>
    </row>
    <row r="59" spans="1:8" ht="19.5" thickBot="1" x14ac:dyDescent="0.35">
      <c r="A59" s="4" t="s">
        <v>559</v>
      </c>
    </row>
    <row r="60" spans="1:8" ht="15.75" x14ac:dyDescent="0.25">
      <c r="A60" s="275" t="s">
        <v>560</v>
      </c>
      <c r="B60" s="314">
        <v>-2</v>
      </c>
      <c r="C60" s="124"/>
    </row>
  </sheetData>
  <mergeCells count="8">
    <mergeCell ref="A31:A33"/>
    <mergeCell ref="B31:B33"/>
    <mergeCell ref="C31:H31"/>
    <mergeCell ref="A2:H2"/>
    <mergeCell ref="A5:H5"/>
    <mergeCell ref="A17:H17"/>
    <mergeCell ref="B10:C10"/>
    <mergeCell ref="B22:C22"/>
  </mergeCells>
  <conditionalFormatting sqref="C14">
    <cfRule type="cellIs" dxfId="45" priority="3" operator="notEqual">
      <formula>#REF!</formula>
    </cfRule>
    <cfRule type="cellIs" dxfId="44" priority="4" operator="equal">
      <formula>#REF!</formula>
    </cfRule>
  </conditionalFormatting>
  <conditionalFormatting sqref="C26">
    <cfRule type="cellIs" dxfId="43" priority="1" operator="notEqual">
      <formula>#REF!</formula>
    </cfRule>
    <cfRule type="cellIs" dxfId="42" priority="2" operator="equal">
      <formula>#REF!</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595C6-4657-412B-9A13-56937EE08A74}">
  <dimension ref="B1:AQ79"/>
  <sheetViews>
    <sheetView workbookViewId="0">
      <selection activeCell="B1" sqref="B1"/>
    </sheetView>
  </sheetViews>
  <sheetFormatPr defaultRowHeight="12.75" x14ac:dyDescent="0.2"/>
  <cols>
    <col min="2" max="2" width="59.140625" customWidth="1"/>
    <col min="3" max="8" width="14.140625" customWidth="1"/>
    <col min="10" max="14" width="14.140625" customWidth="1"/>
    <col min="15" max="15" width="8.140625" bestFit="1" customWidth="1"/>
    <col min="17" max="21" width="14.7109375" customWidth="1"/>
    <col min="22" max="22" width="8.140625" bestFit="1" customWidth="1"/>
    <col min="24" max="28" width="14.7109375" customWidth="1"/>
    <col min="29" max="29" width="8.140625" bestFit="1" customWidth="1"/>
    <col min="31" max="35" width="14.7109375" customWidth="1"/>
    <col min="36" max="36" width="8.140625" bestFit="1" customWidth="1"/>
    <col min="38" max="42" width="14.7109375" customWidth="1"/>
    <col min="43" max="43" width="8.140625" bestFit="1" customWidth="1"/>
  </cols>
  <sheetData>
    <row r="1" spans="2:43" ht="18.75" x14ac:dyDescent="0.3">
      <c r="B1" s="4" t="s">
        <v>499</v>
      </c>
    </row>
    <row r="2" spans="2:43" ht="15" x14ac:dyDescent="0.25">
      <c r="B2" s="7" t="str">
        <f>'Table of Contents'!$B$2</f>
        <v>DRAFT Proposed 5-Year Funding Levels (2025-2029) for discussion at March 26, 2024 RTF Policy Advisory Committee Meeting</v>
      </c>
    </row>
    <row r="4" spans="2:43" ht="26.25" customHeight="1" x14ac:dyDescent="0.25">
      <c r="B4" s="10"/>
      <c r="C4" s="357" t="s">
        <v>255</v>
      </c>
      <c r="D4" s="358"/>
      <c r="E4" s="358"/>
      <c r="F4" s="358"/>
      <c r="G4" s="359"/>
      <c r="H4" s="10"/>
      <c r="J4" s="357" t="s">
        <v>285</v>
      </c>
      <c r="K4" s="358"/>
      <c r="L4" s="358"/>
      <c r="M4" s="358"/>
      <c r="N4" s="359"/>
      <c r="Q4" s="357" t="s">
        <v>282</v>
      </c>
      <c r="R4" s="358"/>
      <c r="S4" s="358"/>
      <c r="T4" s="358"/>
      <c r="U4" s="359"/>
      <c r="X4" s="357" t="s">
        <v>283</v>
      </c>
      <c r="Y4" s="358"/>
      <c r="Z4" s="358"/>
      <c r="AA4" s="358"/>
      <c r="AB4" s="359"/>
      <c r="AE4" s="357" t="s">
        <v>284</v>
      </c>
      <c r="AF4" s="358"/>
      <c r="AG4" s="358"/>
      <c r="AH4" s="358"/>
      <c r="AI4" s="359"/>
      <c r="AL4" s="357" t="s">
        <v>256</v>
      </c>
      <c r="AM4" s="358"/>
      <c r="AN4" s="358"/>
      <c r="AO4" s="358"/>
      <c r="AP4" s="359"/>
    </row>
    <row r="5" spans="2:43" ht="63" x14ac:dyDescent="0.25">
      <c r="B5" s="51" t="s">
        <v>237</v>
      </c>
      <c r="C5" s="52" t="s">
        <v>257</v>
      </c>
      <c r="D5" s="52" t="s">
        <v>258</v>
      </c>
      <c r="E5" s="53" t="s">
        <v>259</v>
      </c>
      <c r="F5" s="53" t="s">
        <v>260</v>
      </c>
      <c r="G5" s="54" t="s">
        <v>261</v>
      </c>
      <c r="H5" s="52" t="s">
        <v>243</v>
      </c>
      <c r="I5" s="10"/>
      <c r="J5" s="52" t="s">
        <v>262</v>
      </c>
      <c r="K5" s="52" t="s">
        <v>263</v>
      </c>
      <c r="L5" s="53" t="s">
        <v>264</v>
      </c>
      <c r="M5" s="53" t="s">
        <v>265</v>
      </c>
      <c r="N5" s="54" t="s">
        <v>266</v>
      </c>
      <c r="O5" s="52" t="s">
        <v>243</v>
      </c>
      <c r="P5" s="10"/>
      <c r="Q5" s="52" t="s">
        <v>267</v>
      </c>
      <c r="R5" s="52" t="s">
        <v>268</v>
      </c>
      <c r="S5" s="53" t="s">
        <v>269</v>
      </c>
      <c r="T5" s="53" t="s">
        <v>270</v>
      </c>
      <c r="U5" s="54" t="s">
        <v>271</v>
      </c>
      <c r="V5" s="52" t="s">
        <v>243</v>
      </c>
      <c r="X5" s="52" t="s">
        <v>272</v>
      </c>
      <c r="Y5" s="52" t="s">
        <v>273</v>
      </c>
      <c r="Z5" s="53" t="s">
        <v>274</v>
      </c>
      <c r="AA5" s="53" t="s">
        <v>275</v>
      </c>
      <c r="AB5" s="54" t="s">
        <v>276</v>
      </c>
      <c r="AC5" s="52" t="s">
        <v>243</v>
      </c>
      <c r="AE5" s="52" t="s">
        <v>277</v>
      </c>
      <c r="AF5" s="52" t="s">
        <v>278</v>
      </c>
      <c r="AG5" s="53" t="s">
        <v>279</v>
      </c>
      <c r="AH5" s="53" t="s">
        <v>280</v>
      </c>
      <c r="AI5" s="54" t="s">
        <v>281</v>
      </c>
      <c r="AJ5" s="52" t="s">
        <v>243</v>
      </c>
      <c r="AL5" s="52" t="s">
        <v>238</v>
      </c>
      <c r="AM5" s="52" t="s">
        <v>239</v>
      </c>
      <c r="AN5" s="53" t="s">
        <v>240</v>
      </c>
      <c r="AO5" s="53" t="s">
        <v>241</v>
      </c>
      <c r="AP5" s="54" t="s">
        <v>242</v>
      </c>
      <c r="AQ5" s="52" t="s">
        <v>243</v>
      </c>
    </row>
    <row r="6" spans="2:43" ht="31.5" customHeight="1" x14ac:dyDescent="0.25">
      <c r="B6" s="46" t="s">
        <v>244</v>
      </c>
      <c r="C6" s="132">
        <f>'2025-2029 Category Detail'!B7</f>
        <v>104500</v>
      </c>
      <c r="D6" s="47">
        <f>'2025-2029 Category Detail'!C7</f>
        <v>313500</v>
      </c>
      <c r="E6" s="47">
        <f>'2025-2029 Category Detail'!D7</f>
        <v>0</v>
      </c>
      <c r="F6" s="47">
        <f>'2025-2029 Category Detail'!E7</f>
        <v>418000</v>
      </c>
      <c r="G6" s="48">
        <f>'2025-2029 Category Detail'!F7</f>
        <v>15200</v>
      </c>
      <c r="H6" s="49">
        <f t="shared" ref="H6:H15" si="0">F6/$F$16</f>
        <v>0.20525411244782715</v>
      </c>
      <c r="I6" s="26"/>
      <c r="J6" s="47">
        <v>106000</v>
      </c>
      <c r="K6" s="47">
        <v>397400</v>
      </c>
      <c r="L6" s="50">
        <v>0</v>
      </c>
      <c r="M6" s="50">
        <v>503300</v>
      </c>
      <c r="N6" s="48">
        <v>10700</v>
      </c>
      <c r="O6" s="49">
        <f t="shared" ref="O6:O11" si="1">M6/$M$16</f>
        <v>0.25332192470304005</v>
      </c>
      <c r="P6" s="10"/>
      <c r="Q6" s="47">
        <v>90500</v>
      </c>
      <c r="R6" s="47">
        <v>339200</v>
      </c>
      <c r="S6" s="50">
        <v>0</v>
      </c>
      <c r="T6" s="50">
        <v>429700</v>
      </c>
      <c r="U6" s="48">
        <v>10400</v>
      </c>
      <c r="V6" s="49">
        <f t="shared" ref="V6:V11" si="2">T6/$T$16</f>
        <v>0.22168910901305267</v>
      </c>
      <c r="X6" s="47">
        <v>67200</v>
      </c>
      <c r="Y6" s="47">
        <v>252200</v>
      </c>
      <c r="Z6" s="50">
        <v>0</v>
      </c>
      <c r="AA6" s="50">
        <v>319400</v>
      </c>
      <c r="AB6" s="48">
        <v>10200</v>
      </c>
      <c r="AC6" s="49">
        <f t="shared" ref="AC6:AC11" si="3">AA6/$AA$16</f>
        <v>0.16889640949711807</v>
      </c>
      <c r="AE6" s="47">
        <v>106600</v>
      </c>
      <c r="AF6" s="47">
        <v>399800</v>
      </c>
      <c r="AG6" s="50">
        <v>0</v>
      </c>
      <c r="AH6" s="50">
        <v>506400</v>
      </c>
      <c r="AI6" s="48">
        <v>9900</v>
      </c>
      <c r="AJ6" s="49">
        <f t="shared" ref="AJ6:AJ11" si="4">AH6/$AH$16</f>
        <v>0.27441205158773163</v>
      </c>
      <c r="AL6" s="47">
        <v>92000</v>
      </c>
      <c r="AM6" s="47">
        <v>345000</v>
      </c>
      <c r="AN6" s="50">
        <v>0</v>
      </c>
      <c r="AO6" s="50">
        <v>437000</v>
      </c>
      <c r="AP6" s="48">
        <v>9700</v>
      </c>
      <c r="AQ6" s="49">
        <f t="shared" ref="AQ6:AQ11" si="5">AO6/$AO$16</f>
        <v>0.24277777777777779</v>
      </c>
    </row>
    <row r="7" spans="2:43" ht="31.5" customHeight="1" x14ac:dyDescent="0.25">
      <c r="B7" s="46" t="s">
        <v>246</v>
      </c>
      <c r="C7" s="132">
        <f>'2025-2029 Category Detail'!B16</f>
        <v>60500</v>
      </c>
      <c r="D7" s="47">
        <f>'2025-2029 Category Detail'!C16</f>
        <v>440000</v>
      </c>
      <c r="E7" s="47">
        <f>'2025-2029 Category Detail'!D16</f>
        <v>0</v>
      </c>
      <c r="F7" s="50">
        <f>'2025-2029 Category Detail'!E16</f>
        <v>500500</v>
      </c>
      <c r="G7" s="48">
        <f>'2025-2029 Category Detail'!F16</f>
        <v>8800</v>
      </c>
      <c r="H7" s="49">
        <f t="shared" si="0"/>
        <v>0.24576479253621408</v>
      </c>
      <c r="I7" s="27"/>
      <c r="J7" s="47">
        <v>57400</v>
      </c>
      <c r="K7" s="47">
        <v>270400</v>
      </c>
      <c r="L7" s="47">
        <v>0</v>
      </c>
      <c r="M7" s="50">
        <v>327800</v>
      </c>
      <c r="N7" s="48">
        <v>4900</v>
      </c>
      <c r="O7" s="49">
        <f t="shared" si="1"/>
        <v>0.16498892691765654</v>
      </c>
      <c r="P7" s="10"/>
      <c r="Q7" s="47">
        <v>51700</v>
      </c>
      <c r="R7" s="47">
        <v>236900</v>
      </c>
      <c r="S7" s="47">
        <v>0</v>
      </c>
      <c r="T7" s="50">
        <v>288600</v>
      </c>
      <c r="U7" s="48">
        <v>4700</v>
      </c>
      <c r="V7" s="49">
        <f t="shared" si="2"/>
        <v>0.1488933601609658</v>
      </c>
      <c r="X7" s="47">
        <v>54600</v>
      </c>
      <c r="Y7" s="47">
        <v>257400</v>
      </c>
      <c r="Z7" s="47">
        <v>0</v>
      </c>
      <c r="AA7" s="50">
        <v>312000</v>
      </c>
      <c r="AB7" s="48">
        <v>4600</v>
      </c>
      <c r="AC7" s="49">
        <f t="shared" si="3"/>
        <v>0.16498334302786738</v>
      </c>
      <c r="AE7" s="47">
        <v>41000</v>
      </c>
      <c r="AF7" s="47">
        <v>174300</v>
      </c>
      <c r="AG7" s="47">
        <v>0</v>
      </c>
      <c r="AH7" s="50">
        <v>215300</v>
      </c>
      <c r="AI7" s="48">
        <v>4500</v>
      </c>
      <c r="AJ7" s="49">
        <f t="shared" si="4"/>
        <v>0.11666847295979192</v>
      </c>
      <c r="AL7" s="47">
        <v>44000</v>
      </c>
      <c r="AM7" s="47">
        <v>220000</v>
      </c>
      <c r="AN7" s="47">
        <v>0</v>
      </c>
      <c r="AO7" s="50">
        <v>264000</v>
      </c>
      <c r="AP7" s="48">
        <v>4400</v>
      </c>
      <c r="AQ7" s="49">
        <f t="shared" si="5"/>
        <v>0.14666666666666667</v>
      </c>
    </row>
    <row r="8" spans="2:43" ht="31.5" customHeight="1" x14ac:dyDescent="0.25">
      <c r="B8" s="46" t="s">
        <v>247</v>
      </c>
      <c r="C8" s="132">
        <f>'2025-2029 Category Detail'!B23</f>
        <v>30000</v>
      </c>
      <c r="D8" s="47">
        <f>'2025-2029 Category Detail'!C23</f>
        <v>189500</v>
      </c>
      <c r="E8" s="47">
        <f>'2025-2029 Category Detail'!D23</f>
        <v>0</v>
      </c>
      <c r="F8" s="50">
        <f>'2025-2029 Category Detail'!E23</f>
        <v>219500</v>
      </c>
      <c r="G8" s="48">
        <f>'2025-2029 Category Detail'!F23</f>
        <v>1000</v>
      </c>
      <c r="H8" s="49">
        <f t="shared" si="0"/>
        <v>0.10778296096243555</v>
      </c>
      <c r="I8" s="27"/>
      <c r="J8" s="47">
        <v>0</v>
      </c>
      <c r="K8" s="47">
        <v>198700</v>
      </c>
      <c r="L8" s="47">
        <v>0</v>
      </c>
      <c r="M8" s="50">
        <v>198700</v>
      </c>
      <c r="N8" s="48">
        <v>1700</v>
      </c>
      <c r="O8" s="49">
        <f t="shared" si="1"/>
        <v>0.10001006643849406</v>
      </c>
      <c r="P8" s="10"/>
      <c r="Q8" s="47">
        <v>0</v>
      </c>
      <c r="R8" s="47">
        <v>210000</v>
      </c>
      <c r="S8" s="47">
        <v>0</v>
      </c>
      <c r="T8" s="50">
        <v>210000</v>
      </c>
      <c r="U8" s="48">
        <v>1600</v>
      </c>
      <c r="V8" s="49">
        <f t="shared" si="2"/>
        <v>0.10834236186348863</v>
      </c>
      <c r="X8" s="47">
        <v>21000</v>
      </c>
      <c r="Y8" s="47">
        <v>231100</v>
      </c>
      <c r="Z8" s="47">
        <v>0</v>
      </c>
      <c r="AA8" s="50">
        <v>252200</v>
      </c>
      <c r="AB8" s="48">
        <v>1600</v>
      </c>
      <c r="AC8" s="49">
        <f t="shared" si="3"/>
        <v>0.13336153561419281</v>
      </c>
      <c r="AE8" s="47">
        <v>0</v>
      </c>
      <c r="AF8" s="47">
        <v>194800</v>
      </c>
      <c r="AG8" s="47">
        <v>0</v>
      </c>
      <c r="AH8" s="50">
        <v>194800</v>
      </c>
      <c r="AI8" s="48">
        <v>1500</v>
      </c>
      <c r="AJ8" s="49">
        <f t="shared" si="4"/>
        <v>0.10555977023951447</v>
      </c>
      <c r="AL8" s="47">
        <v>40000</v>
      </c>
      <c r="AM8" s="47">
        <v>230000</v>
      </c>
      <c r="AN8" s="47">
        <v>0</v>
      </c>
      <c r="AO8" s="50">
        <v>270000</v>
      </c>
      <c r="AP8" s="48">
        <v>1500</v>
      </c>
      <c r="AQ8" s="49">
        <f t="shared" si="5"/>
        <v>0.15</v>
      </c>
    </row>
    <row r="9" spans="2:43" ht="31.5" customHeight="1" x14ac:dyDescent="0.25">
      <c r="B9" s="28" t="s">
        <v>248</v>
      </c>
      <c r="C9" s="133">
        <f>'2025-2029 Category Detail'!B27</f>
        <v>60000</v>
      </c>
      <c r="D9" s="29">
        <f>'2025-2029 Category Detail'!C27</f>
        <v>45000</v>
      </c>
      <c r="E9" s="29">
        <f>'2025-2029 Category Detail'!D27</f>
        <v>0</v>
      </c>
      <c r="F9" s="30">
        <f>'2025-2029 Category Detail'!E27</f>
        <v>105000</v>
      </c>
      <c r="G9" s="31">
        <f>'2025-2029 Category Detail'!F27</f>
        <v>12000</v>
      </c>
      <c r="H9" s="32">
        <f t="shared" si="0"/>
        <v>5.1559047385219742E-2</v>
      </c>
      <c r="I9" s="26"/>
      <c r="J9" s="29">
        <v>5500</v>
      </c>
      <c r="K9" s="29">
        <v>124700</v>
      </c>
      <c r="L9" s="29">
        <v>0</v>
      </c>
      <c r="M9" s="30">
        <v>130200</v>
      </c>
      <c r="N9" s="31">
        <v>18200</v>
      </c>
      <c r="O9" s="32">
        <f t="shared" si="1"/>
        <v>6.5532514596335814E-2</v>
      </c>
      <c r="P9" s="10"/>
      <c r="Q9" s="29">
        <v>0</v>
      </c>
      <c r="R9" s="29">
        <v>101200</v>
      </c>
      <c r="S9" s="29">
        <v>0</v>
      </c>
      <c r="T9" s="30">
        <v>101200</v>
      </c>
      <c r="U9" s="31">
        <v>17800</v>
      </c>
      <c r="V9" s="32">
        <f t="shared" si="2"/>
        <v>5.2210700098024039E-2</v>
      </c>
      <c r="X9" s="29">
        <v>26300</v>
      </c>
      <c r="Y9" s="29">
        <v>99800</v>
      </c>
      <c r="Z9" s="29">
        <v>0</v>
      </c>
      <c r="AA9" s="30">
        <v>126100</v>
      </c>
      <c r="AB9" s="31">
        <v>17300</v>
      </c>
      <c r="AC9" s="32">
        <f t="shared" si="3"/>
        <v>6.6680767807096405E-2</v>
      </c>
      <c r="AE9" s="29">
        <v>25600</v>
      </c>
      <c r="AF9" s="29">
        <v>140400</v>
      </c>
      <c r="AG9" s="29">
        <v>0</v>
      </c>
      <c r="AH9" s="30">
        <v>166100</v>
      </c>
      <c r="AI9" s="31">
        <v>16900</v>
      </c>
      <c r="AJ9" s="39">
        <f t="shared" si="4"/>
        <v>9.0007586431126038E-2</v>
      </c>
      <c r="AL9" s="29">
        <v>0</v>
      </c>
      <c r="AM9" s="29">
        <v>120000</v>
      </c>
      <c r="AN9" s="29">
        <v>0</v>
      </c>
      <c r="AO9" s="30">
        <v>120000</v>
      </c>
      <c r="AP9" s="31">
        <v>16500</v>
      </c>
      <c r="AQ9" s="32">
        <f t="shared" si="5"/>
        <v>6.6666666666666666E-2</v>
      </c>
    </row>
    <row r="10" spans="2:43" ht="31.5" customHeight="1" x14ac:dyDescent="0.25">
      <c r="B10" s="28" t="s">
        <v>250</v>
      </c>
      <c r="C10" s="133">
        <f>'2025-2029 Category Detail'!B31</f>
        <v>50000</v>
      </c>
      <c r="D10" s="29">
        <f>'2025-2029 Category Detail'!C31</f>
        <v>122600</v>
      </c>
      <c r="E10" s="29">
        <f>'2025-2029 Category Detail'!D31</f>
        <v>0</v>
      </c>
      <c r="F10" s="30">
        <f>'2025-2029 Category Detail'!E31</f>
        <v>172600</v>
      </c>
      <c r="G10" s="31">
        <f>'2025-2029 Category Detail'!F31</f>
        <v>19000</v>
      </c>
      <c r="H10" s="32">
        <f t="shared" si="0"/>
        <v>8.4753253130370729E-2</v>
      </c>
      <c r="I10" s="27"/>
      <c r="J10" s="29">
        <v>27600</v>
      </c>
      <c r="K10" s="29">
        <v>187600</v>
      </c>
      <c r="L10" s="29">
        <v>0</v>
      </c>
      <c r="M10" s="30">
        <v>215200</v>
      </c>
      <c r="N10" s="31">
        <v>24300</v>
      </c>
      <c r="O10" s="32">
        <f t="shared" si="1"/>
        <v>0.10831487819609423</v>
      </c>
      <c r="P10" s="10"/>
      <c r="Q10" s="29">
        <v>64600</v>
      </c>
      <c r="R10" s="29">
        <v>247700</v>
      </c>
      <c r="S10" s="29">
        <v>0</v>
      </c>
      <c r="T10" s="30">
        <v>312300</v>
      </c>
      <c r="U10" s="31">
        <v>23700</v>
      </c>
      <c r="V10" s="32">
        <f t="shared" si="2"/>
        <v>0.1611205695712738</v>
      </c>
      <c r="X10" s="29">
        <v>15800</v>
      </c>
      <c r="Y10" s="29">
        <v>283700</v>
      </c>
      <c r="Z10" s="29">
        <v>0</v>
      </c>
      <c r="AA10" s="30">
        <v>299400</v>
      </c>
      <c r="AB10" s="31">
        <v>23100</v>
      </c>
      <c r="AC10" s="32">
        <f t="shared" si="3"/>
        <v>0.15832055417481888</v>
      </c>
      <c r="AE10" s="29">
        <v>10300</v>
      </c>
      <c r="AF10" s="29">
        <v>184500</v>
      </c>
      <c r="AG10" s="29">
        <v>0</v>
      </c>
      <c r="AH10" s="30">
        <v>194800</v>
      </c>
      <c r="AI10" s="31">
        <v>22600</v>
      </c>
      <c r="AJ10" s="39">
        <f t="shared" si="4"/>
        <v>0.10555977023951447</v>
      </c>
      <c r="AL10" s="29">
        <v>0</v>
      </c>
      <c r="AM10" s="29">
        <v>155000</v>
      </c>
      <c r="AN10" s="29">
        <v>0</v>
      </c>
      <c r="AO10" s="30">
        <v>155000</v>
      </c>
      <c r="AP10" s="31">
        <v>22000</v>
      </c>
      <c r="AQ10" s="32">
        <f t="shared" si="5"/>
        <v>8.611111111111111E-2</v>
      </c>
    </row>
    <row r="11" spans="2:43" ht="31.5" customHeight="1" x14ac:dyDescent="0.25">
      <c r="B11" s="34" t="s">
        <v>251</v>
      </c>
      <c r="C11" s="134">
        <f>'2025-2029 Category Detail'!B37</f>
        <v>55500</v>
      </c>
      <c r="D11" s="35">
        <f>'2025-2029 Category Detail'!C37</f>
        <v>55000</v>
      </c>
      <c r="E11" s="35">
        <f>'2025-2029 Category Detail'!D37</f>
        <v>0</v>
      </c>
      <c r="F11" s="36">
        <f>'2025-2029 Category Detail'!E37</f>
        <v>110500</v>
      </c>
      <c r="G11" s="37">
        <f>'2025-2029 Category Detail'!F37</f>
        <v>800</v>
      </c>
      <c r="H11" s="38">
        <f t="shared" si="0"/>
        <v>5.4259759391112203E-2</v>
      </c>
      <c r="I11" s="27"/>
      <c r="J11" s="35">
        <v>0</v>
      </c>
      <c r="K11" s="35">
        <v>55200</v>
      </c>
      <c r="L11" s="35">
        <v>0</v>
      </c>
      <c r="M11" s="36">
        <v>55200</v>
      </c>
      <c r="N11" s="37">
        <v>11000</v>
      </c>
      <c r="O11" s="38">
        <f t="shared" si="1"/>
        <v>2.7783370243607813E-2</v>
      </c>
      <c r="P11" s="10"/>
      <c r="Q11" s="35">
        <v>0</v>
      </c>
      <c r="R11" s="35">
        <v>53800</v>
      </c>
      <c r="S11" s="35">
        <v>0</v>
      </c>
      <c r="T11" s="36">
        <v>53800</v>
      </c>
      <c r="U11" s="37">
        <v>10800</v>
      </c>
      <c r="V11" s="38">
        <f t="shared" si="2"/>
        <v>2.7756281277408038E-2</v>
      </c>
      <c r="X11" s="35">
        <v>0</v>
      </c>
      <c r="Y11" s="35">
        <v>52500</v>
      </c>
      <c r="Z11" s="35">
        <v>0</v>
      </c>
      <c r="AA11" s="36">
        <v>52500</v>
      </c>
      <c r="AB11" s="37">
        <v>10500</v>
      </c>
      <c r="AC11" s="38">
        <f t="shared" si="3"/>
        <v>2.7761620221035375E-2</v>
      </c>
      <c r="AE11" s="35">
        <v>25600</v>
      </c>
      <c r="AF11" s="35">
        <v>25600</v>
      </c>
      <c r="AG11" s="35">
        <v>0</v>
      </c>
      <c r="AH11" s="36">
        <v>51300</v>
      </c>
      <c r="AI11" s="37">
        <v>10300</v>
      </c>
      <c r="AJ11" s="38">
        <f t="shared" si="4"/>
        <v>2.7798851197572343E-2</v>
      </c>
      <c r="AL11" s="35">
        <v>40000</v>
      </c>
      <c r="AM11" s="35">
        <v>10000</v>
      </c>
      <c r="AN11" s="35">
        <v>0</v>
      </c>
      <c r="AO11" s="36">
        <v>50000</v>
      </c>
      <c r="AP11" s="37">
        <v>10000</v>
      </c>
      <c r="AQ11" s="38">
        <f t="shared" si="5"/>
        <v>2.7777777777777776E-2</v>
      </c>
    </row>
    <row r="12" spans="2:43" ht="31.5" customHeight="1" x14ac:dyDescent="0.25">
      <c r="B12" s="34" t="s">
        <v>334</v>
      </c>
      <c r="C12" s="134">
        <f>'2025-2029 Category Detail'!B41</f>
        <v>0</v>
      </c>
      <c r="D12" s="35">
        <f>'2025-2029 Category Detail'!C41</f>
        <v>0</v>
      </c>
      <c r="E12" s="35">
        <f>'2025-2029 Category Detail'!D41</f>
        <v>0</v>
      </c>
      <c r="F12" s="36">
        <f>'2025-2029 Category Detail'!E41</f>
        <v>0</v>
      </c>
      <c r="G12" s="37">
        <f>'2025-2029 Category Detail'!F41</f>
        <v>0</v>
      </c>
      <c r="H12" s="38">
        <f t="shared" si="0"/>
        <v>0</v>
      </c>
      <c r="I12" s="27"/>
      <c r="J12" s="35" t="s">
        <v>424</v>
      </c>
      <c r="K12" s="35" t="s">
        <v>424</v>
      </c>
      <c r="L12" s="35" t="s">
        <v>424</v>
      </c>
      <c r="M12" s="35" t="s">
        <v>424</v>
      </c>
      <c r="N12" s="37" t="s">
        <v>424</v>
      </c>
      <c r="O12" s="38" t="s">
        <v>424</v>
      </c>
      <c r="P12" s="10"/>
      <c r="Q12" s="35" t="s">
        <v>424</v>
      </c>
      <c r="R12" s="35" t="s">
        <v>424</v>
      </c>
      <c r="S12" s="35" t="s">
        <v>424</v>
      </c>
      <c r="T12" s="35" t="s">
        <v>424</v>
      </c>
      <c r="U12" s="37" t="s">
        <v>424</v>
      </c>
      <c r="V12" s="38" t="s">
        <v>424</v>
      </c>
      <c r="X12" s="35" t="s">
        <v>424</v>
      </c>
      <c r="Y12" s="35" t="s">
        <v>424</v>
      </c>
      <c r="Z12" s="35" t="s">
        <v>424</v>
      </c>
      <c r="AA12" s="35" t="s">
        <v>424</v>
      </c>
      <c r="AB12" s="37" t="s">
        <v>424</v>
      </c>
      <c r="AC12" s="38" t="s">
        <v>424</v>
      </c>
      <c r="AE12" s="35" t="s">
        <v>424</v>
      </c>
      <c r="AF12" s="35" t="s">
        <v>424</v>
      </c>
      <c r="AG12" s="35" t="s">
        <v>424</v>
      </c>
      <c r="AH12" s="35" t="s">
        <v>424</v>
      </c>
      <c r="AI12" s="37" t="s">
        <v>424</v>
      </c>
      <c r="AJ12" s="38" t="s">
        <v>424</v>
      </c>
      <c r="AL12" s="35" t="s">
        <v>424</v>
      </c>
      <c r="AM12" s="35" t="s">
        <v>424</v>
      </c>
      <c r="AN12" s="35" t="s">
        <v>424</v>
      </c>
      <c r="AO12" s="35" t="s">
        <v>424</v>
      </c>
      <c r="AP12" s="37" t="s">
        <v>424</v>
      </c>
      <c r="AQ12" s="38" t="s">
        <v>424</v>
      </c>
    </row>
    <row r="13" spans="2:43" ht="31.5" customHeight="1" x14ac:dyDescent="0.25">
      <c r="B13" s="58" t="s">
        <v>253</v>
      </c>
      <c r="C13" s="135">
        <f>'2025-2029 Category Detail'!B44</f>
        <v>168200</v>
      </c>
      <c r="D13" s="59">
        <f>'2025-2029 Category Detail'!C44</f>
        <v>110000</v>
      </c>
      <c r="E13" s="59">
        <f>'2025-2029 Category Detail'!D44</f>
        <v>0</v>
      </c>
      <c r="F13" s="60">
        <f>'2025-2029 Category Detail'!E44</f>
        <v>278200</v>
      </c>
      <c r="G13" s="61">
        <f>'2025-2029 Category Detail'!F44</f>
        <v>10000</v>
      </c>
      <c r="H13" s="62">
        <f t="shared" si="0"/>
        <v>0.13660692364350602</v>
      </c>
      <c r="I13" s="27"/>
      <c r="J13" s="59">
        <v>179900</v>
      </c>
      <c r="K13" s="59">
        <v>124700</v>
      </c>
      <c r="L13" s="59">
        <v>0</v>
      </c>
      <c r="M13" s="60">
        <v>304700</v>
      </c>
      <c r="N13" s="61">
        <v>11000</v>
      </c>
      <c r="O13" s="62">
        <f>M13/$M$16</f>
        <v>0.1533621904570163</v>
      </c>
      <c r="P13" s="10"/>
      <c r="Q13" s="59">
        <v>175500</v>
      </c>
      <c r="R13" s="59">
        <v>121700</v>
      </c>
      <c r="S13" s="59">
        <v>0</v>
      </c>
      <c r="T13" s="60">
        <v>297200</v>
      </c>
      <c r="U13" s="61">
        <v>10800</v>
      </c>
      <c r="V13" s="62">
        <f>T13/$T$16</f>
        <v>0.15333023783728009</v>
      </c>
      <c r="X13" s="59">
        <v>171300</v>
      </c>
      <c r="Y13" s="59">
        <v>118700</v>
      </c>
      <c r="Z13" s="59">
        <v>0</v>
      </c>
      <c r="AA13" s="60">
        <v>290000</v>
      </c>
      <c r="AB13" s="61">
        <v>10500</v>
      </c>
      <c r="AC13" s="62">
        <f>AA13/$AA$16</f>
        <v>0.15334990217333827</v>
      </c>
      <c r="AE13" s="59">
        <v>167100</v>
      </c>
      <c r="AF13" s="59">
        <v>115800</v>
      </c>
      <c r="AG13" s="59">
        <v>0</v>
      </c>
      <c r="AH13" s="60">
        <v>282900</v>
      </c>
      <c r="AI13" s="61">
        <v>10300</v>
      </c>
      <c r="AJ13" s="62">
        <f>AH13/$AH$16</f>
        <v>0.15330009753982876</v>
      </c>
      <c r="AL13" s="59">
        <v>163000</v>
      </c>
      <c r="AM13" s="59">
        <v>113000</v>
      </c>
      <c r="AN13" s="59">
        <v>0</v>
      </c>
      <c r="AO13" s="60">
        <v>276000</v>
      </c>
      <c r="AP13" s="61">
        <v>10000</v>
      </c>
      <c r="AQ13" s="62">
        <f>AO13/$AO$16</f>
        <v>0.15333333333333332</v>
      </c>
    </row>
    <row r="14" spans="2:43" ht="31.5" customHeight="1" x14ac:dyDescent="0.25">
      <c r="B14" s="58" t="s">
        <v>252</v>
      </c>
      <c r="C14" s="135">
        <f>'2025-2029 Category Detail'!B47</f>
        <v>61700</v>
      </c>
      <c r="D14" s="59">
        <f>'2025-2029 Category Detail'!C47</f>
        <v>0</v>
      </c>
      <c r="E14" s="59">
        <f>'2025-2029 Category Detail'!D47</f>
        <v>0</v>
      </c>
      <c r="F14" s="60">
        <f>'2025-2029 Category Detail'!E47</f>
        <v>61700</v>
      </c>
      <c r="G14" s="61">
        <f>'2025-2029 Category Detail'!F47</f>
        <v>45000</v>
      </c>
      <c r="H14" s="62">
        <f t="shared" si="0"/>
        <v>3.0297078320648169E-2</v>
      </c>
      <c r="I14" s="26"/>
      <c r="J14" s="59">
        <v>55200</v>
      </c>
      <c r="K14" s="59">
        <v>0</v>
      </c>
      <c r="L14" s="59">
        <v>0</v>
      </c>
      <c r="M14" s="60">
        <v>55200</v>
      </c>
      <c r="N14" s="61">
        <v>49700</v>
      </c>
      <c r="O14" s="62">
        <f>M14/$M$16</f>
        <v>2.7783370243607813E-2</v>
      </c>
      <c r="P14" s="10"/>
      <c r="Q14" s="59">
        <v>53800</v>
      </c>
      <c r="R14" s="59">
        <v>0</v>
      </c>
      <c r="S14" s="59">
        <v>0</v>
      </c>
      <c r="T14" s="60">
        <v>53800</v>
      </c>
      <c r="U14" s="61">
        <v>48500</v>
      </c>
      <c r="V14" s="62">
        <f>T14/$T$16</f>
        <v>2.7756281277408038E-2</v>
      </c>
      <c r="X14" s="59">
        <v>52500</v>
      </c>
      <c r="Y14" s="59">
        <v>0</v>
      </c>
      <c r="Z14" s="59">
        <v>0</v>
      </c>
      <c r="AA14" s="60">
        <v>52500</v>
      </c>
      <c r="AB14" s="61">
        <v>47300</v>
      </c>
      <c r="AC14" s="62">
        <f>AA14/$AA$16</f>
        <v>2.7761620221035375E-2</v>
      </c>
      <c r="AE14" s="59">
        <v>51300</v>
      </c>
      <c r="AF14" s="59">
        <v>0</v>
      </c>
      <c r="AG14" s="59">
        <v>0</v>
      </c>
      <c r="AH14" s="60">
        <v>51300</v>
      </c>
      <c r="AI14" s="61">
        <v>46100</v>
      </c>
      <c r="AJ14" s="62">
        <f>AH14/$AH$16</f>
        <v>2.7798851197572343E-2</v>
      </c>
      <c r="AL14" s="59">
        <v>50000</v>
      </c>
      <c r="AM14" s="59">
        <v>0</v>
      </c>
      <c r="AN14" s="59">
        <v>0</v>
      </c>
      <c r="AO14" s="60">
        <v>50000</v>
      </c>
      <c r="AP14" s="61">
        <v>45000</v>
      </c>
      <c r="AQ14" s="62">
        <f>AO14/$AO$16</f>
        <v>2.7777777777777776E-2</v>
      </c>
    </row>
    <row r="15" spans="2:43" ht="31.5" customHeight="1" x14ac:dyDescent="0.25">
      <c r="B15" s="58" t="s">
        <v>254</v>
      </c>
      <c r="C15" s="135">
        <f>'2025-2029 Category Detail'!B50</f>
        <v>7000</v>
      </c>
      <c r="D15" s="59">
        <f>'2025-2029 Category Detail'!C50</f>
        <v>5000</v>
      </c>
      <c r="E15" s="59">
        <f>'2025-2029 Category Detail'!D50</f>
        <v>158500</v>
      </c>
      <c r="F15" s="60">
        <f>'2025-2029 Category Detail'!E50</f>
        <v>170500</v>
      </c>
      <c r="G15" s="61">
        <f>'2025-2029 Category Detail'!F50</f>
        <v>64200</v>
      </c>
      <c r="H15" s="62">
        <f t="shared" si="0"/>
        <v>8.3722072182666335E-2</v>
      </c>
      <c r="I15" s="27"/>
      <c r="J15" s="59">
        <v>4400</v>
      </c>
      <c r="K15" s="59">
        <v>0</v>
      </c>
      <c r="L15" s="59">
        <v>192100</v>
      </c>
      <c r="M15" s="60">
        <v>196500</v>
      </c>
      <c r="N15" s="61">
        <v>73400</v>
      </c>
      <c r="O15" s="62">
        <f>M15/$M$16</f>
        <v>9.8902758204147373E-2</v>
      </c>
      <c r="P15" s="10"/>
      <c r="Q15" s="59">
        <v>4300</v>
      </c>
      <c r="R15" s="59">
        <v>0</v>
      </c>
      <c r="S15" s="59">
        <v>187400</v>
      </c>
      <c r="T15" s="60">
        <v>191700</v>
      </c>
      <c r="U15" s="61">
        <v>71600</v>
      </c>
      <c r="V15" s="62">
        <f>T15/$T$16</f>
        <v>9.8901098901098897E-2</v>
      </c>
      <c r="X15" s="59">
        <v>4200</v>
      </c>
      <c r="Y15" s="59">
        <v>0</v>
      </c>
      <c r="Z15" s="59">
        <v>182800</v>
      </c>
      <c r="AA15" s="60">
        <v>187000</v>
      </c>
      <c r="AB15" s="61">
        <v>69900</v>
      </c>
      <c r="AC15" s="62">
        <f>AA15/$AA$16</f>
        <v>9.8884247263497441E-2</v>
      </c>
      <c r="AE15" s="59">
        <v>4100</v>
      </c>
      <c r="AF15" s="59">
        <v>0</v>
      </c>
      <c r="AG15" s="59">
        <v>178400</v>
      </c>
      <c r="AH15" s="60">
        <v>182500</v>
      </c>
      <c r="AI15" s="61">
        <v>68200</v>
      </c>
      <c r="AJ15" s="62">
        <f>AH15/$AH$16</f>
        <v>9.8894548607348004E-2</v>
      </c>
      <c r="AL15" s="59">
        <v>4000</v>
      </c>
      <c r="AM15" s="59">
        <v>0</v>
      </c>
      <c r="AN15" s="59">
        <v>174000</v>
      </c>
      <c r="AO15" s="60">
        <v>178000</v>
      </c>
      <c r="AP15" s="61">
        <v>66500</v>
      </c>
      <c r="AQ15" s="62">
        <f>AO15/$AO$16</f>
        <v>9.8888888888888887E-2</v>
      </c>
    </row>
    <row r="16" spans="2:43" ht="38.25" customHeight="1" x14ac:dyDescent="0.25">
      <c r="B16" s="40" t="s">
        <v>249</v>
      </c>
      <c r="C16" s="33">
        <f t="shared" ref="C16:H16" si="6">SUM(C6:C15)</f>
        <v>597400</v>
      </c>
      <c r="D16" s="33">
        <f t="shared" si="6"/>
        <v>1280600</v>
      </c>
      <c r="E16" s="33">
        <f t="shared" si="6"/>
        <v>158500</v>
      </c>
      <c r="F16" s="41">
        <f t="shared" si="6"/>
        <v>2036500</v>
      </c>
      <c r="G16" s="42">
        <f t="shared" si="6"/>
        <v>176000</v>
      </c>
      <c r="H16" s="43">
        <f t="shared" si="6"/>
        <v>1</v>
      </c>
      <c r="I16" s="27"/>
      <c r="J16" s="33">
        <f t="shared" ref="J16:O16" si="7">SUM(J6:J15)</f>
        <v>436000</v>
      </c>
      <c r="K16" s="33">
        <f t="shared" si="7"/>
        <v>1358700</v>
      </c>
      <c r="L16" s="33">
        <f t="shared" si="7"/>
        <v>192100</v>
      </c>
      <c r="M16" s="41">
        <f t="shared" si="7"/>
        <v>1986800</v>
      </c>
      <c r="N16" s="42">
        <f t="shared" si="7"/>
        <v>204900</v>
      </c>
      <c r="O16" s="43">
        <f t="shared" si="7"/>
        <v>0.99999999999999989</v>
      </c>
      <c r="P16" s="10"/>
      <c r="Q16" s="33">
        <f t="shared" ref="Q16:V16" si="8">SUM(Q6:Q15)</f>
        <v>440400</v>
      </c>
      <c r="R16" s="33">
        <f t="shared" si="8"/>
        <v>1310500</v>
      </c>
      <c r="S16" s="33">
        <f t="shared" si="8"/>
        <v>187400</v>
      </c>
      <c r="T16" s="44">
        <f t="shared" si="8"/>
        <v>1938300</v>
      </c>
      <c r="U16" s="45">
        <f t="shared" si="8"/>
        <v>199900</v>
      </c>
      <c r="V16" s="43">
        <f t="shared" si="8"/>
        <v>0.99999999999999989</v>
      </c>
      <c r="X16" s="33">
        <f t="shared" ref="X16:AC16" si="9">SUM(X6:X15)</f>
        <v>412900</v>
      </c>
      <c r="Y16" s="33">
        <f t="shared" si="9"/>
        <v>1295400</v>
      </c>
      <c r="Z16" s="33">
        <f t="shared" si="9"/>
        <v>182800</v>
      </c>
      <c r="AA16" s="44">
        <f t="shared" si="9"/>
        <v>1891100</v>
      </c>
      <c r="AB16" s="45">
        <f t="shared" si="9"/>
        <v>195000</v>
      </c>
      <c r="AC16" s="43">
        <f t="shared" si="9"/>
        <v>1</v>
      </c>
      <c r="AE16" s="33">
        <f t="shared" ref="AE16:AJ16" si="10">SUM(AE6:AE15)</f>
        <v>431600</v>
      </c>
      <c r="AF16" s="33">
        <f t="shared" si="10"/>
        <v>1235200</v>
      </c>
      <c r="AG16" s="33">
        <f t="shared" si="10"/>
        <v>178400</v>
      </c>
      <c r="AH16" s="44">
        <f t="shared" si="10"/>
        <v>1845400</v>
      </c>
      <c r="AI16" s="45">
        <f t="shared" si="10"/>
        <v>190300</v>
      </c>
      <c r="AJ16" s="43">
        <f t="shared" si="10"/>
        <v>0.99999999999999989</v>
      </c>
      <c r="AL16" s="33">
        <f t="shared" ref="AL16:AQ16" si="11">SUM(AL6:AL15)</f>
        <v>433000</v>
      </c>
      <c r="AM16" s="33">
        <f t="shared" si="11"/>
        <v>1193000</v>
      </c>
      <c r="AN16" s="33">
        <f t="shared" si="11"/>
        <v>174000</v>
      </c>
      <c r="AO16" s="44">
        <f t="shared" si="11"/>
        <v>1800000</v>
      </c>
      <c r="AP16" s="45">
        <f t="shared" si="11"/>
        <v>185600</v>
      </c>
      <c r="AQ16" s="43">
        <f t="shared" si="11"/>
        <v>1</v>
      </c>
    </row>
    <row r="19" spans="2:19" x14ac:dyDescent="0.2">
      <c r="M19" t="s">
        <v>289</v>
      </c>
      <c r="N19" s="56" t="s">
        <v>256</v>
      </c>
      <c r="O19" s="56" t="s">
        <v>284</v>
      </c>
      <c r="P19" s="56" t="s">
        <v>283</v>
      </c>
      <c r="Q19" s="56" t="s">
        <v>282</v>
      </c>
      <c r="R19" s="56" t="s">
        <v>285</v>
      </c>
      <c r="S19" s="56" t="s">
        <v>255</v>
      </c>
    </row>
    <row r="20" spans="2:19" x14ac:dyDescent="0.2">
      <c r="B20" t="s">
        <v>286</v>
      </c>
      <c r="C20" s="56" t="s">
        <v>256</v>
      </c>
      <c r="D20" s="56" t="s">
        <v>284</v>
      </c>
      <c r="E20" s="56" t="s">
        <v>283</v>
      </c>
      <c r="F20" s="56" t="s">
        <v>282</v>
      </c>
      <c r="G20" s="56" t="s">
        <v>285</v>
      </c>
      <c r="H20" s="56" t="s">
        <v>255</v>
      </c>
      <c r="M20" t="str">
        <f>$B$6</f>
        <v>Existing Measure Review &amp; Updates</v>
      </c>
      <c r="N20" s="57">
        <f t="shared" ref="N20:N25" si="12">AQ6</f>
        <v>0.24277777777777779</v>
      </c>
      <c r="O20" s="57">
        <f t="shared" ref="O20:O25" si="13">AJ6</f>
        <v>0.27441205158773163</v>
      </c>
      <c r="P20" s="57">
        <f t="shared" ref="P20:P25" si="14">AC6</f>
        <v>0.16889640949711807</v>
      </c>
      <c r="Q20" s="57">
        <f t="shared" ref="Q20:Q25" si="15">V6</f>
        <v>0.22168910901305267</v>
      </c>
      <c r="R20" s="57">
        <f t="shared" ref="R20:R25" si="16">O6</f>
        <v>0.25332192470304005</v>
      </c>
      <c r="S20" s="57">
        <f t="shared" ref="S20:S25" si="17">H6</f>
        <v>0.20525411244782715</v>
      </c>
    </row>
    <row r="21" spans="2:19" x14ac:dyDescent="0.2">
      <c r="B21" t="str">
        <f>$B$6</f>
        <v>Existing Measure Review &amp; Updates</v>
      </c>
      <c r="C21" s="55">
        <f t="shared" ref="C21:C26" si="18">AO6</f>
        <v>437000</v>
      </c>
      <c r="D21" s="55">
        <f t="shared" ref="D21:D26" si="19">AH6</f>
        <v>506400</v>
      </c>
      <c r="E21" s="55">
        <f t="shared" ref="E21:E26" si="20">AA6</f>
        <v>319400</v>
      </c>
      <c r="F21" s="55">
        <f t="shared" ref="F21:F26" si="21">T6</f>
        <v>429700</v>
      </c>
      <c r="G21" s="55">
        <f t="shared" ref="G21:G26" si="22">M6</f>
        <v>503300</v>
      </c>
      <c r="H21" s="55">
        <f t="shared" ref="H21:H26" si="23">F6</f>
        <v>418000</v>
      </c>
      <c r="M21" t="str">
        <f>$B$7</f>
        <v>New Measure Development &amp; Review of Unsolicited Proposals</v>
      </c>
      <c r="N21" s="57">
        <f t="shared" si="12"/>
        <v>0.14666666666666667</v>
      </c>
      <c r="O21" s="57">
        <f t="shared" si="13"/>
        <v>0.11666847295979192</v>
      </c>
      <c r="P21" s="57">
        <f t="shared" si="14"/>
        <v>0.16498334302786738</v>
      </c>
      <c r="Q21" s="57">
        <f t="shared" si="15"/>
        <v>0.1488933601609658</v>
      </c>
      <c r="R21" s="57">
        <f t="shared" si="16"/>
        <v>0.16498892691765654</v>
      </c>
      <c r="S21" s="57">
        <f t="shared" si="17"/>
        <v>0.24576479253621408</v>
      </c>
    </row>
    <row r="22" spans="2:19" x14ac:dyDescent="0.2">
      <c r="B22" t="str">
        <f>$B$7</f>
        <v>New Measure Development &amp; Review of Unsolicited Proposals</v>
      </c>
      <c r="C22" s="55">
        <f t="shared" si="18"/>
        <v>264000</v>
      </c>
      <c r="D22" s="55">
        <f t="shared" si="19"/>
        <v>215300</v>
      </c>
      <c r="E22" s="55">
        <f t="shared" si="20"/>
        <v>312000</v>
      </c>
      <c r="F22" s="55">
        <f t="shared" si="21"/>
        <v>288600</v>
      </c>
      <c r="G22" s="55">
        <f t="shared" si="22"/>
        <v>327800</v>
      </c>
      <c r="H22" s="55">
        <f t="shared" si="23"/>
        <v>500500</v>
      </c>
      <c r="M22" t="str">
        <f>$B$8</f>
        <v>Standardization of Technical Analysis</v>
      </c>
      <c r="N22" s="57">
        <f t="shared" si="12"/>
        <v>0.15</v>
      </c>
      <c r="O22" s="57">
        <f t="shared" si="13"/>
        <v>0.10555977023951447</v>
      </c>
      <c r="P22" s="57">
        <f t="shared" si="14"/>
        <v>0.13336153561419281</v>
      </c>
      <c r="Q22" s="57">
        <f t="shared" si="15"/>
        <v>0.10834236186348863</v>
      </c>
      <c r="R22" s="57">
        <f t="shared" si="16"/>
        <v>0.10001006643849406</v>
      </c>
      <c r="S22" s="57">
        <f t="shared" si="17"/>
        <v>0.10778296096243555</v>
      </c>
    </row>
    <row r="23" spans="2:19" x14ac:dyDescent="0.2">
      <c r="B23" t="str">
        <f>$B$8</f>
        <v>Standardization of Technical Analysis</v>
      </c>
      <c r="C23" s="55">
        <f t="shared" si="18"/>
        <v>270000</v>
      </c>
      <c r="D23" s="55">
        <f t="shared" si="19"/>
        <v>194800</v>
      </c>
      <c r="E23" s="55">
        <f t="shared" si="20"/>
        <v>252200</v>
      </c>
      <c r="F23" s="55">
        <f t="shared" si="21"/>
        <v>210000</v>
      </c>
      <c r="G23" s="55">
        <f t="shared" si="22"/>
        <v>198700</v>
      </c>
      <c r="H23" s="55">
        <f t="shared" si="23"/>
        <v>219500</v>
      </c>
      <c r="M23" t="str">
        <f>$B$9</f>
        <v>Tool Development</v>
      </c>
      <c r="N23" s="57">
        <f t="shared" si="12"/>
        <v>6.6666666666666666E-2</v>
      </c>
      <c r="O23" s="57">
        <f t="shared" si="13"/>
        <v>9.0007586431126038E-2</v>
      </c>
      <c r="P23" s="57">
        <f t="shared" si="14"/>
        <v>6.6680767807096405E-2</v>
      </c>
      <c r="Q23" s="57">
        <f t="shared" si="15"/>
        <v>5.2210700098024039E-2</v>
      </c>
      <c r="R23" s="57">
        <f t="shared" si="16"/>
        <v>6.5532514596335814E-2</v>
      </c>
      <c r="S23" s="57">
        <f t="shared" si="17"/>
        <v>5.1559047385219742E-2</v>
      </c>
    </row>
    <row r="24" spans="2:19" x14ac:dyDescent="0.2">
      <c r="B24" t="str">
        <f>$B$9</f>
        <v>Tool Development</v>
      </c>
      <c r="C24" s="55">
        <f t="shared" si="18"/>
        <v>120000</v>
      </c>
      <c r="D24" s="55">
        <f t="shared" si="19"/>
        <v>166100</v>
      </c>
      <c r="E24" s="55">
        <f t="shared" si="20"/>
        <v>126100</v>
      </c>
      <c r="F24" s="55">
        <f t="shared" si="21"/>
        <v>101200</v>
      </c>
      <c r="G24" s="55">
        <f t="shared" si="22"/>
        <v>130200</v>
      </c>
      <c r="H24" s="55">
        <f t="shared" si="23"/>
        <v>105000</v>
      </c>
      <c r="M24" t="str">
        <f>$B$10</f>
        <v>Regional Coordination</v>
      </c>
      <c r="N24" s="57">
        <f t="shared" si="12"/>
        <v>8.611111111111111E-2</v>
      </c>
      <c r="O24" s="57">
        <f t="shared" si="13"/>
        <v>0.10555977023951447</v>
      </c>
      <c r="P24" s="57">
        <f t="shared" si="14"/>
        <v>0.15832055417481888</v>
      </c>
      <c r="Q24" s="57">
        <f t="shared" si="15"/>
        <v>0.1611205695712738</v>
      </c>
      <c r="R24" s="57">
        <f t="shared" si="16"/>
        <v>0.10831487819609423</v>
      </c>
      <c r="S24" s="57">
        <f t="shared" si="17"/>
        <v>8.4753253130370729E-2</v>
      </c>
    </row>
    <row r="25" spans="2:19" x14ac:dyDescent="0.2">
      <c r="B25" t="str">
        <f>$B$10</f>
        <v>Regional Coordination</v>
      </c>
      <c r="C25" s="55">
        <f t="shared" si="18"/>
        <v>155000</v>
      </c>
      <c r="D25" s="55">
        <f t="shared" si="19"/>
        <v>194800</v>
      </c>
      <c r="E25" s="55">
        <f t="shared" si="20"/>
        <v>299400</v>
      </c>
      <c r="F25" s="55">
        <f t="shared" si="21"/>
        <v>312300</v>
      </c>
      <c r="G25" s="55">
        <f t="shared" si="22"/>
        <v>215200</v>
      </c>
      <c r="H25" s="55">
        <f t="shared" si="23"/>
        <v>172600</v>
      </c>
      <c r="M25" t="str">
        <f>$B$11</f>
        <v>Demand Response</v>
      </c>
      <c r="N25" s="57">
        <f t="shared" si="12"/>
        <v>2.7777777777777776E-2</v>
      </c>
      <c r="O25" s="57">
        <f t="shared" si="13"/>
        <v>2.7798851197572343E-2</v>
      </c>
      <c r="P25" s="57">
        <f t="shared" si="14"/>
        <v>2.7761620221035375E-2</v>
      </c>
      <c r="Q25" s="57">
        <f t="shared" si="15"/>
        <v>2.7756281277408038E-2</v>
      </c>
      <c r="R25" s="57">
        <f t="shared" si="16"/>
        <v>2.7783370243607813E-2</v>
      </c>
      <c r="S25" s="57">
        <f t="shared" si="17"/>
        <v>5.4259759391112203E-2</v>
      </c>
    </row>
    <row r="26" spans="2:19" x14ac:dyDescent="0.2">
      <c r="B26" t="str">
        <f>$B$11</f>
        <v>Demand Response</v>
      </c>
      <c r="C26" s="55">
        <f t="shared" si="18"/>
        <v>50000</v>
      </c>
      <c r="D26" s="55">
        <f t="shared" si="19"/>
        <v>51300</v>
      </c>
      <c r="E26" s="55">
        <f t="shared" si="20"/>
        <v>52500</v>
      </c>
      <c r="F26" s="55">
        <f t="shared" si="21"/>
        <v>53800</v>
      </c>
      <c r="G26" s="55">
        <f t="shared" si="22"/>
        <v>55200</v>
      </c>
      <c r="H26" s="55">
        <f t="shared" si="23"/>
        <v>110500</v>
      </c>
      <c r="M26" t="str">
        <f>$B$14</f>
        <v xml:space="preserve">Website, Database support, Conservation Tracking </v>
      </c>
      <c r="N26" s="57">
        <f>AQ14</f>
        <v>2.7777777777777776E-2</v>
      </c>
      <c r="O26" s="57">
        <f>AJ14</f>
        <v>2.7798851197572343E-2</v>
      </c>
      <c r="P26" s="57">
        <f>AC14</f>
        <v>2.7761620221035375E-2</v>
      </c>
      <c r="Q26" s="57">
        <f>V14</f>
        <v>2.7756281277408038E-2</v>
      </c>
      <c r="R26" s="57">
        <f>O14</f>
        <v>2.7783370243607813E-2</v>
      </c>
      <c r="S26" s="57">
        <f>H14</f>
        <v>3.0297078320648169E-2</v>
      </c>
    </row>
    <row r="27" spans="2:19" x14ac:dyDescent="0.2">
      <c r="B27" t="str">
        <f>$B$14</f>
        <v xml:space="preserve">Website, Database support, Conservation Tracking </v>
      </c>
      <c r="C27" s="55">
        <f>AO14</f>
        <v>50000</v>
      </c>
      <c r="D27" s="55">
        <f>AH14</f>
        <v>51300</v>
      </c>
      <c r="E27" s="55">
        <f>AA14</f>
        <v>52500</v>
      </c>
      <c r="F27" s="55">
        <f>T14</f>
        <v>53800</v>
      </c>
      <c r="G27" s="55">
        <f>M14</f>
        <v>55200</v>
      </c>
      <c r="H27" s="55">
        <f>F14</f>
        <v>61700</v>
      </c>
      <c r="M27" t="str">
        <f>$B$13</f>
        <v>RTF Member Support &amp; Administration</v>
      </c>
      <c r="N27" s="57">
        <f>AQ13</f>
        <v>0.15333333333333332</v>
      </c>
      <c r="O27" s="57">
        <f>AJ13</f>
        <v>0.15330009753982876</v>
      </c>
      <c r="P27" s="57">
        <f>AC13</f>
        <v>0.15334990217333827</v>
      </c>
      <c r="Q27" s="57">
        <f>V13</f>
        <v>0.15333023783728009</v>
      </c>
      <c r="R27" s="57">
        <f>O13</f>
        <v>0.1533621904570163</v>
      </c>
      <c r="S27" s="57">
        <f>H13</f>
        <v>0.13660692364350602</v>
      </c>
    </row>
    <row r="28" spans="2:19" x14ac:dyDescent="0.2">
      <c r="B28" t="str">
        <f>$B$13</f>
        <v>RTF Member Support &amp; Administration</v>
      </c>
      <c r="C28" s="55">
        <f>AO13</f>
        <v>276000</v>
      </c>
      <c r="D28" s="55">
        <f>AH13</f>
        <v>282900</v>
      </c>
      <c r="E28" s="55">
        <f>AA13</f>
        <v>290000</v>
      </c>
      <c r="F28" s="55">
        <f>T13</f>
        <v>297200</v>
      </c>
      <c r="G28" s="55">
        <f>M13</f>
        <v>304700</v>
      </c>
      <c r="H28" s="55">
        <f>F13</f>
        <v>278200</v>
      </c>
      <c r="M28" t="str">
        <f>$B$15</f>
        <v>RTF Management</v>
      </c>
      <c r="N28" s="57">
        <f t="shared" ref="N28" si="24">AQ15</f>
        <v>9.8888888888888887E-2</v>
      </c>
      <c r="O28" s="57">
        <f t="shared" ref="O28" si="25">AJ15</f>
        <v>9.8894548607348004E-2</v>
      </c>
      <c r="P28" s="57">
        <f t="shared" ref="P28" si="26">AC15</f>
        <v>9.8884247263497441E-2</v>
      </c>
      <c r="Q28" s="57">
        <f t="shared" ref="Q28" si="27">V15</f>
        <v>9.8901098901098897E-2</v>
      </c>
      <c r="R28" s="57">
        <f t="shared" ref="R28" si="28">O15</f>
        <v>9.8902758204147373E-2</v>
      </c>
      <c r="S28" s="57">
        <f t="shared" ref="S28" si="29">H15</f>
        <v>8.3722072182666335E-2</v>
      </c>
    </row>
    <row r="29" spans="2:19" x14ac:dyDescent="0.2">
      <c r="B29" t="str">
        <f>$B$15</f>
        <v>RTF Management</v>
      </c>
      <c r="C29" s="55">
        <f t="shared" ref="C29" si="30">AO15</f>
        <v>178000</v>
      </c>
      <c r="D29" s="55">
        <f t="shared" ref="D29" si="31">AH15</f>
        <v>182500</v>
      </c>
      <c r="E29" s="55">
        <f t="shared" ref="E29" si="32">AA15</f>
        <v>187000</v>
      </c>
      <c r="F29" s="55">
        <f t="shared" ref="F29" si="33">T15</f>
        <v>191700</v>
      </c>
      <c r="G29" s="55">
        <f t="shared" ref="G29" si="34">M15</f>
        <v>196500</v>
      </c>
      <c r="H29" s="55">
        <f t="shared" ref="H29" si="35">F15</f>
        <v>170500</v>
      </c>
    </row>
    <row r="49" spans="2:8" x14ac:dyDescent="0.2">
      <c r="B49" t="s">
        <v>287</v>
      </c>
      <c r="C49" s="56" t="s">
        <v>256</v>
      </c>
      <c r="D49" s="56" t="s">
        <v>284</v>
      </c>
      <c r="E49" s="56" t="s">
        <v>283</v>
      </c>
      <c r="F49" s="56" t="s">
        <v>282</v>
      </c>
      <c r="G49" s="56" t="s">
        <v>285</v>
      </c>
      <c r="H49" s="56" t="s">
        <v>255</v>
      </c>
    </row>
    <row r="50" spans="2:8" x14ac:dyDescent="0.2">
      <c r="B50" t="str">
        <f>$B$6</f>
        <v>Existing Measure Review &amp; Updates</v>
      </c>
      <c r="C50" s="55">
        <f t="shared" ref="C50:C55" si="36">AL6</f>
        <v>92000</v>
      </c>
      <c r="D50" s="55">
        <f t="shared" ref="D50:D55" si="37">AE6</f>
        <v>106600</v>
      </c>
      <c r="E50" s="55">
        <f t="shared" ref="E50:E55" si="38">X6</f>
        <v>67200</v>
      </c>
      <c r="F50" s="55">
        <f t="shared" ref="F50:F55" si="39">Q6</f>
        <v>90500</v>
      </c>
      <c r="G50" s="55">
        <f t="shared" ref="G50:G55" si="40">J6</f>
        <v>106000</v>
      </c>
      <c r="H50" s="55">
        <f t="shared" ref="H50:H55" si="41">C6</f>
        <v>104500</v>
      </c>
    </row>
    <row r="51" spans="2:8" x14ac:dyDescent="0.2">
      <c r="B51" t="str">
        <f>$B$7</f>
        <v>New Measure Development &amp; Review of Unsolicited Proposals</v>
      </c>
      <c r="C51" s="55">
        <f t="shared" si="36"/>
        <v>44000</v>
      </c>
      <c r="D51" s="55">
        <f t="shared" si="37"/>
        <v>41000</v>
      </c>
      <c r="E51" s="55">
        <f t="shared" si="38"/>
        <v>54600</v>
      </c>
      <c r="F51" s="55">
        <f t="shared" si="39"/>
        <v>51700</v>
      </c>
      <c r="G51" s="55">
        <f t="shared" si="40"/>
        <v>57400</v>
      </c>
      <c r="H51" s="55">
        <f t="shared" si="41"/>
        <v>60500</v>
      </c>
    </row>
    <row r="52" spans="2:8" x14ac:dyDescent="0.2">
      <c r="B52" t="str">
        <f>$B$8</f>
        <v>Standardization of Technical Analysis</v>
      </c>
      <c r="C52" s="55">
        <f t="shared" si="36"/>
        <v>40000</v>
      </c>
      <c r="D52" s="55">
        <f t="shared" si="37"/>
        <v>0</v>
      </c>
      <c r="E52" s="55">
        <f t="shared" si="38"/>
        <v>21000</v>
      </c>
      <c r="F52" s="55">
        <f t="shared" si="39"/>
        <v>0</v>
      </c>
      <c r="G52" s="55">
        <f t="shared" si="40"/>
        <v>0</v>
      </c>
      <c r="H52" s="55">
        <f t="shared" si="41"/>
        <v>30000</v>
      </c>
    </row>
    <row r="53" spans="2:8" x14ac:dyDescent="0.2">
      <c r="B53" t="str">
        <f>$B$9</f>
        <v>Tool Development</v>
      </c>
      <c r="C53" s="55">
        <f t="shared" si="36"/>
        <v>0</v>
      </c>
      <c r="D53" s="55">
        <f t="shared" si="37"/>
        <v>25600</v>
      </c>
      <c r="E53" s="55">
        <f t="shared" si="38"/>
        <v>26300</v>
      </c>
      <c r="F53" s="55">
        <f t="shared" si="39"/>
        <v>0</v>
      </c>
      <c r="G53" s="55">
        <f t="shared" si="40"/>
        <v>5500</v>
      </c>
      <c r="H53" s="55">
        <f t="shared" si="41"/>
        <v>60000</v>
      </c>
    </row>
    <row r="54" spans="2:8" x14ac:dyDescent="0.2">
      <c r="B54" t="str">
        <f>$B$10</f>
        <v>Regional Coordination</v>
      </c>
      <c r="C54" s="55">
        <f t="shared" si="36"/>
        <v>0</v>
      </c>
      <c r="D54" s="55">
        <f t="shared" si="37"/>
        <v>10300</v>
      </c>
      <c r="E54" s="55">
        <f t="shared" si="38"/>
        <v>15800</v>
      </c>
      <c r="F54" s="55">
        <f t="shared" si="39"/>
        <v>64600</v>
      </c>
      <c r="G54" s="55">
        <f t="shared" si="40"/>
        <v>27600</v>
      </c>
      <c r="H54" s="55">
        <f t="shared" si="41"/>
        <v>50000</v>
      </c>
    </row>
    <row r="55" spans="2:8" x14ac:dyDescent="0.2">
      <c r="B55" t="str">
        <f>$B$11</f>
        <v>Demand Response</v>
      </c>
      <c r="C55" s="55">
        <f t="shared" si="36"/>
        <v>40000</v>
      </c>
      <c r="D55" s="55">
        <f t="shared" si="37"/>
        <v>25600</v>
      </c>
      <c r="E55" s="55">
        <f t="shared" si="38"/>
        <v>0</v>
      </c>
      <c r="F55" s="55">
        <f t="shared" si="39"/>
        <v>0</v>
      </c>
      <c r="G55" s="55">
        <f t="shared" si="40"/>
        <v>0</v>
      </c>
      <c r="H55" s="55">
        <f t="shared" si="41"/>
        <v>55500</v>
      </c>
    </row>
    <row r="56" spans="2:8" x14ac:dyDescent="0.2">
      <c r="B56" t="str">
        <f>$B$14</f>
        <v xml:space="preserve">Website, Database support, Conservation Tracking </v>
      </c>
      <c r="C56" s="55">
        <f>AL14</f>
        <v>50000</v>
      </c>
      <c r="D56" s="55">
        <f>AE14</f>
        <v>51300</v>
      </c>
      <c r="E56" s="55">
        <f>X14</f>
        <v>52500</v>
      </c>
      <c r="F56" s="55">
        <f>Q14</f>
        <v>53800</v>
      </c>
      <c r="G56" s="55">
        <f>J14</f>
        <v>55200</v>
      </c>
      <c r="H56" s="55">
        <f>C14</f>
        <v>61700</v>
      </c>
    </row>
    <row r="57" spans="2:8" x14ac:dyDescent="0.2">
      <c r="B57" t="str">
        <f>$B$13</f>
        <v>RTF Member Support &amp; Administration</v>
      </c>
      <c r="C57" s="55">
        <f>AL13</f>
        <v>163000</v>
      </c>
      <c r="D57" s="55">
        <f>AE13</f>
        <v>167100</v>
      </c>
      <c r="E57" s="55">
        <f>X13</f>
        <v>171300</v>
      </c>
      <c r="F57" s="55">
        <f>Q13</f>
        <v>175500</v>
      </c>
      <c r="G57" s="55">
        <f>J13</f>
        <v>179900</v>
      </c>
      <c r="H57" s="55">
        <f>C13</f>
        <v>168200</v>
      </c>
    </row>
    <row r="58" spans="2:8" x14ac:dyDescent="0.2">
      <c r="B58" t="str">
        <f>$B$15</f>
        <v>RTF Management</v>
      </c>
      <c r="C58" s="55">
        <f t="shared" ref="C58" si="42">AL15</f>
        <v>4000</v>
      </c>
      <c r="D58" s="55">
        <f t="shared" ref="D58" si="43">AE15</f>
        <v>4100</v>
      </c>
      <c r="E58" s="55">
        <f t="shared" ref="E58" si="44">X15</f>
        <v>4200</v>
      </c>
      <c r="F58" s="55">
        <f t="shared" ref="F58" si="45">Q15</f>
        <v>4300</v>
      </c>
      <c r="G58" s="55">
        <f t="shared" ref="G58" si="46">J15</f>
        <v>4400</v>
      </c>
      <c r="H58" s="55">
        <f t="shared" ref="H58" si="47">C15</f>
        <v>7000</v>
      </c>
    </row>
    <row r="70" spans="2:8" x14ac:dyDescent="0.2">
      <c r="B70" t="s">
        <v>288</v>
      </c>
      <c r="C70" s="56" t="s">
        <v>256</v>
      </c>
      <c r="D70" s="56" t="s">
        <v>284</v>
      </c>
      <c r="E70" s="56" t="s">
        <v>283</v>
      </c>
      <c r="F70" s="56" t="s">
        <v>282</v>
      </c>
      <c r="G70" s="56" t="s">
        <v>285</v>
      </c>
      <c r="H70" s="56" t="s">
        <v>255</v>
      </c>
    </row>
    <row r="71" spans="2:8" x14ac:dyDescent="0.2">
      <c r="B71" t="str">
        <f>$B$6</f>
        <v>Existing Measure Review &amp; Updates</v>
      </c>
      <c r="C71" s="55">
        <f t="shared" ref="C71:C76" si="48">AM6</f>
        <v>345000</v>
      </c>
      <c r="D71" s="55">
        <f t="shared" ref="D71:D76" si="49">AF6</f>
        <v>399800</v>
      </c>
      <c r="E71" s="55">
        <f t="shared" ref="E71:E76" si="50">Y6</f>
        <v>252200</v>
      </c>
      <c r="F71" s="55">
        <f t="shared" ref="F71:F76" si="51">R6</f>
        <v>339200</v>
      </c>
      <c r="G71" s="55">
        <f t="shared" ref="G71:G76" si="52">K6</f>
        <v>397400</v>
      </c>
      <c r="H71" s="55">
        <f t="shared" ref="H71:H76" si="53">D6</f>
        <v>313500</v>
      </c>
    </row>
    <row r="72" spans="2:8" x14ac:dyDescent="0.2">
      <c r="B72" t="str">
        <f>$B$7</f>
        <v>New Measure Development &amp; Review of Unsolicited Proposals</v>
      </c>
      <c r="C72" s="55">
        <f t="shared" si="48"/>
        <v>220000</v>
      </c>
      <c r="D72" s="55">
        <f t="shared" si="49"/>
        <v>174300</v>
      </c>
      <c r="E72" s="55">
        <f t="shared" si="50"/>
        <v>257400</v>
      </c>
      <c r="F72" s="55">
        <f t="shared" si="51"/>
        <v>236900</v>
      </c>
      <c r="G72" s="55">
        <f t="shared" si="52"/>
        <v>270400</v>
      </c>
      <c r="H72" s="55">
        <f t="shared" si="53"/>
        <v>440000</v>
      </c>
    </row>
    <row r="73" spans="2:8" x14ac:dyDescent="0.2">
      <c r="B73" t="str">
        <f>$B$8</f>
        <v>Standardization of Technical Analysis</v>
      </c>
      <c r="C73" s="55">
        <f t="shared" si="48"/>
        <v>230000</v>
      </c>
      <c r="D73" s="55">
        <f t="shared" si="49"/>
        <v>194800</v>
      </c>
      <c r="E73" s="55">
        <f t="shared" si="50"/>
        <v>231100</v>
      </c>
      <c r="F73" s="55">
        <f t="shared" si="51"/>
        <v>210000</v>
      </c>
      <c r="G73" s="55">
        <f t="shared" si="52"/>
        <v>198700</v>
      </c>
      <c r="H73" s="55">
        <f t="shared" si="53"/>
        <v>189500</v>
      </c>
    </row>
    <row r="74" spans="2:8" x14ac:dyDescent="0.2">
      <c r="B74" t="str">
        <f>$B$9</f>
        <v>Tool Development</v>
      </c>
      <c r="C74" s="55">
        <f t="shared" si="48"/>
        <v>120000</v>
      </c>
      <c r="D74" s="55">
        <f t="shared" si="49"/>
        <v>140400</v>
      </c>
      <c r="E74" s="55">
        <f t="shared" si="50"/>
        <v>99800</v>
      </c>
      <c r="F74" s="55">
        <f t="shared" si="51"/>
        <v>101200</v>
      </c>
      <c r="G74" s="55">
        <f t="shared" si="52"/>
        <v>124700</v>
      </c>
      <c r="H74" s="55">
        <f t="shared" si="53"/>
        <v>45000</v>
      </c>
    </row>
    <row r="75" spans="2:8" x14ac:dyDescent="0.2">
      <c r="B75" t="str">
        <f>$B$10</f>
        <v>Regional Coordination</v>
      </c>
      <c r="C75" s="55">
        <f t="shared" si="48"/>
        <v>155000</v>
      </c>
      <c r="D75" s="55">
        <f t="shared" si="49"/>
        <v>184500</v>
      </c>
      <c r="E75" s="55">
        <f t="shared" si="50"/>
        <v>283700</v>
      </c>
      <c r="F75" s="55">
        <f t="shared" si="51"/>
        <v>247700</v>
      </c>
      <c r="G75" s="55">
        <f t="shared" si="52"/>
        <v>187600</v>
      </c>
      <c r="H75" s="55">
        <f t="shared" si="53"/>
        <v>122600</v>
      </c>
    </row>
    <row r="76" spans="2:8" x14ac:dyDescent="0.2">
      <c r="B76" t="str">
        <f>$B$11</f>
        <v>Demand Response</v>
      </c>
      <c r="C76" s="55">
        <f t="shared" si="48"/>
        <v>10000</v>
      </c>
      <c r="D76" s="55">
        <f t="shared" si="49"/>
        <v>25600</v>
      </c>
      <c r="E76" s="55">
        <f t="shared" si="50"/>
        <v>52500</v>
      </c>
      <c r="F76" s="55">
        <f t="shared" si="51"/>
        <v>53800</v>
      </c>
      <c r="G76" s="55">
        <f t="shared" si="52"/>
        <v>55200</v>
      </c>
      <c r="H76" s="55">
        <f t="shared" si="53"/>
        <v>55000</v>
      </c>
    </row>
    <row r="77" spans="2:8" x14ac:dyDescent="0.2">
      <c r="B77" t="str">
        <f>$B$14</f>
        <v xml:space="preserve">Website, Database support, Conservation Tracking </v>
      </c>
      <c r="C77" s="55">
        <f>AM14</f>
        <v>0</v>
      </c>
      <c r="D77" s="55">
        <f>AF14</f>
        <v>0</v>
      </c>
      <c r="E77" s="55">
        <f>Y14</f>
        <v>0</v>
      </c>
      <c r="F77" s="55">
        <f>R14</f>
        <v>0</v>
      </c>
      <c r="G77" s="55">
        <f>K14</f>
        <v>0</v>
      </c>
      <c r="H77" s="55">
        <f>D14</f>
        <v>0</v>
      </c>
    </row>
    <row r="78" spans="2:8" x14ac:dyDescent="0.2">
      <c r="B78" t="str">
        <f>$B$13</f>
        <v>RTF Member Support &amp; Administration</v>
      </c>
      <c r="C78" s="55">
        <f>AM13</f>
        <v>113000</v>
      </c>
      <c r="D78" s="55">
        <f>AF13</f>
        <v>115800</v>
      </c>
      <c r="E78" s="55">
        <f>Y13</f>
        <v>118700</v>
      </c>
      <c r="F78" s="55">
        <f>R13</f>
        <v>121700</v>
      </c>
      <c r="G78" s="55">
        <f>K13</f>
        <v>124700</v>
      </c>
      <c r="H78" s="55">
        <f>D13</f>
        <v>110000</v>
      </c>
    </row>
    <row r="79" spans="2:8" x14ac:dyDescent="0.2">
      <c r="B79" t="str">
        <f>$B$15</f>
        <v>RTF Management</v>
      </c>
      <c r="C79" s="55">
        <f t="shared" ref="C79" si="54">AM15</f>
        <v>0</v>
      </c>
      <c r="D79" s="55">
        <f t="shared" ref="D79" si="55">AF15</f>
        <v>0</v>
      </c>
      <c r="E79" s="55">
        <f t="shared" ref="E79" si="56">Y15</f>
        <v>0</v>
      </c>
      <c r="F79" s="55">
        <f t="shared" ref="F79" si="57">R15</f>
        <v>0</v>
      </c>
      <c r="G79" s="55">
        <f t="shared" ref="G79" si="58">K15</f>
        <v>0</v>
      </c>
      <c r="H79" s="55">
        <f t="shared" ref="H79" si="59">D15</f>
        <v>5000</v>
      </c>
    </row>
  </sheetData>
  <mergeCells count="6">
    <mergeCell ref="X4:AB4"/>
    <mergeCell ref="AE4:AI4"/>
    <mergeCell ref="AL4:AP4"/>
    <mergeCell ref="C4:G4"/>
    <mergeCell ref="J4:N4"/>
    <mergeCell ref="Q4:U4"/>
  </mergeCells>
  <phoneticPr fontId="13" type="noConversion"/>
  <pageMargins left="0.7" right="0.7" top="0.75" bottom="0.75" header="0.3" footer="0.3"/>
  <drawing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20F45-5F8A-4C34-85C8-333A4E83DBF0}">
  <sheetPr>
    <tabColor theme="4"/>
  </sheetPr>
  <dimension ref="A1:AY117"/>
  <sheetViews>
    <sheetView workbookViewId="0">
      <pane xSplit="1" topLeftCell="B1" activePane="topRight" state="frozen"/>
      <selection pane="topRight" activeCell="Y40" sqref="Y40"/>
    </sheetView>
  </sheetViews>
  <sheetFormatPr defaultRowHeight="15.75" x14ac:dyDescent="0.25"/>
  <cols>
    <col min="1" max="1" width="70.28515625" style="10" customWidth="1"/>
    <col min="2" max="6" width="17.28515625" style="10" customWidth="1"/>
    <col min="7" max="10" width="10.7109375" style="10" customWidth="1"/>
    <col min="11" max="11" width="31.28515625" style="10" customWidth="1"/>
    <col min="12" max="16" width="17.28515625" style="10" customWidth="1"/>
    <col min="17" max="20" width="10.7109375" style="10" customWidth="1"/>
    <col min="21" max="21" width="27.85546875" style="10" customWidth="1"/>
    <col min="22" max="26" width="17.28515625" style="10" customWidth="1"/>
    <col min="27" max="30" width="10.7109375" style="10" customWidth="1"/>
    <col min="31" max="31" width="19.7109375" style="10" customWidth="1"/>
    <col min="32" max="36" width="17.28515625" style="10" customWidth="1"/>
    <col min="37" max="40" width="10.7109375" style="10" customWidth="1"/>
    <col min="41" max="41" width="19.7109375" style="10" customWidth="1"/>
    <col min="42" max="46" width="17.28515625" style="10" customWidth="1"/>
    <col min="47" max="50" width="10.7109375" style="10" customWidth="1"/>
    <col min="51" max="51" width="47.85546875" style="10" bestFit="1" customWidth="1"/>
    <col min="52" max="16384" width="9.140625" style="10"/>
  </cols>
  <sheetData>
    <row r="1" spans="1:51" ht="18.75" x14ac:dyDescent="0.3">
      <c r="A1" s="4" t="s">
        <v>300</v>
      </c>
      <c r="B1" s="130"/>
      <c r="G1" s="267" t="s">
        <v>500</v>
      </c>
      <c r="H1" s="268">
        <f>SUM(K5,U5,AE5,AO5,AY5)</f>
        <v>10704500</v>
      </c>
    </row>
    <row r="2" spans="1:51" ht="15.75" customHeight="1" x14ac:dyDescent="0.25">
      <c r="A2" s="7" t="str">
        <f>'Table of Contents'!$B$2</f>
        <v>DRAFT Proposed 5-Year Funding Levels (2025-2029) for discussion at March 26, 2024 RTF Policy Advisory Committee Meeting</v>
      </c>
      <c r="B2" s="130"/>
      <c r="G2" s="267" t="s">
        <v>501</v>
      </c>
      <c r="H2" s="269">
        <f>'Funding Shares (Combined)'!H148</f>
        <v>10704500</v>
      </c>
    </row>
    <row r="3" spans="1:51" ht="15.75" customHeight="1" x14ac:dyDescent="0.25">
      <c r="A3" s="170" t="s">
        <v>534</v>
      </c>
      <c r="B3" s="130"/>
      <c r="G3" s="267" t="s">
        <v>518</v>
      </c>
      <c r="H3" s="269">
        <f>SUM('2025-2029 Category Electric'!C24:G24)+SUM('2025-2029 Category Gas'!C24:G24)+SUM('2025-2029 Category DR'!C24:G24)</f>
        <v>10704500</v>
      </c>
      <c r="K3" s="270">
        <f>SUM('2025-2029 Category Electric'!C24,'2025-2029 Category Gas'!C24,'2025-2029 Category DR'!C24)</f>
        <v>2036500</v>
      </c>
      <c r="U3" s="270">
        <f>SUM('2025-2029 Category Electric'!D24,'2025-2029 Category Gas'!D24,'2025-2029 Category DR'!D24)</f>
        <v>2087400</v>
      </c>
      <c r="AE3" s="270">
        <f>SUM('2025-2029 Category Electric'!E24,'2025-2029 Category Gas'!E24,'2025-2029 Category DR'!E24)</f>
        <v>2139600</v>
      </c>
      <c r="AO3" s="270">
        <f>SUM('2025-2029 Category Electric'!F24,'2025-2029 Category Gas'!F24,'2025-2029 Category DR'!F24)</f>
        <v>2193100</v>
      </c>
      <c r="AY3" s="270">
        <f>SUM('2025-2029 Category Electric'!G24,'2025-2029 Category Gas'!G24,'2025-2029 Category DR'!G24)</f>
        <v>2247900</v>
      </c>
    </row>
    <row r="4" spans="1:51" ht="15.75" customHeight="1" x14ac:dyDescent="0.3">
      <c r="A4" s="243"/>
      <c r="B4" s="130"/>
      <c r="G4" s="267" t="s">
        <v>519</v>
      </c>
      <c r="H4" s="269">
        <f>SUM('2025-2029 Combined Category'!C32:G32)</f>
        <v>10704500</v>
      </c>
      <c r="K4" s="245"/>
      <c r="U4" s="130"/>
      <c r="AE4" s="130"/>
      <c r="AO4" s="130"/>
      <c r="AY4" s="130"/>
    </row>
    <row r="5" spans="1:51" ht="18.75" x14ac:dyDescent="0.3">
      <c r="B5" s="360" t="s">
        <v>301</v>
      </c>
      <c r="C5" s="361"/>
      <c r="D5" s="361"/>
      <c r="E5" s="361"/>
      <c r="F5" s="361"/>
      <c r="G5" s="361"/>
      <c r="H5" s="361"/>
      <c r="I5" s="361"/>
      <c r="J5" s="362"/>
      <c r="K5" s="228">
        <f>E58</f>
        <v>2036500</v>
      </c>
      <c r="L5" s="360" t="s">
        <v>302</v>
      </c>
      <c r="M5" s="361"/>
      <c r="N5" s="361"/>
      <c r="O5" s="361"/>
      <c r="P5" s="361"/>
      <c r="Q5" s="361"/>
      <c r="R5" s="361"/>
      <c r="S5" s="361"/>
      <c r="T5" s="362"/>
      <c r="U5" s="228">
        <f>O58</f>
        <v>2087400</v>
      </c>
      <c r="V5" s="360" t="s">
        <v>303</v>
      </c>
      <c r="W5" s="361"/>
      <c r="X5" s="361"/>
      <c r="Y5" s="361"/>
      <c r="Z5" s="361"/>
      <c r="AA5" s="361"/>
      <c r="AB5" s="361"/>
      <c r="AC5" s="361"/>
      <c r="AD5" s="362"/>
      <c r="AE5" s="228">
        <f>Y58</f>
        <v>2139600</v>
      </c>
      <c r="AF5" s="360" t="s">
        <v>304</v>
      </c>
      <c r="AG5" s="361"/>
      <c r="AH5" s="361"/>
      <c r="AI5" s="361"/>
      <c r="AJ5" s="361"/>
      <c r="AK5" s="361"/>
      <c r="AL5" s="361"/>
      <c r="AM5" s="361"/>
      <c r="AN5" s="362"/>
      <c r="AO5" s="228">
        <f>AI58</f>
        <v>2193100</v>
      </c>
      <c r="AP5" s="360" t="s">
        <v>305</v>
      </c>
      <c r="AQ5" s="361"/>
      <c r="AR5" s="361"/>
      <c r="AS5" s="361"/>
      <c r="AT5" s="361"/>
      <c r="AU5" s="361"/>
      <c r="AV5" s="361"/>
      <c r="AW5" s="361"/>
      <c r="AX5" s="362"/>
      <c r="AY5" s="228">
        <f>AS58</f>
        <v>2247900</v>
      </c>
    </row>
    <row r="6" spans="1:51" ht="47.25" x14ac:dyDescent="0.25">
      <c r="A6" s="64" t="s">
        <v>290</v>
      </c>
      <c r="B6" s="65" t="s">
        <v>245</v>
      </c>
      <c r="C6" s="66" t="s">
        <v>297</v>
      </c>
      <c r="D6" s="66" t="s">
        <v>235</v>
      </c>
      <c r="E6" s="66" t="s">
        <v>298</v>
      </c>
      <c r="F6" s="66" t="s">
        <v>299</v>
      </c>
      <c r="G6" s="66" t="s">
        <v>243</v>
      </c>
      <c r="H6" s="66" t="s">
        <v>452</v>
      </c>
      <c r="I6" s="66" t="s">
        <v>339</v>
      </c>
      <c r="J6" s="66" t="s">
        <v>340</v>
      </c>
      <c r="K6" s="67" t="s">
        <v>2</v>
      </c>
      <c r="L6" s="65" t="s">
        <v>245</v>
      </c>
      <c r="M6" s="66" t="s">
        <v>297</v>
      </c>
      <c r="N6" s="66" t="s">
        <v>235</v>
      </c>
      <c r="O6" s="66" t="s">
        <v>298</v>
      </c>
      <c r="P6" s="66" t="s">
        <v>299</v>
      </c>
      <c r="Q6" s="66" t="s">
        <v>243</v>
      </c>
      <c r="R6" s="66" t="s">
        <v>452</v>
      </c>
      <c r="S6" s="66" t="s">
        <v>339</v>
      </c>
      <c r="T6" s="66" t="s">
        <v>340</v>
      </c>
      <c r="U6" s="67" t="s">
        <v>2</v>
      </c>
      <c r="V6" s="65" t="s">
        <v>245</v>
      </c>
      <c r="W6" s="66" t="s">
        <v>297</v>
      </c>
      <c r="X6" s="66" t="s">
        <v>235</v>
      </c>
      <c r="Y6" s="66" t="s">
        <v>298</v>
      </c>
      <c r="Z6" s="66" t="s">
        <v>299</v>
      </c>
      <c r="AA6" s="66" t="s">
        <v>243</v>
      </c>
      <c r="AB6" s="66" t="s">
        <v>452</v>
      </c>
      <c r="AC6" s="66" t="s">
        <v>339</v>
      </c>
      <c r="AD6" s="66" t="s">
        <v>340</v>
      </c>
      <c r="AE6" s="67" t="s">
        <v>2</v>
      </c>
      <c r="AF6" s="65" t="s">
        <v>245</v>
      </c>
      <c r="AG6" s="66" t="s">
        <v>297</v>
      </c>
      <c r="AH6" s="66" t="s">
        <v>235</v>
      </c>
      <c r="AI6" s="66" t="s">
        <v>298</v>
      </c>
      <c r="AJ6" s="66" t="s">
        <v>299</v>
      </c>
      <c r="AK6" s="66" t="s">
        <v>243</v>
      </c>
      <c r="AL6" s="66" t="s">
        <v>452</v>
      </c>
      <c r="AM6" s="66" t="s">
        <v>339</v>
      </c>
      <c r="AN6" s="66" t="s">
        <v>340</v>
      </c>
      <c r="AO6" s="67" t="s">
        <v>2</v>
      </c>
      <c r="AP6" s="65" t="s">
        <v>245</v>
      </c>
      <c r="AQ6" s="66" t="s">
        <v>297</v>
      </c>
      <c r="AR6" s="66" t="s">
        <v>235</v>
      </c>
      <c r="AS6" s="66" t="s">
        <v>298</v>
      </c>
      <c r="AT6" s="66" t="s">
        <v>299</v>
      </c>
      <c r="AU6" s="66" t="s">
        <v>243</v>
      </c>
      <c r="AV6" s="66" t="s">
        <v>452</v>
      </c>
      <c r="AW6" s="66" t="s">
        <v>339</v>
      </c>
      <c r="AX6" s="66" t="s">
        <v>340</v>
      </c>
      <c r="AY6" s="67" t="s">
        <v>2</v>
      </c>
    </row>
    <row r="7" spans="1:51" s="122" customFormat="1" x14ac:dyDescent="0.25">
      <c r="A7" s="68" t="s">
        <v>244</v>
      </c>
      <c r="B7" s="206">
        <f>SUM(B8:B15)</f>
        <v>104500</v>
      </c>
      <c r="C7" s="207">
        <f>SUM(C8:C15)</f>
        <v>313500</v>
      </c>
      <c r="D7" s="207">
        <f>SUM(D8:D15)</f>
        <v>0</v>
      </c>
      <c r="E7" s="207">
        <f>SUM(E8:E15)</f>
        <v>418000</v>
      </c>
      <c r="F7" s="207">
        <f>SUM(F8:F15)</f>
        <v>15200</v>
      </c>
      <c r="G7" s="109">
        <f>E7/$E$58</f>
        <v>0.20525411244782715</v>
      </c>
      <c r="H7" s="109"/>
      <c r="I7" s="104"/>
      <c r="J7" s="104"/>
      <c r="K7" s="105"/>
      <c r="L7" s="206">
        <f>SUM(L8:L15)</f>
        <v>107350</v>
      </c>
      <c r="M7" s="207">
        <f>SUM(M8:M15)</f>
        <v>321100</v>
      </c>
      <c r="N7" s="207">
        <f>SUM(N8:N15)</f>
        <v>0</v>
      </c>
      <c r="O7" s="207">
        <f>SUM(O8:O15)</f>
        <v>428450</v>
      </c>
      <c r="P7" s="207">
        <f>SUM(P8:P15)</f>
        <v>15580</v>
      </c>
      <c r="Q7" s="109">
        <f>O7/$O$58</f>
        <v>0.20525534157324901</v>
      </c>
      <c r="R7" s="109"/>
      <c r="S7" s="109"/>
      <c r="T7" s="109"/>
      <c r="U7" s="105"/>
      <c r="V7" s="206">
        <f>SUM(V8:V15)</f>
        <v>179800</v>
      </c>
      <c r="W7" s="207">
        <f>SUM(W8:W15)</f>
        <v>536300</v>
      </c>
      <c r="X7" s="207">
        <f>SUM(X8:X15)</f>
        <v>0</v>
      </c>
      <c r="Y7" s="207">
        <f>SUM(Y8:Y15)</f>
        <v>716100</v>
      </c>
      <c r="Z7" s="207">
        <f>SUM(Z8:Z15)</f>
        <v>26040</v>
      </c>
      <c r="AA7" s="109">
        <f>Y7/$Y$58</f>
        <v>0.33468872686483453</v>
      </c>
      <c r="AB7" s="109"/>
      <c r="AC7" s="109"/>
      <c r="AD7" s="109"/>
      <c r="AE7" s="105"/>
      <c r="AF7" s="206">
        <f>SUM(AF8:AF15)</f>
        <v>200600</v>
      </c>
      <c r="AG7" s="207">
        <f>SUM(AG8:AG15)</f>
        <v>605200</v>
      </c>
      <c r="AH7" s="207">
        <f>SUM(AH8:AH15)</f>
        <v>0</v>
      </c>
      <c r="AI7" s="207">
        <f>SUM(AI8:AI15)</f>
        <v>805800</v>
      </c>
      <c r="AJ7" s="207">
        <f>SUM(AJ8:AJ15)</f>
        <v>29240</v>
      </c>
      <c r="AK7" s="109">
        <f>AI7/$AI$58</f>
        <v>0.36742510601431766</v>
      </c>
      <c r="AL7" s="109"/>
      <c r="AM7" s="109"/>
      <c r="AN7" s="109"/>
      <c r="AO7" s="105"/>
      <c r="AP7" s="206">
        <f>SUM(AP8:AP15)</f>
        <v>146400</v>
      </c>
      <c r="AQ7" s="207">
        <f>SUM(AQ8:AQ15)</f>
        <v>436800</v>
      </c>
      <c r="AR7" s="207">
        <f>SUM(AR8:AR15)</f>
        <v>0</v>
      </c>
      <c r="AS7" s="207">
        <f>SUM(AS8:AS15)</f>
        <v>583200</v>
      </c>
      <c r="AT7" s="207">
        <f>SUM(AT8:AT15)</f>
        <v>21120</v>
      </c>
      <c r="AU7" s="109">
        <f>AS7/$AS$58</f>
        <v>0.25944214600293608</v>
      </c>
      <c r="AV7" s="109"/>
      <c r="AW7" s="109"/>
      <c r="AX7" s="109"/>
      <c r="AY7" s="105"/>
    </row>
    <row r="8" spans="1:51" x14ac:dyDescent="0.25">
      <c r="A8" s="71" t="s">
        <v>291</v>
      </c>
      <c r="B8" s="208">
        <f>'Measure Timing and Costs'!B21*'Measure Timing and Costs'!$B$5</f>
        <v>33000</v>
      </c>
      <c r="C8" s="209">
        <f>'Measure Timing and Costs'!B21*'Measure Timing and Costs'!$B$6</f>
        <v>99000</v>
      </c>
      <c r="D8" s="209">
        <v>0</v>
      </c>
      <c r="E8" s="209">
        <f>SUM(B8:D8)</f>
        <v>132000</v>
      </c>
      <c r="F8" s="209">
        <f>'Measure Timing and Costs'!B21*'Measure Timing and Costs'!$B$8</f>
        <v>4800</v>
      </c>
      <c r="G8" s="72"/>
      <c r="H8" s="113">
        <v>1</v>
      </c>
      <c r="I8" s="113">
        <v>0</v>
      </c>
      <c r="J8" s="113">
        <v>0</v>
      </c>
      <c r="K8" s="73" t="str">
        <f>"Assumes update of "&amp; 'Measure Timing and Costs'!B21 &amp;" measures"</f>
        <v>Assumes update of 6 measures</v>
      </c>
      <c r="L8" s="208">
        <f>'Measure Timing and Costs'!C21*'Measure Timing and Costs'!$C$5</f>
        <v>56500</v>
      </c>
      <c r="M8" s="209">
        <f>'Measure Timing and Costs'!C21*'Measure Timing and Costs'!$C$6</f>
        <v>169000</v>
      </c>
      <c r="N8" s="209">
        <v>0</v>
      </c>
      <c r="O8" s="209">
        <f>SUM(L8:N8)</f>
        <v>225500</v>
      </c>
      <c r="P8" s="209">
        <f>'Measure Timing and Costs'!$C$8*'Measure Timing and Costs'!C21</f>
        <v>8200</v>
      </c>
      <c r="Q8" s="113"/>
      <c r="R8" s="113">
        <v>1</v>
      </c>
      <c r="S8" s="113">
        <v>0</v>
      </c>
      <c r="T8" s="113">
        <v>0</v>
      </c>
      <c r="U8" s="73" t="str">
        <f>"Assumes update of "&amp; 'Measure Timing and Costs'!C21 &amp;" measures"</f>
        <v>Assumes update of 10 measures</v>
      </c>
      <c r="V8" s="208">
        <f>'Measure Timing and Costs'!$D$5*'Measure Timing and Costs'!D21</f>
        <v>63800</v>
      </c>
      <c r="W8" s="209">
        <f>'Measure Timing and Costs'!$D$6*'Measure Timing and Costs'!D21</f>
        <v>190300</v>
      </c>
      <c r="X8" s="209">
        <v>0</v>
      </c>
      <c r="Y8" s="209">
        <f>SUM(V8:X8)</f>
        <v>254100</v>
      </c>
      <c r="Z8" s="209">
        <f>'Measure Timing and Costs'!$D$8*'Measure Timing and Costs'!D21</f>
        <v>9240</v>
      </c>
      <c r="AA8" s="113"/>
      <c r="AB8" s="113">
        <v>1</v>
      </c>
      <c r="AC8" s="113">
        <v>0</v>
      </c>
      <c r="AD8" s="113">
        <v>0</v>
      </c>
      <c r="AE8" s="73" t="str">
        <f>"Assumes update of "&amp; 'Measure Timing and Costs'!D21 &amp;" measures"</f>
        <v>Assumes update of 11 measures</v>
      </c>
      <c r="AF8" s="208">
        <f>'Measure Timing and Costs'!$E$5*'Measure Timing and Costs'!E21</f>
        <v>106200</v>
      </c>
      <c r="AG8" s="209">
        <f>'Measure Timing and Costs'!$E$6*'Measure Timing and Costs'!E21</f>
        <v>320400</v>
      </c>
      <c r="AH8" s="209">
        <v>0</v>
      </c>
      <c r="AI8" s="209">
        <f>SUM(AF8:AH8)</f>
        <v>426600</v>
      </c>
      <c r="AJ8" s="209">
        <f>'Measure Timing and Costs'!$E$8*'Measure Timing and Costs'!E21</f>
        <v>15480</v>
      </c>
      <c r="AK8" s="113"/>
      <c r="AL8" s="113">
        <v>1</v>
      </c>
      <c r="AM8" s="113">
        <v>0</v>
      </c>
      <c r="AN8" s="113">
        <v>0</v>
      </c>
      <c r="AO8" s="73" t="str">
        <f>"Assumes update of "&amp; 'Measure Timing and Costs'!E21 &amp;" measures"</f>
        <v>Assumes update of 18 measures</v>
      </c>
      <c r="AP8" s="208">
        <f>'Measure Timing and Costs'!$F$5*'Measure Timing and Costs'!F21</f>
        <v>79300</v>
      </c>
      <c r="AQ8" s="209">
        <f>'Measure Timing and Costs'!$F$6*'Measure Timing and Costs'!F21</f>
        <v>236600</v>
      </c>
      <c r="AR8" s="209">
        <v>0</v>
      </c>
      <c r="AS8" s="209">
        <f>SUM(AP8:AR8)</f>
        <v>315900</v>
      </c>
      <c r="AT8" s="209">
        <f>'Measure Timing and Costs'!$F$8*'Measure Timing and Costs'!F21</f>
        <v>11440</v>
      </c>
      <c r="AU8" s="113"/>
      <c r="AV8" s="113">
        <v>1</v>
      </c>
      <c r="AW8" s="113">
        <v>0</v>
      </c>
      <c r="AX8" s="113">
        <v>0</v>
      </c>
      <c r="AY8" s="73" t="str">
        <f>"Assumes update of "&amp; 'Measure Timing and Costs'!F21 &amp;" measures"</f>
        <v>Assumes update of 13 measures</v>
      </c>
    </row>
    <row r="9" spans="1:51" x14ac:dyDescent="0.25">
      <c r="A9" s="71" t="s">
        <v>292</v>
      </c>
      <c r="B9" s="208">
        <f>'Measure Timing and Costs'!B22*'Measure Timing and Costs'!$B$5</f>
        <v>5500</v>
      </c>
      <c r="C9" s="209">
        <f>'Measure Timing and Costs'!B22*'Measure Timing and Costs'!$B$6</f>
        <v>16500</v>
      </c>
      <c r="D9" s="209">
        <v>0</v>
      </c>
      <c r="E9" s="209">
        <f t="shared" ref="E9:E15" si="0">SUM(B9:D9)</f>
        <v>22000</v>
      </c>
      <c r="F9" s="209">
        <f>'Measure Timing and Costs'!B22*'Measure Timing and Costs'!$B$8</f>
        <v>800</v>
      </c>
      <c r="G9" s="72"/>
      <c r="H9" s="113">
        <v>1</v>
      </c>
      <c r="I9" s="113">
        <v>0</v>
      </c>
      <c r="J9" s="113">
        <v>0</v>
      </c>
      <c r="K9" s="73" t="str">
        <f>"Assumes update of "&amp; 'Measure Timing and Costs'!B22 &amp;" measures"</f>
        <v>Assumes update of 1 measures</v>
      </c>
      <c r="L9" s="208">
        <f>'Measure Timing and Costs'!C22*'Measure Timing and Costs'!$C$5</f>
        <v>5650</v>
      </c>
      <c r="M9" s="209">
        <f>'Measure Timing and Costs'!C22*'Measure Timing and Costs'!$C$6</f>
        <v>16900</v>
      </c>
      <c r="N9" s="209">
        <v>0</v>
      </c>
      <c r="O9" s="209">
        <f t="shared" ref="O9:O15" si="1">SUM(L9:N9)</f>
        <v>22550</v>
      </c>
      <c r="P9" s="209">
        <f>'Measure Timing and Costs'!$C$8*'Measure Timing and Costs'!C22</f>
        <v>820</v>
      </c>
      <c r="Q9" s="113"/>
      <c r="R9" s="113">
        <v>1</v>
      </c>
      <c r="S9" s="113">
        <v>0</v>
      </c>
      <c r="T9" s="113">
        <v>0</v>
      </c>
      <c r="U9" s="73" t="str">
        <f>"Assumes update of "&amp; 'Measure Timing and Costs'!C22 &amp;" measures"</f>
        <v>Assumes update of 1 measures</v>
      </c>
      <c r="V9" s="208">
        <f>'Measure Timing and Costs'!$D$5*'Measure Timing and Costs'!D22</f>
        <v>23200</v>
      </c>
      <c r="W9" s="209">
        <f>'Measure Timing and Costs'!$D$6*'Measure Timing and Costs'!D22</f>
        <v>69200</v>
      </c>
      <c r="X9" s="209">
        <v>0</v>
      </c>
      <c r="Y9" s="209">
        <f t="shared" ref="Y9:Y15" si="2">SUM(V9:X9)</f>
        <v>92400</v>
      </c>
      <c r="Z9" s="209">
        <f>'Measure Timing and Costs'!$D$8*'Measure Timing and Costs'!D22</f>
        <v>3360</v>
      </c>
      <c r="AA9" s="113"/>
      <c r="AB9" s="113">
        <v>1</v>
      </c>
      <c r="AC9" s="113">
        <v>0</v>
      </c>
      <c r="AD9" s="113">
        <v>0</v>
      </c>
      <c r="AE9" s="73" t="str">
        <f>"Assumes update of "&amp; 'Measure Timing and Costs'!D22 &amp;" measures"</f>
        <v>Assumes update of 4 measures</v>
      </c>
      <c r="AF9" s="208">
        <f>'Measure Timing and Costs'!$E$5*'Measure Timing and Costs'!E22</f>
        <v>0</v>
      </c>
      <c r="AG9" s="209">
        <f>'Measure Timing and Costs'!$E$6*'Measure Timing and Costs'!E22</f>
        <v>0</v>
      </c>
      <c r="AH9" s="209">
        <v>0</v>
      </c>
      <c r="AI9" s="209">
        <f t="shared" ref="AI9:AI15" si="3">SUM(AF9:AH9)</f>
        <v>0</v>
      </c>
      <c r="AJ9" s="209">
        <f>'Measure Timing and Costs'!$E$8*'Measure Timing and Costs'!E22</f>
        <v>0</v>
      </c>
      <c r="AK9" s="113"/>
      <c r="AL9" s="113">
        <v>1</v>
      </c>
      <c r="AM9" s="113">
        <v>0</v>
      </c>
      <c r="AN9" s="113">
        <v>0</v>
      </c>
      <c r="AO9" s="73" t="str">
        <f>"Assumes update of "&amp; 'Measure Timing and Costs'!E22 &amp;" measures"</f>
        <v>Assumes update of 0 measures</v>
      </c>
      <c r="AP9" s="208">
        <f>'Measure Timing and Costs'!$F$5*'Measure Timing and Costs'!F22</f>
        <v>6100</v>
      </c>
      <c r="AQ9" s="209">
        <f>'Measure Timing and Costs'!$F$6*'Measure Timing and Costs'!F22</f>
        <v>18200</v>
      </c>
      <c r="AR9" s="209">
        <v>0</v>
      </c>
      <c r="AS9" s="209">
        <f t="shared" ref="AS9:AS15" si="4">SUM(AP9:AR9)</f>
        <v>24300</v>
      </c>
      <c r="AT9" s="209">
        <f>'Measure Timing and Costs'!$F$8*'Measure Timing and Costs'!F22</f>
        <v>880</v>
      </c>
      <c r="AU9" s="113"/>
      <c r="AV9" s="113">
        <v>1</v>
      </c>
      <c r="AW9" s="113">
        <v>0</v>
      </c>
      <c r="AX9" s="113">
        <v>0</v>
      </c>
      <c r="AY9" s="73" t="str">
        <f>"Assumes update of "&amp; 'Measure Timing and Costs'!F22 &amp;" measures"</f>
        <v>Assumes update of 1 measures</v>
      </c>
    </row>
    <row r="10" spans="1:51" x14ac:dyDescent="0.25">
      <c r="A10" s="71" t="s">
        <v>367</v>
      </c>
      <c r="B10" s="208">
        <f>'Measure Timing and Costs'!B23*'Measure Timing and Costs'!$B$5</f>
        <v>16500</v>
      </c>
      <c r="C10" s="209">
        <f>'Measure Timing and Costs'!B23*'Measure Timing and Costs'!$B$6</f>
        <v>49500</v>
      </c>
      <c r="D10" s="209">
        <v>0</v>
      </c>
      <c r="E10" s="209">
        <f t="shared" si="0"/>
        <v>66000</v>
      </c>
      <c r="F10" s="209">
        <f>'Measure Timing and Costs'!B23*'Measure Timing and Costs'!$B$8</f>
        <v>2400</v>
      </c>
      <c r="G10" s="72"/>
      <c r="H10" s="113">
        <v>0.75</v>
      </c>
      <c r="I10" s="113">
        <v>0</v>
      </c>
      <c r="J10" s="113">
        <v>0.25</v>
      </c>
      <c r="K10" s="73" t="str">
        <f>"Assumes update of "&amp; 'Measure Timing and Costs'!B23 &amp;" measures"</f>
        <v>Assumes update of 3 measures</v>
      </c>
      <c r="L10" s="208">
        <f>'Measure Timing and Costs'!C23*'Measure Timing and Costs'!$C$5</f>
        <v>22600</v>
      </c>
      <c r="M10" s="209">
        <f>'Measure Timing and Costs'!C23*'Measure Timing and Costs'!$C$6</f>
        <v>67600</v>
      </c>
      <c r="N10" s="209">
        <v>0</v>
      </c>
      <c r="O10" s="209">
        <f t="shared" si="1"/>
        <v>90200</v>
      </c>
      <c r="P10" s="209">
        <f>'Measure Timing and Costs'!$C$8*'Measure Timing and Costs'!C23</f>
        <v>3280</v>
      </c>
      <c r="Q10" s="113"/>
      <c r="R10" s="113">
        <v>0.75</v>
      </c>
      <c r="S10" s="113">
        <v>0</v>
      </c>
      <c r="T10" s="113">
        <v>0.25</v>
      </c>
      <c r="U10" s="73" t="str">
        <f>"Assumes update of "&amp; 'Measure Timing and Costs'!C23 &amp;" measures"</f>
        <v>Assumes update of 4 measures</v>
      </c>
      <c r="V10" s="208">
        <f>'Measure Timing and Costs'!$D$5*'Measure Timing and Costs'!D23</f>
        <v>34800</v>
      </c>
      <c r="W10" s="209">
        <f>'Measure Timing and Costs'!$D$6*'Measure Timing and Costs'!D23</f>
        <v>103800</v>
      </c>
      <c r="X10" s="209">
        <v>0</v>
      </c>
      <c r="Y10" s="209">
        <f t="shared" si="2"/>
        <v>138600</v>
      </c>
      <c r="Z10" s="209">
        <f>'Measure Timing and Costs'!$D$8*'Measure Timing and Costs'!D23</f>
        <v>5040</v>
      </c>
      <c r="AA10" s="113"/>
      <c r="AB10" s="113">
        <v>0.75</v>
      </c>
      <c r="AC10" s="113">
        <v>0</v>
      </c>
      <c r="AD10" s="113">
        <v>0.25</v>
      </c>
      <c r="AE10" s="73" t="str">
        <f>"Assumes update of "&amp; 'Measure Timing and Costs'!D23 &amp;" measures"</f>
        <v>Assumes update of 6 measures</v>
      </c>
      <c r="AF10" s="208">
        <f>'Measure Timing and Costs'!$E$5*'Measure Timing and Costs'!E23</f>
        <v>17700</v>
      </c>
      <c r="AG10" s="209">
        <f>'Measure Timing and Costs'!$E$6*'Measure Timing and Costs'!E23</f>
        <v>53400</v>
      </c>
      <c r="AH10" s="209">
        <v>0</v>
      </c>
      <c r="AI10" s="209">
        <f t="shared" si="3"/>
        <v>71100</v>
      </c>
      <c r="AJ10" s="209">
        <f>'Measure Timing and Costs'!$E$8*'Measure Timing and Costs'!E23</f>
        <v>2580</v>
      </c>
      <c r="AK10" s="113"/>
      <c r="AL10" s="113">
        <v>0.75</v>
      </c>
      <c r="AM10" s="113">
        <v>0</v>
      </c>
      <c r="AN10" s="113">
        <v>0.25</v>
      </c>
      <c r="AO10" s="73" t="str">
        <f>"Assumes update of "&amp; 'Measure Timing and Costs'!E23 &amp;" measures"</f>
        <v>Assumes update of 3 measures</v>
      </c>
      <c r="AP10" s="208">
        <f>'Measure Timing and Costs'!$F$5*'Measure Timing and Costs'!F23</f>
        <v>12200</v>
      </c>
      <c r="AQ10" s="209">
        <f>'Measure Timing and Costs'!$F$6*'Measure Timing and Costs'!F23</f>
        <v>36400</v>
      </c>
      <c r="AR10" s="209">
        <v>0</v>
      </c>
      <c r="AS10" s="209">
        <f t="shared" si="4"/>
        <v>48600</v>
      </c>
      <c r="AT10" s="209">
        <f>'Measure Timing and Costs'!$F$8*'Measure Timing and Costs'!F23</f>
        <v>1760</v>
      </c>
      <c r="AU10" s="113"/>
      <c r="AV10" s="113">
        <v>0.75</v>
      </c>
      <c r="AW10" s="113">
        <v>0</v>
      </c>
      <c r="AX10" s="113">
        <v>0.25</v>
      </c>
      <c r="AY10" s="73" t="str">
        <f>"Assumes update of "&amp; 'Measure Timing and Costs'!F23 &amp;" measures"</f>
        <v>Assumes update of 2 measures</v>
      </c>
    </row>
    <row r="11" spans="1:51" x14ac:dyDescent="0.25">
      <c r="A11" s="71" t="s">
        <v>366</v>
      </c>
      <c r="B11" s="208">
        <f>'Measure Timing and Costs'!B24*'Measure Timing and Costs'!$B$5</f>
        <v>5500</v>
      </c>
      <c r="C11" s="209">
        <f>'Measure Timing and Costs'!B24*'Measure Timing and Costs'!$B$6</f>
        <v>16500</v>
      </c>
      <c r="D11" s="209">
        <v>0</v>
      </c>
      <c r="E11" s="209">
        <f t="shared" si="0"/>
        <v>22000</v>
      </c>
      <c r="F11" s="209">
        <f>'Measure Timing and Costs'!B24*'Measure Timing and Costs'!$B$8</f>
        <v>800</v>
      </c>
      <c r="G11" s="72"/>
      <c r="H11" s="113">
        <v>0.75</v>
      </c>
      <c r="I11" s="113">
        <v>0</v>
      </c>
      <c r="J11" s="113">
        <v>0.25</v>
      </c>
      <c r="K11" s="73" t="str">
        <f>"Assumes update of "&amp; 'Measure Timing and Costs'!B24 &amp;" measures"</f>
        <v>Assumes update of 1 measures</v>
      </c>
      <c r="L11" s="208">
        <f>'Measure Timing and Costs'!C24*'Measure Timing and Costs'!$C$5</f>
        <v>0</v>
      </c>
      <c r="M11" s="209">
        <f>'Measure Timing and Costs'!C24*'Measure Timing and Costs'!$C$6</f>
        <v>0</v>
      </c>
      <c r="N11" s="209">
        <v>0</v>
      </c>
      <c r="O11" s="209">
        <f t="shared" si="1"/>
        <v>0</v>
      </c>
      <c r="P11" s="209">
        <f>'Measure Timing and Costs'!$C$8*'Measure Timing and Costs'!C24</f>
        <v>0</v>
      </c>
      <c r="Q11" s="113"/>
      <c r="R11" s="113">
        <v>0.75</v>
      </c>
      <c r="S11" s="113">
        <v>0</v>
      </c>
      <c r="T11" s="113">
        <v>0.25</v>
      </c>
      <c r="U11" s="73" t="str">
        <f>"Assumes update of "&amp; 'Measure Timing and Costs'!C24 &amp;" measures"</f>
        <v>Assumes update of 0 measures</v>
      </c>
      <c r="V11" s="208">
        <f>'Measure Timing and Costs'!$D$5*'Measure Timing and Costs'!D24</f>
        <v>5800</v>
      </c>
      <c r="W11" s="209">
        <f>'Measure Timing and Costs'!$D$6*'Measure Timing and Costs'!D24</f>
        <v>17300</v>
      </c>
      <c r="X11" s="209">
        <v>0</v>
      </c>
      <c r="Y11" s="209">
        <f t="shared" si="2"/>
        <v>23100</v>
      </c>
      <c r="Z11" s="209">
        <f>'Measure Timing and Costs'!$D$8*'Measure Timing and Costs'!D24</f>
        <v>840</v>
      </c>
      <c r="AA11" s="113"/>
      <c r="AB11" s="113">
        <v>0.75</v>
      </c>
      <c r="AC11" s="113">
        <v>0</v>
      </c>
      <c r="AD11" s="113">
        <v>0.25</v>
      </c>
      <c r="AE11" s="73" t="str">
        <f>"Assumes update of "&amp; 'Measure Timing and Costs'!D24 &amp;" measures"</f>
        <v>Assumes update of 1 measures</v>
      </c>
      <c r="AF11" s="208">
        <f>'Measure Timing and Costs'!$E$5*'Measure Timing and Costs'!E24</f>
        <v>0</v>
      </c>
      <c r="AG11" s="209">
        <f>'Measure Timing and Costs'!$E$6*'Measure Timing and Costs'!E24</f>
        <v>0</v>
      </c>
      <c r="AH11" s="209">
        <v>0</v>
      </c>
      <c r="AI11" s="209">
        <f t="shared" si="3"/>
        <v>0</v>
      </c>
      <c r="AJ11" s="209">
        <f>'Measure Timing and Costs'!$E$8*'Measure Timing and Costs'!E24</f>
        <v>0</v>
      </c>
      <c r="AK11" s="113"/>
      <c r="AL11" s="113">
        <v>0.75</v>
      </c>
      <c r="AM11" s="113">
        <v>0</v>
      </c>
      <c r="AN11" s="113">
        <v>0.25</v>
      </c>
      <c r="AO11" s="73" t="str">
        <f>"Assumes update of "&amp; 'Measure Timing and Costs'!E24 &amp;" measures"</f>
        <v>Assumes update of 0 measures</v>
      </c>
      <c r="AP11" s="208">
        <f>'Measure Timing and Costs'!$F$5*'Measure Timing and Costs'!F24</f>
        <v>6100</v>
      </c>
      <c r="AQ11" s="209">
        <f>'Measure Timing and Costs'!$F$6*'Measure Timing and Costs'!F24</f>
        <v>18200</v>
      </c>
      <c r="AR11" s="209">
        <v>0</v>
      </c>
      <c r="AS11" s="209">
        <f t="shared" si="4"/>
        <v>24300</v>
      </c>
      <c r="AT11" s="209">
        <f>'Measure Timing and Costs'!$F$8*'Measure Timing and Costs'!F24</f>
        <v>880</v>
      </c>
      <c r="AU11" s="113"/>
      <c r="AV11" s="113">
        <v>0.75</v>
      </c>
      <c r="AW11" s="113">
        <v>0</v>
      </c>
      <c r="AX11" s="113">
        <v>0.25</v>
      </c>
      <c r="AY11" s="73" t="str">
        <f>"Assumes update of "&amp; 'Measure Timing and Costs'!F24 &amp;" measures"</f>
        <v>Assumes update of 1 measures</v>
      </c>
    </row>
    <row r="12" spans="1:51" x14ac:dyDescent="0.25">
      <c r="A12" s="71" t="s">
        <v>294</v>
      </c>
      <c r="B12" s="208">
        <f>'Measure Timing and Costs'!B25*'Measure Timing and Costs'!$B$5</f>
        <v>27500</v>
      </c>
      <c r="C12" s="209">
        <f>'Measure Timing and Costs'!B25*'Measure Timing and Costs'!$B$6</f>
        <v>82500</v>
      </c>
      <c r="D12" s="209">
        <v>0</v>
      </c>
      <c r="E12" s="209">
        <f t="shared" si="0"/>
        <v>110000</v>
      </c>
      <c r="F12" s="209">
        <f>'Measure Timing and Costs'!B25*'Measure Timing and Costs'!$B$8</f>
        <v>4000</v>
      </c>
      <c r="G12" s="72"/>
      <c r="H12" s="113">
        <v>0.75</v>
      </c>
      <c r="I12" s="113">
        <v>0.25</v>
      </c>
      <c r="J12" s="113">
        <v>0</v>
      </c>
      <c r="K12" s="73" t="str">
        <f>"Assumes update of "&amp; 'Measure Timing and Costs'!B25 &amp;" measures"</f>
        <v>Assumes update of 5 measures</v>
      </c>
      <c r="L12" s="208">
        <f>'Measure Timing and Costs'!C25*'Measure Timing and Costs'!$C$5</f>
        <v>16950</v>
      </c>
      <c r="M12" s="209">
        <f>'Measure Timing and Costs'!C25*'Measure Timing and Costs'!$C$6</f>
        <v>50700</v>
      </c>
      <c r="N12" s="209">
        <v>0</v>
      </c>
      <c r="O12" s="209">
        <f t="shared" si="1"/>
        <v>67650</v>
      </c>
      <c r="P12" s="209">
        <f>'Measure Timing and Costs'!$C$8*'Measure Timing and Costs'!C25</f>
        <v>2460</v>
      </c>
      <c r="Q12" s="113"/>
      <c r="R12" s="113">
        <v>0.75</v>
      </c>
      <c r="S12" s="113">
        <v>0.25</v>
      </c>
      <c r="T12" s="113">
        <v>0</v>
      </c>
      <c r="U12" s="73" t="str">
        <f>"Assumes update of "&amp; 'Measure Timing and Costs'!C25 &amp;" measures"</f>
        <v>Assumes update of 3 measures</v>
      </c>
      <c r="V12" s="208">
        <f>'Measure Timing and Costs'!$D$5*'Measure Timing and Costs'!D25</f>
        <v>40600</v>
      </c>
      <c r="W12" s="209">
        <f>'Measure Timing and Costs'!$D$6*'Measure Timing and Costs'!D25</f>
        <v>121100</v>
      </c>
      <c r="X12" s="209">
        <v>0</v>
      </c>
      <c r="Y12" s="209">
        <f t="shared" si="2"/>
        <v>161700</v>
      </c>
      <c r="Z12" s="209">
        <f>'Measure Timing and Costs'!$D$8*'Measure Timing and Costs'!D25</f>
        <v>5880</v>
      </c>
      <c r="AA12" s="113"/>
      <c r="AB12" s="113">
        <v>0.75</v>
      </c>
      <c r="AC12" s="113">
        <v>0.25</v>
      </c>
      <c r="AD12" s="113">
        <v>0</v>
      </c>
      <c r="AE12" s="73" t="str">
        <f>"Assumes update of "&amp; 'Measure Timing and Costs'!D25 &amp;" measures"</f>
        <v>Assumes update of 7 measures</v>
      </c>
      <c r="AF12" s="208">
        <f>'Measure Timing and Costs'!$E$5*'Measure Timing and Costs'!E25</f>
        <v>41300</v>
      </c>
      <c r="AG12" s="209">
        <f>'Measure Timing and Costs'!$E$6*'Measure Timing and Costs'!E25</f>
        <v>124600</v>
      </c>
      <c r="AH12" s="209">
        <v>0</v>
      </c>
      <c r="AI12" s="209">
        <f t="shared" si="3"/>
        <v>165900</v>
      </c>
      <c r="AJ12" s="209">
        <f>'Measure Timing and Costs'!$E$8*'Measure Timing and Costs'!E25</f>
        <v>6020</v>
      </c>
      <c r="AK12" s="113"/>
      <c r="AL12" s="113">
        <v>0.75</v>
      </c>
      <c r="AM12" s="113">
        <v>0.25</v>
      </c>
      <c r="AN12" s="113">
        <v>0</v>
      </c>
      <c r="AO12" s="73" t="str">
        <f>"Assumes update of "&amp; 'Measure Timing and Costs'!E25 &amp;" measures"</f>
        <v>Assumes update of 7 measures</v>
      </c>
      <c r="AP12" s="208">
        <f>'Measure Timing and Costs'!$F$5*'Measure Timing and Costs'!F25</f>
        <v>24400</v>
      </c>
      <c r="AQ12" s="209">
        <f>'Measure Timing and Costs'!$F$6*'Measure Timing and Costs'!F25</f>
        <v>72800</v>
      </c>
      <c r="AR12" s="209">
        <v>0</v>
      </c>
      <c r="AS12" s="209">
        <f t="shared" si="4"/>
        <v>97200</v>
      </c>
      <c r="AT12" s="209">
        <f>'Measure Timing and Costs'!$F$8*'Measure Timing and Costs'!F25</f>
        <v>3520</v>
      </c>
      <c r="AU12" s="113"/>
      <c r="AV12" s="113">
        <v>0.75</v>
      </c>
      <c r="AW12" s="113">
        <v>0.25</v>
      </c>
      <c r="AX12" s="113">
        <v>0</v>
      </c>
      <c r="AY12" s="73" t="str">
        <f>"Assumes update of "&amp; 'Measure Timing and Costs'!F25 &amp;" measures"</f>
        <v>Assumes update of 4 measures</v>
      </c>
    </row>
    <row r="13" spans="1:51" x14ac:dyDescent="0.25">
      <c r="A13" s="71" t="s">
        <v>293</v>
      </c>
      <c r="B13" s="208">
        <f>'Measure Timing and Costs'!B26*'Measure Timing and Costs'!$B$5</f>
        <v>0</v>
      </c>
      <c r="C13" s="209">
        <f>'Measure Timing and Costs'!B26*'Measure Timing and Costs'!$B$6</f>
        <v>0</v>
      </c>
      <c r="D13" s="209">
        <v>0</v>
      </c>
      <c r="E13" s="209">
        <f>SUM(B13:D13)</f>
        <v>0</v>
      </c>
      <c r="F13" s="209">
        <f>'Measure Timing and Costs'!B26*'Measure Timing and Costs'!$B$8</f>
        <v>0</v>
      </c>
      <c r="G13" s="72"/>
      <c r="H13" s="113">
        <v>0.75</v>
      </c>
      <c r="I13" s="113">
        <v>0.25</v>
      </c>
      <c r="J13" s="113">
        <v>0</v>
      </c>
      <c r="K13" s="73" t="str">
        <f>"Assumes update of "&amp; 'Measure Timing and Costs'!B26 &amp;" measures"</f>
        <v>Assumes update of 0 measures</v>
      </c>
      <c r="L13" s="208">
        <f>'Measure Timing and Costs'!C26*'Measure Timing and Costs'!$C$5</f>
        <v>0</v>
      </c>
      <c r="M13" s="209">
        <f>'Measure Timing and Costs'!C26*'Measure Timing and Costs'!$C$6</f>
        <v>0</v>
      </c>
      <c r="N13" s="209">
        <v>0</v>
      </c>
      <c r="O13" s="209">
        <f>SUM(L13:N13)</f>
        <v>0</v>
      </c>
      <c r="P13" s="209">
        <f>'Measure Timing and Costs'!$C$8*'Measure Timing and Costs'!C26</f>
        <v>0</v>
      </c>
      <c r="Q13" s="113"/>
      <c r="R13" s="113">
        <v>0.75</v>
      </c>
      <c r="S13" s="113">
        <v>0.25</v>
      </c>
      <c r="T13" s="113">
        <v>0</v>
      </c>
      <c r="U13" s="73" t="str">
        <f>"Assumes update of "&amp; 'Measure Timing and Costs'!C26 &amp;" measures"</f>
        <v>Assumes update of 0 measures</v>
      </c>
      <c r="V13" s="208">
        <f>'Measure Timing and Costs'!$D$5*'Measure Timing and Costs'!D26</f>
        <v>5800</v>
      </c>
      <c r="W13" s="209">
        <f>'Measure Timing and Costs'!$D$6*'Measure Timing and Costs'!D26</f>
        <v>17300</v>
      </c>
      <c r="X13" s="209">
        <v>0</v>
      </c>
      <c r="Y13" s="209">
        <f>SUM(V13:X13)</f>
        <v>23100</v>
      </c>
      <c r="Z13" s="209">
        <f>'Measure Timing and Costs'!$D$8*'Measure Timing and Costs'!D26</f>
        <v>840</v>
      </c>
      <c r="AA13" s="113"/>
      <c r="AB13" s="113">
        <v>0.75</v>
      </c>
      <c r="AC13" s="113">
        <v>0.25</v>
      </c>
      <c r="AD13" s="113">
        <v>0</v>
      </c>
      <c r="AE13" s="73" t="str">
        <f>"Assumes update of "&amp; 'Measure Timing and Costs'!D26 &amp;" measures"</f>
        <v>Assumes update of 1 measures</v>
      </c>
      <c r="AF13" s="208">
        <f>'Measure Timing and Costs'!$E$5*'Measure Timing and Costs'!E26</f>
        <v>5900</v>
      </c>
      <c r="AG13" s="209">
        <f>'Measure Timing and Costs'!$E$6*'Measure Timing and Costs'!E26</f>
        <v>17800</v>
      </c>
      <c r="AH13" s="209">
        <v>0</v>
      </c>
      <c r="AI13" s="209">
        <f>SUM(AF13:AH13)</f>
        <v>23700</v>
      </c>
      <c r="AJ13" s="209">
        <f>'Measure Timing and Costs'!$E$8*'Measure Timing and Costs'!E26</f>
        <v>860</v>
      </c>
      <c r="AK13" s="113"/>
      <c r="AL13" s="113">
        <v>0.75</v>
      </c>
      <c r="AM13" s="113">
        <v>0.25</v>
      </c>
      <c r="AN13" s="113">
        <v>0</v>
      </c>
      <c r="AO13" s="73" t="str">
        <f>"Assumes update of "&amp; 'Measure Timing and Costs'!E26 &amp;" measures"</f>
        <v>Assumes update of 1 measures</v>
      </c>
      <c r="AP13" s="208">
        <f>'Measure Timing and Costs'!$F$5*'Measure Timing and Costs'!F26</f>
        <v>0</v>
      </c>
      <c r="AQ13" s="209">
        <f>'Measure Timing and Costs'!$F$6*'Measure Timing and Costs'!F26</f>
        <v>0</v>
      </c>
      <c r="AR13" s="209">
        <v>0</v>
      </c>
      <c r="AS13" s="209">
        <f>SUM(AP13:AR13)</f>
        <v>0</v>
      </c>
      <c r="AT13" s="209">
        <f>'Measure Timing and Costs'!$F$8*'Measure Timing and Costs'!F26</f>
        <v>0</v>
      </c>
      <c r="AU13" s="113"/>
      <c r="AV13" s="113">
        <v>0.75</v>
      </c>
      <c r="AW13" s="113">
        <v>0.25</v>
      </c>
      <c r="AX13" s="113">
        <v>0</v>
      </c>
      <c r="AY13" s="73" t="str">
        <f>"Assumes update of "&amp; 'Measure Timing and Costs'!F26 &amp;" measures"</f>
        <v>Assumes update of 0 measures</v>
      </c>
    </row>
    <row r="14" spans="1:51" x14ac:dyDescent="0.25">
      <c r="A14" s="71" t="s">
        <v>295</v>
      </c>
      <c r="B14" s="208">
        <f>'Measure Timing and Costs'!B27*'Measure Timing and Costs'!$B$5</f>
        <v>11000</v>
      </c>
      <c r="C14" s="209">
        <f>'Measure Timing and Costs'!B27*'Measure Timing and Costs'!$B$6</f>
        <v>33000</v>
      </c>
      <c r="D14" s="209">
        <v>0</v>
      </c>
      <c r="E14" s="209">
        <f t="shared" si="0"/>
        <v>44000</v>
      </c>
      <c r="F14" s="209">
        <f>'Measure Timing and Costs'!B27*'Measure Timing and Costs'!$B$8</f>
        <v>1600</v>
      </c>
      <c r="G14" s="72"/>
      <c r="H14" s="113">
        <v>0</v>
      </c>
      <c r="I14" s="113">
        <v>1</v>
      </c>
      <c r="J14" s="113">
        <v>0</v>
      </c>
      <c r="K14" s="73" t="str">
        <f>"Assumes update of "&amp; 'Measure Timing and Costs'!B27 &amp;" measures"</f>
        <v>Assumes update of 2 measures</v>
      </c>
      <c r="L14" s="208">
        <f>'Measure Timing and Costs'!C27*'Measure Timing and Costs'!$C$5</f>
        <v>5650</v>
      </c>
      <c r="M14" s="209">
        <f>'Measure Timing and Costs'!C27*'Measure Timing and Costs'!$C$6</f>
        <v>16900</v>
      </c>
      <c r="N14" s="209">
        <v>0</v>
      </c>
      <c r="O14" s="209">
        <f t="shared" si="1"/>
        <v>22550</v>
      </c>
      <c r="P14" s="209">
        <f>'Measure Timing and Costs'!$C$8*'Measure Timing and Costs'!C27</f>
        <v>820</v>
      </c>
      <c r="Q14" s="113"/>
      <c r="R14" s="113">
        <v>0</v>
      </c>
      <c r="S14" s="113">
        <v>1</v>
      </c>
      <c r="T14" s="113">
        <v>0</v>
      </c>
      <c r="U14" s="73" t="str">
        <f>"Assumes update of "&amp; 'Measure Timing and Costs'!C27 &amp;" measures"</f>
        <v>Assumes update of 1 measures</v>
      </c>
      <c r="V14" s="208">
        <f>'Measure Timing and Costs'!$D$5*'Measure Timing and Costs'!D27</f>
        <v>5800</v>
      </c>
      <c r="W14" s="209">
        <f>'Measure Timing and Costs'!$D$6*'Measure Timing and Costs'!D27</f>
        <v>17300</v>
      </c>
      <c r="X14" s="209">
        <v>0</v>
      </c>
      <c r="Y14" s="209">
        <f t="shared" si="2"/>
        <v>23100</v>
      </c>
      <c r="Z14" s="209">
        <f>'Measure Timing and Costs'!$D$8*'Measure Timing and Costs'!D27</f>
        <v>840</v>
      </c>
      <c r="AA14" s="113"/>
      <c r="AB14" s="113">
        <v>0</v>
      </c>
      <c r="AC14" s="113">
        <v>1</v>
      </c>
      <c r="AD14" s="113">
        <v>0</v>
      </c>
      <c r="AE14" s="73" t="str">
        <f>"Assumes update of "&amp; 'Measure Timing and Costs'!D27 &amp;" measures"</f>
        <v>Assumes update of 1 measures</v>
      </c>
      <c r="AF14" s="208">
        <f>'Measure Timing and Costs'!$E$5*'Measure Timing and Costs'!E27</f>
        <v>29500</v>
      </c>
      <c r="AG14" s="209">
        <f>'Measure Timing and Costs'!$E$6*'Measure Timing and Costs'!E27</f>
        <v>89000</v>
      </c>
      <c r="AH14" s="209">
        <v>0</v>
      </c>
      <c r="AI14" s="209">
        <f t="shared" si="3"/>
        <v>118500</v>
      </c>
      <c r="AJ14" s="209">
        <f>'Measure Timing and Costs'!$E$8*'Measure Timing and Costs'!E27</f>
        <v>4300</v>
      </c>
      <c r="AK14" s="113"/>
      <c r="AL14" s="113">
        <v>0</v>
      </c>
      <c r="AM14" s="113">
        <v>1</v>
      </c>
      <c r="AN14" s="113">
        <v>0</v>
      </c>
      <c r="AO14" s="73" t="str">
        <f>"Assumes update of "&amp; 'Measure Timing and Costs'!E27 &amp;" measures"</f>
        <v>Assumes update of 5 measures</v>
      </c>
      <c r="AP14" s="208">
        <f>'Measure Timing and Costs'!$F$5*'Measure Timing and Costs'!F27</f>
        <v>18300</v>
      </c>
      <c r="AQ14" s="209">
        <f>'Measure Timing and Costs'!$F$6*'Measure Timing and Costs'!F27</f>
        <v>54600</v>
      </c>
      <c r="AR14" s="209">
        <v>0</v>
      </c>
      <c r="AS14" s="209">
        <f t="shared" si="4"/>
        <v>72900</v>
      </c>
      <c r="AT14" s="209">
        <f>'Measure Timing and Costs'!$F$8*'Measure Timing and Costs'!F27</f>
        <v>2640</v>
      </c>
      <c r="AU14" s="113"/>
      <c r="AV14" s="113">
        <v>0</v>
      </c>
      <c r="AW14" s="113">
        <v>1</v>
      </c>
      <c r="AX14" s="113">
        <v>0</v>
      </c>
      <c r="AY14" s="73" t="str">
        <f>"Assumes update of "&amp; 'Measure Timing and Costs'!F27 &amp;" measures"</f>
        <v>Assumes update of 3 measures</v>
      </c>
    </row>
    <row r="15" spans="1:51" x14ac:dyDescent="0.25">
      <c r="A15" s="71" t="s">
        <v>296</v>
      </c>
      <c r="B15" s="208">
        <f>'Measure Timing and Costs'!B28*'Measure Timing and Costs'!$B$5</f>
        <v>5500</v>
      </c>
      <c r="C15" s="209">
        <f>'Measure Timing and Costs'!B28*'Measure Timing and Costs'!$B$6</f>
        <v>16500</v>
      </c>
      <c r="D15" s="209">
        <v>0</v>
      </c>
      <c r="E15" s="209">
        <f t="shared" si="0"/>
        <v>22000</v>
      </c>
      <c r="F15" s="209">
        <f>'Measure Timing and Costs'!B28*'Measure Timing and Costs'!$B$8</f>
        <v>800</v>
      </c>
      <c r="G15" s="72"/>
      <c r="H15" s="113">
        <v>0</v>
      </c>
      <c r="I15" s="113">
        <v>1</v>
      </c>
      <c r="J15" s="113">
        <v>0</v>
      </c>
      <c r="K15" s="73" t="str">
        <f>"Assumes update of "&amp; 'Measure Timing and Costs'!B28 &amp;" measures"</f>
        <v>Assumes update of 1 measures</v>
      </c>
      <c r="L15" s="208">
        <f>'Measure Timing and Costs'!C28*'Measure Timing and Costs'!$C$5</f>
        <v>0</v>
      </c>
      <c r="M15" s="209">
        <f>'Measure Timing and Costs'!C28*'Measure Timing and Costs'!$C$6</f>
        <v>0</v>
      </c>
      <c r="N15" s="209">
        <v>0</v>
      </c>
      <c r="O15" s="209">
        <f t="shared" si="1"/>
        <v>0</v>
      </c>
      <c r="P15" s="209">
        <f>'Measure Timing and Costs'!$C$8*'Measure Timing and Costs'!C28</f>
        <v>0</v>
      </c>
      <c r="Q15" s="113"/>
      <c r="R15" s="113">
        <v>0</v>
      </c>
      <c r="S15" s="113">
        <v>1</v>
      </c>
      <c r="T15" s="113">
        <v>0</v>
      </c>
      <c r="U15" s="73" t="str">
        <f>"Assumes update of "&amp; 'Measure Timing and Costs'!C28 &amp;" measures"</f>
        <v>Assumes update of 0 measures</v>
      </c>
      <c r="V15" s="208">
        <f>'Measure Timing and Costs'!$D$5*'Measure Timing and Costs'!D28</f>
        <v>0</v>
      </c>
      <c r="W15" s="209">
        <f>'Measure Timing and Costs'!$D$6*'Measure Timing and Costs'!D28</f>
        <v>0</v>
      </c>
      <c r="X15" s="209">
        <v>0</v>
      </c>
      <c r="Y15" s="209">
        <f t="shared" si="2"/>
        <v>0</v>
      </c>
      <c r="Z15" s="209">
        <f>'Measure Timing and Costs'!$D$8*'Measure Timing and Costs'!D28</f>
        <v>0</v>
      </c>
      <c r="AA15" s="113"/>
      <c r="AB15" s="113">
        <v>0</v>
      </c>
      <c r="AC15" s="113">
        <v>1</v>
      </c>
      <c r="AD15" s="113">
        <v>0</v>
      </c>
      <c r="AE15" s="73" t="str">
        <f>"Assumes update of "&amp; 'Measure Timing and Costs'!D28 &amp;" measures"</f>
        <v>Assumes update of 0 measures</v>
      </c>
      <c r="AF15" s="208">
        <f>'Measure Timing and Costs'!$E$5*'Measure Timing and Costs'!E28</f>
        <v>0</v>
      </c>
      <c r="AG15" s="209">
        <f>'Measure Timing and Costs'!$E$6*'Measure Timing and Costs'!E28</f>
        <v>0</v>
      </c>
      <c r="AH15" s="209">
        <v>0</v>
      </c>
      <c r="AI15" s="209">
        <f t="shared" si="3"/>
        <v>0</v>
      </c>
      <c r="AJ15" s="209">
        <f>'Measure Timing and Costs'!$E$8*'Measure Timing and Costs'!E28</f>
        <v>0</v>
      </c>
      <c r="AK15" s="113"/>
      <c r="AL15" s="113">
        <v>0</v>
      </c>
      <c r="AM15" s="113">
        <v>1</v>
      </c>
      <c r="AN15" s="113">
        <v>0</v>
      </c>
      <c r="AO15" s="73" t="str">
        <f>"Assumes update of "&amp; 'Measure Timing and Costs'!E28 &amp;" measures"</f>
        <v>Assumes update of 0 measures</v>
      </c>
      <c r="AP15" s="208">
        <f>'Measure Timing and Costs'!$F$5*'Measure Timing and Costs'!F28</f>
        <v>0</v>
      </c>
      <c r="AQ15" s="209">
        <f>'Measure Timing and Costs'!$F$6*'Measure Timing and Costs'!F28</f>
        <v>0</v>
      </c>
      <c r="AR15" s="209">
        <v>0</v>
      </c>
      <c r="AS15" s="209">
        <f t="shared" si="4"/>
        <v>0</v>
      </c>
      <c r="AT15" s="209">
        <f>'Measure Timing and Costs'!$F$8*'Measure Timing and Costs'!F28</f>
        <v>0</v>
      </c>
      <c r="AU15" s="113"/>
      <c r="AV15" s="113">
        <v>0</v>
      </c>
      <c r="AW15" s="113">
        <v>1</v>
      </c>
      <c r="AX15" s="113">
        <v>0</v>
      </c>
      <c r="AY15" s="73" t="str">
        <f>"Assumes update of "&amp; 'Measure Timing and Costs'!F28 &amp;" measures"</f>
        <v>Assumes update of 0 measures</v>
      </c>
    </row>
    <row r="16" spans="1:51" x14ac:dyDescent="0.25">
      <c r="A16" s="68" t="s">
        <v>246</v>
      </c>
      <c r="B16" s="206">
        <f>SUM(B17:B22)</f>
        <v>60500</v>
      </c>
      <c r="C16" s="207">
        <f>SUM(C17:C22)</f>
        <v>440000</v>
      </c>
      <c r="D16" s="207">
        <f>SUM(D17:D22)</f>
        <v>0</v>
      </c>
      <c r="E16" s="207">
        <f>SUM(E17:E22)</f>
        <v>500500</v>
      </c>
      <c r="F16" s="207">
        <f>SUM(F17:F22)</f>
        <v>8800</v>
      </c>
      <c r="G16" s="109">
        <f>E16/$E$58</f>
        <v>0.24576479253621408</v>
      </c>
      <c r="H16" s="109"/>
      <c r="I16" s="69"/>
      <c r="J16" s="69"/>
      <c r="K16" s="70"/>
      <c r="L16" s="206">
        <f>SUM(L17:L22)</f>
        <v>73450</v>
      </c>
      <c r="M16" s="207">
        <f>SUM(M17:M22)</f>
        <v>533000</v>
      </c>
      <c r="N16" s="207">
        <f>SUM(N17:N22)</f>
        <v>0</v>
      </c>
      <c r="O16" s="207">
        <f>SUM(O17:O22)</f>
        <v>606450</v>
      </c>
      <c r="P16" s="207">
        <f>SUM(P17:P22)</f>
        <v>10660</v>
      </c>
      <c r="Q16" s="109">
        <f>O16/$O$58</f>
        <v>0.29052888761138257</v>
      </c>
      <c r="R16" s="109"/>
      <c r="S16" s="69"/>
      <c r="T16" s="69"/>
      <c r="U16" s="70"/>
      <c r="V16" s="206">
        <f>SUM(V17:V22)</f>
        <v>29000</v>
      </c>
      <c r="W16" s="207">
        <f>SUM(W17:W22)</f>
        <v>210000</v>
      </c>
      <c r="X16" s="207">
        <f>SUM(X17:X22)</f>
        <v>0</v>
      </c>
      <c r="Y16" s="207">
        <f>SUM(Y17:Y22)</f>
        <v>239000</v>
      </c>
      <c r="Z16" s="207">
        <f>SUM(Z17:Z22)</f>
        <v>4200</v>
      </c>
      <c r="AA16" s="109">
        <f>Y16/$Y$58</f>
        <v>0.11170312207889325</v>
      </c>
      <c r="AB16" s="109"/>
      <c r="AC16" s="69"/>
      <c r="AD16" s="69"/>
      <c r="AE16" s="70"/>
      <c r="AF16" s="206">
        <f>SUM(AF17:AF21)</f>
        <v>0</v>
      </c>
      <c r="AG16" s="207">
        <f t="shared" ref="AG16" si="5">SUM(AG17:AG21)</f>
        <v>0</v>
      </c>
      <c r="AH16" s="207">
        <f t="shared" ref="AH16" si="6">SUM(AH17:AH21)</f>
        <v>0</v>
      </c>
      <c r="AI16" s="207">
        <f t="shared" ref="AI16" si="7">SUM(AI17:AI21)</f>
        <v>0</v>
      </c>
      <c r="AJ16" s="207">
        <f t="shared" ref="AJ16" si="8">SUM(AJ17:AJ21)</f>
        <v>0</v>
      </c>
      <c r="AK16" s="109">
        <f>AI16/$AI$58</f>
        <v>0</v>
      </c>
      <c r="AL16" s="109"/>
      <c r="AM16" s="69"/>
      <c r="AN16" s="69"/>
      <c r="AO16" s="70"/>
      <c r="AP16" s="206">
        <f>SUM(AP17:AP22)</f>
        <v>54900</v>
      </c>
      <c r="AQ16" s="207">
        <f>SUM(AQ17:AQ22)</f>
        <v>397800</v>
      </c>
      <c r="AR16" s="207">
        <f>SUM(AR17:AR22)</f>
        <v>0</v>
      </c>
      <c r="AS16" s="207">
        <f>SUM(AS17:AS22)</f>
        <v>452700</v>
      </c>
      <c r="AT16" s="207">
        <f>SUM(AT17:AT22)</f>
        <v>7920</v>
      </c>
      <c r="AU16" s="109">
        <f>AS16/$AS$58</f>
        <v>0.20138796209795809</v>
      </c>
      <c r="AV16" s="109"/>
      <c r="AW16" s="118"/>
      <c r="AX16" s="118"/>
      <c r="AY16" s="70"/>
    </row>
    <row r="17" spans="1:51" x14ac:dyDescent="0.25">
      <c r="A17" s="71" t="s">
        <v>306</v>
      </c>
      <c r="B17" s="210">
        <f>'Measure Timing and Costs'!B12*'Measure Timing and Costs'!$B$5</f>
        <v>5500</v>
      </c>
      <c r="C17" s="209">
        <f>'Measure Timing and Costs'!B12*'Measure Timing and Costs'!$B$7</f>
        <v>40000</v>
      </c>
      <c r="D17" s="209">
        <v>0</v>
      </c>
      <c r="E17" s="209">
        <f>SUM(B17:D17)</f>
        <v>45500</v>
      </c>
      <c r="F17" s="209">
        <f>'Measure Timing and Costs'!B12*'Measure Timing and Costs'!$B$8</f>
        <v>800</v>
      </c>
      <c r="G17" s="72"/>
      <c r="H17" s="113">
        <v>1</v>
      </c>
      <c r="I17" s="113">
        <v>0</v>
      </c>
      <c r="J17" s="113">
        <v>0</v>
      </c>
      <c r="K17" s="73" t="str">
        <f>"Assumes development of "&amp; 'Measure Timing and Costs'!B12 &amp;" measures"</f>
        <v>Assumes development of 1 measures</v>
      </c>
      <c r="L17" s="210">
        <f>'Measure Timing and Costs'!C12*'Measure Timing and Costs'!$C$5</f>
        <v>5650</v>
      </c>
      <c r="M17" s="209">
        <f>'Measure Timing and Costs'!C12*'Measure Timing and Costs'!$C$7</f>
        <v>41000</v>
      </c>
      <c r="N17" s="209">
        <v>0</v>
      </c>
      <c r="O17" s="209">
        <f>SUM(L17:N17)</f>
        <v>46650</v>
      </c>
      <c r="P17" s="209">
        <f>'Measure Timing and Costs'!C12*'Measure Timing and Costs'!$C$8</f>
        <v>820</v>
      </c>
      <c r="Q17" s="113"/>
      <c r="R17" s="113">
        <v>1</v>
      </c>
      <c r="S17" s="113">
        <v>0</v>
      </c>
      <c r="T17" s="113">
        <v>0</v>
      </c>
      <c r="U17" s="73" t="str">
        <f>"Assumes development of "&amp; 'Measure Timing and Costs'!C12 &amp;" measures"</f>
        <v>Assumes development of 1 measures</v>
      </c>
      <c r="V17" s="210">
        <f>'Measure Timing and Costs'!D12*'Measure Timing and Costs'!$D$5</f>
        <v>5800</v>
      </c>
      <c r="W17" s="209">
        <f>'Measure Timing and Costs'!D12*'Measure Timing and Costs'!$D$7</f>
        <v>42000</v>
      </c>
      <c r="X17" s="209">
        <v>0</v>
      </c>
      <c r="Y17" s="209">
        <f>SUM(V17:X17)</f>
        <v>47800</v>
      </c>
      <c r="Z17" s="209">
        <f>'Measure Timing and Costs'!D12*'Measure Timing and Costs'!$D$8</f>
        <v>840</v>
      </c>
      <c r="AA17" s="113"/>
      <c r="AB17" s="113">
        <v>1</v>
      </c>
      <c r="AC17" s="113">
        <v>0</v>
      </c>
      <c r="AD17" s="113">
        <v>0</v>
      </c>
      <c r="AE17" s="73" t="str">
        <f>"Assumes development of "&amp; 'Measure Timing and Costs'!D12 &amp;" measures"</f>
        <v>Assumes development of 1 measures</v>
      </c>
      <c r="AF17" s="210">
        <f>'Measure Timing and Costs'!E12*'Measure Timing and Costs'!$E$5</f>
        <v>0</v>
      </c>
      <c r="AG17" s="209">
        <f>'Measure Timing and Costs'!E12*'Measure Timing and Costs'!$E$7</f>
        <v>0</v>
      </c>
      <c r="AH17" s="209">
        <v>0</v>
      </c>
      <c r="AI17" s="209">
        <f>SUM(AF17:AH17)</f>
        <v>0</v>
      </c>
      <c r="AJ17" s="209">
        <f>'Measure Timing and Costs'!E12*'Measure Timing and Costs'!$E$8</f>
        <v>0</v>
      </c>
      <c r="AK17" s="113"/>
      <c r="AL17" s="113">
        <v>1</v>
      </c>
      <c r="AM17" s="113">
        <v>0</v>
      </c>
      <c r="AN17" s="113">
        <v>0</v>
      </c>
      <c r="AO17" s="73" t="str">
        <f>"Assumes development of "&amp; 'Measure Timing and Costs'!E12 &amp;" measures"</f>
        <v>Assumes development of 0 measures</v>
      </c>
      <c r="AP17" s="210">
        <f>'Measure Timing and Costs'!F12*'Measure Timing and Costs'!$F$5</f>
        <v>6100</v>
      </c>
      <c r="AQ17" s="209">
        <f>'Measure Timing and Costs'!F12*'Measure Timing and Costs'!$F$7</f>
        <v>44200</v>
      </c>
      <c r="AR17" s="209">
        <v>0</v>
      </c>
      <c r="AS17" s="209">
        <f>SUM(AP17:AR17)</f>
        <v>50300</v>
      </c>
      <c r="AT17" s="209">
        <f>'Measure Timing and Costs'!F12*'Measure Timing and Costs'!$F$8</f>
        <v>880</v>
      </c>
      <c r="AU17" s="113"/>
      <c r="AV17" s="113">
        <v>1</v>
      </c>
      <c r="AW17" s="113">
        <v>0</v>
      </c>
      <c r="AX17" s="113">
        <v>0</v>
      </c>
      <c r="AY17" s="73" t="str">
        <f>"Assumes development of "&amp; 'Measure Timing and Costs'!F12 &amp;" measures"</f>
        <v>Assumes development of 1 measures</v>
      </c>
    </row>
    <row r="18" spans="1:51" x14ac:dyDescent="0.25">
      <c r="A18" s="71" t="s">
        <v>307</v>
      </c>
      <c r="B18" s="210">
        <f>'Measure Timing and Costs'!B13*'Measure Timing and Costs'!$B$5</f>
        <v>27500</v>
      </c>
      <c r="C18" s="209">
        <f>'Measure Timing and Costs'!B13*'Measure Timing and Costs'!$B$7</f>
        <v>200000</v>
      </c>
      <c r="D18" s="209">
        <v>0</v>
      </c>
      <c r="E18" s="209">
        <f t="shared" ref="E18:E22" si="9">SUM(B18:D18)</f>
        <v>227500</v>
      </c>
      <c r="F18" s="209">
        <f>'Measure Timing and Costs'!B13*'Measure Timing and Costs'!$B$8</f>
        <v>4000</v>
      </c>
      <c r="G18" s="72"/>
      <c r="H18" s="113">
        <v>1</v>
      </c>
      <c r="I18" s="113">
        <v>0</v>
      </c>
      <c r="J18" s="113">
        <v>0</v>
      </c>
      <c r="K18" s="73" t="str">
        <f>"Assumes development of "&amp; 'Measure Timing and Costs'!B13 &amp;" measures"</f>
        <v>Assumes development of 5 measures</v>
      </c>
      <c r="L18" s="210">
        <f>'Measure Timing and Costs'!C13*'Measure Timing and Costs'!$C$5</f>
        <v>33900</v>
      </c>
      <c r="M18" s="209">
        <f>'Measure Timing and Costs'!C13*'Measure Timing and Costs'!$C$7</f>
        <v>246000</v>
      </c>
      <c r="N18" s="209">
        <v>0</v>
      </c>
      <c r="O18" s="209">
        <f t="shared" ref="O18:O22" si="10">SUM(L18:N18)</f>
        <v>279900</v>
      </c>
      <c r="P18" s="209">
        <f>'Measure Timing and Costs'!C13*'Measure Timing and Costs'!$C$8</f>
        <v>4920</v>
      </c>
      <c r="Q18" s="113"/>
      <c r="R18" s="113">
        <v>1</v>
      </c>
      <c r="S18" s="113">
        <v>0</v>
      </c>
      <c r="T18" s="113">
        <v>0</v>
      </c>
      <c r="U18" s="73" t="str">
        <f>"Assumes development of "&amp; 'Measure Timing and Costs'!C13 &amp;" measures"</f>
        <v>Assumes development of 6 measures</v>
      </c>
      <c r="V18" s="210">
        <f>'Measure Timing and Costs'!D13*'Measure Timing and Costs'!$D$5</f>
        <v>5800</v>
      </c>
      <c r="W18" s="209">
        <f>'Measure Timing and Costs'!D13*'Measure Timing and Costs'!$D$7</f>
        <v>42000</v>
      </c>
      <c r="X18" s="209">
        <v>0</v>
      </c>
      <c r="Y18" s="209">
        <f t="shared" ref="Y18:Y22" si="11">SUM(V18:X18)</f>
        <v>47800</v>
      </c>
      <c r="Z18" s="209">
        <f>'Measure Timing and Costs'!D13*'Measure Timing and Costs'!$D$8</f>
        <v>840</v>
      </c>
      <c r="AA18" s="113"/>
      <c r="AB18" s="113">
        <v>1</v>
      </c>
      <c r="AC18" s="113">
        <v>0</v>
      </c>
      <c r="AD18" s="113">
        <v>0</v>
      </c>
      <c r="AE18" s="73" t="str">
        <f>"Assumes development of "&amp; 'Measure Timing and Costs'!D13 &amp;" measures"</f>
        <v>Assumes development of 1 measures</v>
      </c>
      <c r="AF18" s="210">
        <f>'Measure Timing and Costs'!E13*'Measure Timing and Costs'!$E$5</f>
        <v>0</v>
      </c>
      <c r="AG18" s="209">
        <f>'Measure Timing and Costs'!E13*'Measure Timing and Costs'!$E$7</f>
        <v>0</v>
      </c>
      <c r="AH18" s="209">
        <v>0</v>
      </c>
      <c r="AI18" s="209">
        <f t="shared" ref="AI18:AI22" si="12">SUM(AF18:AH18)</f>
        <v>0</v>
      </c>
      <c r="AJ18" s="209">
        <f>'Measure Timing and Costs'!E13*'Measure Timing and Costs'!$E$8</f>
        <v>0</v>
      </c>
      <c r="AK18" s="113"/>
      <c r="AL18" s="113">
        <v>1</v>
      </c>
      <c r="AM18" s="113">
        <v>0</v>
      </c>
      <c r="AN18" s="113">
        <v>0</v>
      </c>
      <c r="AO18" s="73" t="str">
        <f>"Assumes development of "&amp; 'Measure Timing and Costs'!E13 &amp;" measures"</f>
        <v>Assumes development of 0 measures</v>
      </c>
      <c r="AP18" s="210">
        <f>'Measure Timing and Costs'!F13*'Measure Timing and Costs'!$F$5</f>
        <v>24400</v>
      </c>
      <c r="AQ18" s="209">
        <f>'Measure Timing and Costs'!F13*'Measure Timing and Costs'!$F$7</f>
        <v>176800</v>
      </c>
      <c r="AR18" s="209">
        <v>0</v>
      </c>
      <c r="AS18" s="209">
        <f t="shared" ref="AS18:AS22" si="13">SUM(AP18:AR18)</f>
        <v>201200</v>
      </c>
      <c r="AT18" s="209">
        <f>'Measure Timing and Costs'!F13*'Measure Timing and Costs'!$F$8</f>
        <v>3520</v>
      </c>
      <c r="AU18" s="113"/>
      <c r="AV18" s="113">
        <v>1</v>
      </c>
      <c r="AW18" s="113">
        <v>0</v>
      </c>
      <c r="AX18" s="113">
        <v>0</v>
      </c>
      <c r="AY18" s="73" t="str">
        <f>"Assumes development of "&amp; 'Measure Timing and Costs'!F13 &amp;" measures"</f>
        <v>Assumes development of 4 measures</v>
      </c>
    </row>
    <row r="19" spans="1:51" x14ac:dyDescent="0.25">
      <c r="A19" s="71" t="s">
        <v>365</v>
      </c>
      <c r="B19" s="210">
        <f>'Measure Timing and Costs'!B14*'Measure Timing and Costs'!$B$5</f>
        <v>5500</v>
      </c>
      <c r="C19" s="209">
        <f>'Measure Timing and Costs'!B14*'Measure Timing and Costs'!$B$7</f>
        <v>40000</v>
      </c>
      <c r="D19" s="209">
        <v>0</v>
      </c>
      <c r="E19" s="209">
        <f t="shared" si="9"/>
        <v>45500</v>
      </c>
      <c r="F19" s="209">
        <f>'Measure Timing and Costs'!B14*'Measure Timing and Costs'!$B$8</f>
        <v>800</v>
      </c>
      <c r="G19" s="72"/>
      <c r="H19" s="113">
        <v>0.75</v>
      </c>
      <c r="I19" s="113">
        <v>0</v>
      </c>
      <c r="J19" s="113">
        <v>0.25</v>
      </c>
      <c r="K19" s="73" t="str">
        <f>"Assumes development of "&amp; 'Measure Timing and Costs'!B14 &amp;" measures"</f>
        <v>Assumes development of 1 measures</v>
      </c>
      <c r="L19" s="210">
        <f>'Measure Timing and Costs'!C14*'Measure Timing and Costs'!$C$5</f>
        <v>0</v>
      </c>
      <c r="M19" s="209">
        <f>'Measure Timing and Costs'!C14*'Measure Timing and Costs'!$C$7</f>
        <v>0</v>
      </c>
      <c r="N19" s="209">
        <v>0</v>
      </c>
      <c r="O19" s="209">
        <f t="shared" si="10"/>
        <v>0</v>
      </c>
      <c r="P19" s="209">
        <f>'Measure Timing and Costs'!C14*'Measure Timing and Costs'!$C$8</f>
        <v>0</v>
      </c>
      <c r="Q19" s="113"/>
      <c r="R19" s="113">
        <v>0.75</v>
      </c>
      <c r="S19" s="113">
        <v>0</v>
      </c>
      <c r="T19" s="113">
        <v>0.25</v>
      </c>
      <c r="U19" s="73" t="str">
        <f>"Assumes development of "&amp; 'Measure Timing and Costs'!C14 &amp;" measures"</f>
        <v>Assumes development of 0 measures</v>
      </c>
      <c r="V19" s="210">
        <f>'Measure Timing and Costs'!D14*'Measure Timing and Costs'!$D$5</f>
        <v>0</v>
      </c>
      <c r="W19" s="209">
        <f>'Measure Timing and Costs'!D14*'Measure Timing and Costs'!$D$7</f>
        <v>0</v>
      </c>
      <c r="X19" s="209">
        <v>0</v>
      </c>
      <c r="Y19" s="209">
        <f t="shared" si="11"/>
        <v>0</v>
      </c>
      <c r="Z19" s="209">
        <f>'Measure Timing and Costs'!D14*'Measure Timing and Costs'!$D$8</f>
        <v>0</v>
      </c>
      <c r="AA19" s="113"/>
      <c r="AB19" s="113">
        <v>0.75</v>
      </c>
      <c r="AC19" s="113">
        <v>0</v>
      </c>
      <c r="AD19" s="113">
        <v>0.25</v>
      </c>
      <c r="AE19" s="73" t="str">
        <f>"Assumes development of "&amp; 'Measure Timing and Costs'!D14 &amp;" measures"</f>
        <v>Assumes development of 0 measures</v>
      </c>
      <c r="AF19" s="210">
        <f>'Measure Timing and Costs'!E14*'Measure Timing and Costs'!$E$5</f>
        <v>0</v>
      </c>
      <c r="AG19" s="209">
        <f>'Measure Timing and Costs'!E14*'Measure Timing and Costs'!$E$7</f>
        <v>0</v>
      </c>
      <c r="AH19" s="209">
        <v>0</v>
      </c>
      <c r="AI19" s="209">
        <f t="shared" si="12"/>
        <v>0</v>
      </c>
      <c r="AJ19" s="209">
        <f>'Measure Timing and Costs'!E14*'Measure Timing and Costs'!$E$8</f>
        <v>0</v>
      </c>
      <c r="AK19" s="113"/>
      <c r="AL19" s="113">
        <v>0.75</v>
      </c>
      <c r="AM19" s="113">
        <v>0</v>
      </c>
      <c r="AN19" s="113">
        <v>0.25</v>
      </c>
      <c r="AO19" s="73" t="str">
        <f>"Assumes development of "&amp; 'Measure Timing and Costs'!E14 &amp;" measures"</f>
        <v>Assumes development of 0 measures</v>
      </c>
      <c r="AP19" s="210">
        <f>'Measure Timing and Costs'!F14*'Measure Timing and Costs'!$F$5</f>
        <v>6100</v>
      </c>
      <c r="AQ19" s="209">
        <f>'Measure Timing and Costs'!F14*'Measure Timing and Costs'!$F$7</f>
        <v>44200</v>
      </c>
      <c r="AR19" s="209">
        <v>0</v>
      </c>
      <c r="AS19" s="209">
        <f t="shared" si="13"/>
        <v>50300</v>
      </c>
      <c r="AT19" s="209">
        <f>'Measure Timing and Costs'!F14*'Measure Timing and Costs'!$F$8</f>
        <v>880</v>
      </c>
      <c r="AU19" s="113"/>
      <c r="AV19" s="113">
        <v>0.75</v>
      </c>
      <c r="AW19" s="113">
        <v>0</v>
      </c>
      <c r="AX19" s="113">
        <v>0.25</v>
      </c>
      <c r="AY19" s="73" t="str">
        <f>"Assumes development of "&amp; 'Measure Timing and Costs'!F14 &amp;" measures"</f>
        <v>Assumes development of 1 measures</v>
      </c>
    </row>
    <row r="20" spans="1:51" x14ac:dyDescent="0.25">
      <c r="A20" s="71" t="s">
        <v>308</v>
      </c>
      <c r="B20" s="210">
        <f>'Measure Timing and Costs'!B15*'Measure Timing and Costs'!$B$5</f>
        <v>5500</v>
      </c>
      <c r="C20" s="209">
        <f>'Measure Timing and Costs'!B15*'Measure Timing and Costs'!$B$7</f>
        <v>40000</v>
      </c>
      <c r="D20" s="209">
        <v>0</v>
      </c>
      <c r="E20" s="209">
        <f t="shared" si="9"/>
        <v>45500</v>
      </c>
      <c r="F20" s="209">
        <f>'Measure Timing and Costs'!B15*'Measure Timing and Costs'!$B$8</f>
        <v>800</v>
      </c>
      <c r="G20" s="72"/>
      <c r="H20" s="113">
        <v>0.75</v>
      </c>
      <c r="I20" s="113">
        <v>0.25</v>
      </c>
      <c r="J20" s="113">
        <v>0</v>
      </c>
      <c r="K20" s="73" t="str">
        <f>"Assumes development of "&amp; 'Measure Timing and Costs'!B15 &amp;" measures"</f>
        <v>Assumes development of 1 measures</v>
      </c>
      <c r="L20" s="210">
        <f>'Measure Timing and Costs'!C15*'Measure Timing and Costs'!$C$5</f>
        <v>11300</v>
      </c>
      <c r="M20" s="209">
        <f>'Measure Timing and Costs'!C15*'Measure Timing and Costs'!$C$7</f>
        <v>82000</v>
      </c>
      <c r="N20" s="209">
        <v>0</v>
      </c>
      <c r="O20" s="209">
        <f t="shared" si="10"/>
        <v>93300</v>
      </c>
      <c r="P20" s="209">
        <f>'Measure Timing and Costs'!C15*'Measure Timing and Costs'!$C$8</f>
        <v>1640</v>
      </c>
      <c r="Q20" s="113"/>
      <c r="R20" s="113">
        <v>0.75</v>
      </c>
      <c r="S20" s="113">
        <v>0.25</v>
      </c>
      <c r="T20" s="113">
        <v>0</v>
      </c>
      <c r="U20" s="73" t="str">
        <f>"Assumes development of "&amp; 'Measure Timing and Costs'!C15 &amp;" measures"</f>
        <v>Assumes development of 2 measures</v>
      </c>
      <c r="V20" s="210">
        <f>'Measure Timing and Costs'!D15*'Measure Timing and Costs'!$D$5</f>
        <v>0</v>
      </c>
      <c r="W20" s="209">
        <f>'Measure Timing and Costs'!D15*'Measure Timing and Costs'!$D$7</f>
        <v>0</v>
      </c>
      <c r="X20" s="209">
        <v>0</v>
      </c>
      <c r="Y20" s="209">
        <f t="shared" si="11"/>
        <v>0</v>
      </c>
      <c r="Z20" s="209">
        <f>'Measure Timing and Costs'!D15*'Measure Timing and Costs'!$D$8</f>
        <v>0</v>
      </c>
      <c r="AA20" s="113"/>
      <c r="AB20" s="113">
        <v>0.75</v>
      </c>
      <c r="AC20" s="113">
        <v>0.25</v>
      </c>
      <c r="AD20" s="113">
        <v>0</v>
      </c>
      <c r="AE20" s="73" t="str">
        <f>"Assumes development of "&amp; 'Measure Timing and Costs'!D15 &amp;" measures"</f>
        <v>Assumes development of 0 measures</v>
      </c>
      <c r="AF20" s="210">
        <f>'Measure Timing and Costs'!E15*'Measure Timing and Costs'!$E$5</f>
        <v>0</v>
      </c>
      <c r="AG20" s="209">
        <f>'Measure Timing and Costs'!E15*'Measure Timing and Costs'!$E$7</f>
        <v>0</v>
      </c>
      <c r="AH20" s="209">
        <v>0</v>
      </c>
      <c r="AI20" s="209">
        <f t="shared" si="12"/>
        <v>0</v>
      </c>
      <c r="AJ20" s="209">
        <f>'Measure Timing and Costs'!E15*'Measure Timing and Costs'!$E$8</f>
        <v>0</v>
      </c>
      <c r="AK20" s="113"/>
      <c r="AL20" s="113">
        <v>0.75</v>
      </c>
      <c r="AM20" s="113">
        <v>0.25</v>
      </c>
      <c r="AN20" s="113">
        <v>0</v>
      </c>
      <c r="AO20" s="73" t="str">
        <f>"Assumes development of "&amp; 'Measure Timing and Costs'!E15 &amp;" measures"</f>
        <v>Assumes development of 0 measures</v>
      </c>
      <c r="AP20" s="210">
        <f>'Measure Timing and Costs'!F15*'Measure Timing and Costs'!$F$5</f>
        <v>6100</v>
      </c>
      <c r="AQ20" s="209">
        <f>'Measure Timing and Costs'!F15*'Measure Timing and Costs'!$F$7</f>
        <v>44200</v>
      </c>
      <c r="AR20" s="209">
        <v>0</v>
      </c>
      <c r="AS20" s="209">
        <f t="shared" si="13"/>
        <v>50300</v>
      </c>
      <c r="AT20" s="209">
        <f>'Measure Timing and Costs'!F15*'Measure Timing and Costs'!$F$8</f>
        <v>880</v>
      </c>
      <c r="AU20" s="113"/>
      <c r="AV20" s="113">
        <v>0.75</v>
      </c>
      <c r="AW20" s="113">
        <v>0.25</v>
      </c>
      <c r="AX20" s="113">
        <v>0</v>
      </c>
      <c r="AY20" s="73" t="str">
        <f>"Assumes development of "&amp; 'Measure Timing and Costs'!F15 &amp;" measures"</f>
        <v>Assumes development of 1 measures</v>
      </c>
    </row>
    <row r="21" spans="1:51" x14ac:dyDescent="0.25">
      <c r="A21" s="71" t="s">
        <v>309</v>
      </c>
      <c r="B21" s="210">
        <f>'Measure Timing and Costs'!B16*'Measure Timing and Costs'!$B$5</f>
        <v>11000</v>
      </c>
      <c r="C21" s="209">
        <f>'Measure Timing and Costs'!B16*'Measure Timing and Costs'!$B$7</f>
        <v>80000</v>
      </c>
      <c r="D21" s="209">
        <v>0</v>
      </c>
      <c r="E21" s="209">
        <f t="shared" si="9"/>
        <v>91000</v>
      </c>
      <c r="F21" s="209">
        <f>'Measure Timing and Costs'!B16*'Measure Timing and Costs'!$B$8</f>
        <v>1600</v>
      </c>
      <c r="G21" s="72"/>
      <c r="H21" s="113">
        <v>0</v>
      </c>
      <c r="I21" s="113">
        <v>1</v>
      </c>
      <c r="J21" s="113">
        <v>0</v>
      </c>
      <c r="K21" s="73" t="str">
        <f>"Assumes development of "&amp; 'Measure Timing and Costs'!B16 &amp;" measures"</f>
        <v>Assumes development of 2 measures</v>
      </c>
      <c r="L21" s="210">
        <f>'Measure Timing and Costs'!C16*'Measure Timing and Costs'!$C$5</f>
        <v>11300</v>
      </c>
      <c r="M21" s="209">
        <f>'Measure Timing and Costs'!C16*'Measure Timing and Costs'!$C$7</f>
        <v>82000</v>
      </c>
      <c r="N21" s="209">
        <v>0</v>
      </c>
      <c r="O21" s="209">
        <f t="shared" si="10"/>
        <v>93300</v>
      </c>
      <c r="P21" s="209">
        <f>'Measure Timing and Costs'!C16*'Measure Timing and Costs'!$C$8</f>
        <v>1640</v>
      </c>
      <c r="Q21" s="113"/>
      <c r="R21" s="113">
        <v>0</v>
      </c>
      <c r="S21" s="113">
        <v>1</v>
      </c>
      <c r="T21" s="113">
        <v>0</v>
      </c>
      <c r="U21" s="73" t="str">
        <f>"Assumes development of "&amp; 'Measure Timing and Costs'!C16 &amp;" measures"</f>
        <v>Assumes development of 2 measures</v>
      </c>
      <c r="V21" s="210">
        <f>'Measure Timing and Costs'!D16*'Measure Timing and Costs'!$D$5</f>
        <v>11600</v>
      </c>
      <c r="W21" s="209">
        <f>'Measure Timing and Costs'!D16*'Measure Timing and Costs'!$D$7</f>
        <v>84000</v>
      </c>
      <c r="X21" s="209">
        <v>0</v>
      </c>
      <c r="Y21" s="209">
        <f t="shared" si="11"/>
        <v>95600</v>
      </c>
      <c r="Z21" s="209">
        <f>'Measure Timing and Costs'!D16*'Measure Timing and Costs'!$D$8</f>
        <v>1680</v>
      </c>
      <c r="AA21" s="113"/>
      <c r="AB21" s="113">
        <v>0</v>
      </c>
      <c r="AC21" s="113">
        <v>1</v>
      </c>
      <c r="AD21" s="113">
        <v>0</v>
      </c>
      <c r="AE21" s="73" t="str">
        <f>"Assumes development of "&amp; 'Measure Timing and Costs'!D16 &amp;" measures"</f>
        <v>Assumes development of 2 measures</v>
      </c>
      <c r="AF21" s="210">
        <f>'Measure Timing and Costs'!E16*'Measure Timing and Costs'!$E$5</f>
        <v>0</v>
      </c>
      <c r="AG21" s="209">
        <f>'Measure Timing and Costs'!E16*'Measure Timing and Costs'!$E$7</f>
        <v>0</v>
      </c>
      <c r="AH21" s="209">
        <v>0</v>
      </c>
      <c r="AI21" s="209">
        <f t="shared" si="12"/>
        <v>0</v>
      </c>
      <c r="AJ21" s="209">
        <f>'Measure Timing and Costs'!E16*'Measure Timing and Costs'!$E$8</f>
        <v>0</v>
      </c>
      <c r="AK21" s="113"/>
      <c r="AL21" s="113">
        <v>0</v>
      </c>
      <c r="AM21" s="113">
        <v>1</v>
      </c>
      <c r="AN21" s="113">
        <v>0</v>
      </c>
      <c r="AO21" s="73" t="str">
        <f>"Assumes development of "&amp; 'Measure Timing and Costs'!E16 &amp;" measures"</f>
        <v>Assumes development of 0 measures</v>
      </c>
      <c r="AP21" s="210">
        <f>'Measure Timing and Costs'!F16*'Measure Timing and Costs'!$F$5</f>
        <v>6100</v>
      </c>
      <c r="AQ21" s="209">
        <f>'Measure Timing and Costs'!F16*'Measure Timing and Costs'!$F$7</f>
        <v>44200</v>
      </c>
      <c r="AR21" s="209">
        <v>0</v>
      </c>
      <c r="AS21" s="209">
        <f t="shared" si="13"/>
        <v>50300</v>
      </c>
      <c r="AT21" s="209">
        <f>'Measure Timing and Costs'!F16*'Measure Timing and Costs'!$F$8</f>
        <v>880</v>
      </c>
      <c r="AU21" s="113"/>
      <c r="AV21" s="113">
        <v>0</v>
      </c>
      <c r="AW21" s="113">
        <v>1</v>
      </c>
      <c r="AX21" s="113">
        <v>0</v>
      </c>
      <c r="AY21" s="73" t="str">
        <f>"Assumes development of "&amp; 'Measure Timing and Costs'!F16 &amp;" measures"</f>
        <v>Assumes development of 1 measures</v>
      </c>
    </row>
    <row r="22" spans="1:51" x14ac:dyDescent="0.25">
      <c r="A22" s="71" t="s">
        <v>374</v>
      </c>
      <c r="B22" s="210">
        <f>'Measure Timing and Costs'!B17*'Measure Timing and Costs'!$B$5</f>
        <v>5500</v>
      </c>
      <c r="C22" s="209">
        <f>'Measure Timing and Costs'!B17*'Measure Timing and Costs'!$B$7</f>
        <v>40000</v>
      </c>
      <c r="D22" s="209">
        <v>0</v>
      </c>
      <c r="E22" s="209">
        <f t="shared" si="9"/>
        <v>45500</v>
      </c>
      <c r="F22" s="209">
        <f>'Measure Timing and Costs'!B17*'Measure Timing and Costs'!$B$8</f>
        <v>800</v>
      </c>
      <c r="G22" s="72"/>
      <c r="H22" s="113">
        <v>0.75</v>
      </c>
      <c r="I22" s="113">
        <v>0.25</v>
      </c>
      <c r="J22" s="113">
        <v>0</v>
      </c>
      <c r="K22" s="73" t="str">
        <f>"Assumes update of "&amp; 'Measure Timing and Costs'!B30 &amp;" impact evaluation guidance"</f>
        <v>Assumes update of 1 impact evaluation guidance</v>
      </c>
      <c r="L22" s="210">
        <f>'Measure Timing and Costs'!C17*'Measure Timing and Costs'!$C$5</f>
        <v>11300</v>
      </c>
      <c r="M22" s="209">
        <f>'Measure Timing and Costs'!C17*'Measure Timing and Costs'!$C$7</f>
        <v>82000</v>
      </c>
      <c r="N22" s="209">
        <v>0</v>
      </c>
      <c r="O22" s="209">
        <f t="shared" si="10"/>
        <v>93300</v>
      </c>
      <c r="P22" s="209">
        <f>'Measure Timing and Costs'!C17*'Measure Timing and Costs'!$C$8</f>
        <v>1640</v>
      </c>
      <c r="Q22" s="113"/>
      <c r="R22" s="113">
        <v>0.75</v>
      </c>
      <c r="S22" s="113">
        <v>0.25</v>
      </c>
      <c r="T22" s="113">
        <v>0</v>
      </c>
      <c r="U22" s="73" t="str">
        <f>"Assumes update of "&amp; 'Measure Timing and Costs'!B17 &amp;" impact evaluation guidance"</f>
        <v>Assumes update of 1 impact evaluation guidance</v>
      </c>
      <c r="V22" s="210">
        <f>'Measure Timing and Costs'!D17*'Measure Timing and Costs'!$D$5</f>
        <v>5800</v>
      </c>
      <c r="W22" s="209">
        <f>'Measure Timing and Costs'!D17*'Measure Timing and Costs'!$D$7</f>
        <v>42000</v>
      </c>
      <c r="X22" s="209">
        <v>0</v>
      </c>
      <c r="Y22" s="209">
        <f t="shared" si="11"/>
        <v>47800</v>
      </c>
      <c r="Z22" s="209">
        <f>'Measure Timing and Costs'!D17*'Measure Timing and Costs'!$D$8</f>
        <v>840</v>
      </c>
      <c r="AA22" s="113"/>
      <c r="AB22" s="113">
        <v>0.75</v>
      </c>
      <c r="AC22" s="113">
        <v>0.25</v>
      </c>
      <c r="AD22" s="113">
        <v>0</v>
      </c>
      <c r="AE22" s="73" t="str">
        <f>"Assumes update of "&amp; 'Measure Timing and Costs'!D17 &amp;" impact evaluation guidance"</f>
        <v>Assumes update of 1 impact evaluation guidance</v>
      </c>
      <c r="AF22" s="210">
        <f>'Measure Timing and Costs'!E17*'Measure Timing and Costs'!$E$5</f>
        <v>0</v>
      </c>
      <c r="AG22" s="209">
        <f>'Measure Timing and Costs'!E17*'Measure Timing and Costs'!$E$7</f>
        <v>0</v>
      </c>
      <c r="AH22" s="209">
        <v>0</v>
      </c>
      <c r="AI22" s="209">
        <f t="shared" si="12"/>
        <v>0</v>
      </c>
      <c r="AJ22" s="209">
        <f>'Measure Timing and Costs'!E17*'Measure Timing and Costs'!$E$8</f>
        <v>0</v>
      </c>
      <c r="AK22" s="113"/>
      <c r="AL22" s="113">
        <v>0.75</v>
      </c>
      <c r="AM22" s="113">
        <v>0.25</v>
      </c>
      <c r="AN22" s="113">
        <v>0</v>
      </c>
      <c r="AO22" s="73" t="str">
        <f>"Assumes update of "&amp; 'Measure Timing and Costs'!E17 &amp;" impact evaluation guidance"</f>
        <v>Assumes update of 0 impact evaluation guidance</v>
      </c>
      <c r="AP22" s="210">
        <f>'Measure Timing and Costs'!F17*'Measure Timing and Costs'!$F$5</f>
        <v>6100</v>
      </c>
      <c r="AQ22" s="209">
        <f>'Measure Timing and Costs'!F17*'Measure Timing and Costs'!$F$7</f>
        <v>44200</v>
      </c>
      <c r="AR22" s="209">
        <v>0</v>
      </c>
      <c r="AS22" s="209">
        <f t="shared" si="13"/>
        <v>50300</v>
      </c>
      <c r="AT22" s="209">
        <f>'Measure Timing and Costs'!F17*'Measure Timing and Costs'!$F$8</f>
        <v>880</v>
      </c>
      <c r="AU22" s="113"/>
      <c r="AV22" s="113">
        <v>0.75</v>
      </c>
      <c r="AW22" s="113">
        <v>0.25</v>
      </c>
      <c r="AX22" s="113">
        <v>0</v>
      </c>
      <c r="AY22" s="73" t="str">
        <f>"Assumes update of "&amp; 'Measure Timing and Costs'!F17 &amp;" impact evaluation guidance"</f>
        <v>Assumes update of 1 impact evaluation guidance</v>
      </c>
    </row>
    <row r="23" spans="1:51" x14ac:dyDescent="0.25">
      <c r="A23" s="68" t="s">
        <v>247</v>
      </c>
      <c r="B23" s="206">
        <f>SUM(B24:B26)</f>
        <v>30000</v>
      </c>
      <c r="C23" s="207">
        <f>SUM(C24:C26)</f>
        <v>189500</v>
      </c>
      <c r="D23" s="207">
        <f>SUM(D24:D26)</f>
        <v>0</v>
      </c>
      <c r="E23" s="207">
        <f>SUM(E24:E26)</f>
        <v>219500</v>
      </c>
      <c r="F23" s="207">
        <f>SUM(F24:F26)</f>
        <v>1000</v>
      </c>
      <c r="G23" s="109">
        <f>E23/$E$58</f>
        <v>0.10778296096243555</v>
      </c>
      <c r="H23" s="109"/>
      <c r="I23" s="118"/>
      <c r="J23" s="118"/>
      <c r="K23" s="70"/>
      <c r="L23" s="206">
        <f>SUM(L24:L26)</f>
        <v>0</v>
      </c>
      <c r="M23" s="207">
        <f t="shared" ref="M23" si="14">SUM(M24:M26)</f>
        <v>191100</v>
      </c>
      <c r="N23" s="207">
        <f t="shared" ref="N23" si="15">SUM(N24:N26)</f>
        <v>0</v>
      </c>
      <c r="O23" s="207">
        <f t="shared" ref="O23" si="16">SUM(O24:O26)</f>
        <v>191100</v>
      </c>
      <c r="P23" s="207">
        <f t="shared" ref="P23" si="17">SUM(P24:P26)</f>
        <v>500</v>
      </c>
      <c r="Q23" s="109">
        <f>O23/$O$58</f>
        <v>9.154929577464789E-2</v>
      </c>
      <c r="R23" s="109"/>
      <c r="S23" s="118"/>
      <c r="T23" s="118"/>
      <c r="U23" s="70"/>
      <c r="V23" s="206">
        <f>SUM(V24:V26)</f>
        <v>15000</v>
      </c>
      <c r="W23" s="207">
        <f t="shared" ref="W23" si="18">SUM(W24:W26)</f>
        <v>203800</v>
      </c>
      <c r="X23" s="207">
        <f t="shared" ref="X23" si="19">SUM(X24:X26)</f>
        <v>0</v>
      </c>
      <c r="Y23" s="207">
        <f t="shared" ref="Y23" si="20">SUM(Y24:Y26)</f>
        <v>218800</v>
      </c>
      <c r="Z23" s="207">
        <f t="shared" ref="Z23" si="21">SUM(Z24:Z26)</f>
        <v>0</v>
      </c>
      <c r="AA23" s="109">
        <f>Y23/$Y$58</f>
        <v>0.10226210506636754</v>
      </c>
      <c r="AB23" s="109"/>
      <c r="AC23" s="118"/>
      <c r="AD23" s="118"/>
      <c r="AE23" s="70"/>
      <c r="AF23" s="206">
        <f>SUM(AF24:AF26)</f>
        <v>0</v>
      </c>
      <c r="AG23" s="207">
        <f t="shared" ref="AG23" si="22">SUM(AG24:AG26)</f>
        <v>198600</v>
      </c>
      <c r="AH23" s="207">
        <f t="shared" ref="AH23" si="23">SUM(AH24:AH26)</f>
        <v>0</v>
      </c>
      <c r="AI23" s="207">
        <f t="shared" ref="AI23" si="24">SUM(AI24:AI26)</f>
        <v>198600</v>
      </c>
      <c r="AJ23" s="207">
        <f t="shared" ref="AJ23" si="25">SUM(AJ24:AJ26)</f>
        <v>0</v>
      </c>
      <c r="AK23" s="109">
        <f>AI23/$AI$58</f>
        <v>9.0556746158405907E-2</v>
      </c>
      <c r="AL23" s="109"/>
      <c r="AM23" s="118"/>
      <c r="AN23" s="118"/>
      <c r="AO23" s="70"/>
      <c r="AP23" s="206">
        <f>SUM(AP24:AP26)</f>
        <v>0</v>
      </c>
      <c r="AQ23" s="207">
        <f t="shared" ref="AQ23" si="26">SUM(AQ24:AQ26)</f>
        <v>212200</v>
      </c>
      <c r="AR23" s="207">
        <f t="shared" ref="AR23" si="27">SUM(AR24:AR26)</f>
        <v>0</v>
      </c>
      <c r="AS23" s="207">
        <f t="shared" ref="AS23" si="28">SUM(AS24:AS26)</f>
        <v>212200</v>
      </c>
      <c r="AT23" s="207">
        <f t="shared" ref="AT23" si="29">SUM(AT24:AT26)</f>
        <v>500</v>
      </c>
      <c r="AU23" s="109">
        <f>AS23/$AS$58</f>
        <v>9.4399217047021658E-2</v>
      </c>
      <c r="AV23" s="109"/>
      <c r="AW23" s="118"/>
      <c r="AX23" s="118"/>
      <c r="AY23" s="70"/>
    </row>
    <row r="24" spans="1:51" x14ac:dyDescent="0.25">
      <c r="A24" s="71" t="s">
        <v>310</v>
      </c>
      <c r="B24" s="210">
        <v>30000</v>
      </c>
      <c r="C24" s="209">
        <v>5000</v>
      </c>
      <c r="D24" s="209">
        <v>0</v>
      </c>
      <c r="E24" s="209">
        <f>SUM(B24:D24)</f>
        <v>35000</v>
      </c>
      <c r="F24" s="209">
        <v>1000</v>
      </c>
      <c r="G24" s="72"/>
      <c r="H24" s="113">
        <v>0.75</v>
      </c>
      <c r="I24" s="113">
        <v>0.25</v>
      </c>
      <c r="J24" s="113">
        <v>0</v>
      </c>
      <c r="K24" s="73" t="s">
        <v>406</v>
      </c>
      <c r="L24" s="210">
        <v>0</v>
      </c>
      <c r="M24" s="209">
        <v>0</v>
      </c>
      <c r="N24" s="209">
        <v>0</v>
      </c>
      <c r="O24" s="209">
        <f>SUM(L24:N24)</f>
        <v>0</v>
      </c>
      <c r="P24" s="209">
        <v>0</v>
      </c>
      <c r="Q24" s="113"/>
      <c r="R24" s="113">
        <v>0.75</v>
      </c>
      <c r="S24" s="113">
        <v>0.25</v>
      </c>
      <c r="T24" s="113">
        <v>0</v>
      </c>
      <c r="U24" s="73" t="s">
        <v>407</v>
      </c>
      <c r="V24" s="210">
        <v>5000</v>
      </c>
      <c r="W24" s="209">
        <v>5000</v>
      </c>
      <c r="X24" s="209">
        <v>0</v>
      </c>
      <c r="Y24" s="209">
        <f>SUM(V24:X24)</f>
        <v>10000</v>
      </c>
      <c r="Z24" s="209">
        <v>0</v>
      </c>
      <c r="AA24" s="113"/>
      <c r="AB24" s="113">
        <v>0.75</v>
      </c>
      <c r="AC24" s="113">
        <v>0.25</v>
      </c>
      <c r="AD24" s="113">
        <v>0</v>
      </c>
      <c r="AE24" s="73" t="s">
        <v>408</v>
      </c>
      <c r="AF24" s="210">
        <v>0</v>
      </c>
      <c r="AG24" s="209">
        <v>0</v>
      </c>
      <c r="AH24" s="209">
        <v>0</v>
      </c>
      <c r="AI24" s="209">
        <f>SUM(AF24:AH24)</f>
        <v>0</v>
      </c>
      <c r="AJ24" s="209">
        <v>0</v>
      </c>
      <c r="AK24" s="113"/>
      <c r="AL24" s="113">
        <v>0.75</v>
      </c>
      <c r="AM24" s="113">
        <v>0.25</v>
      </c>
      <c r="AN24" s="113">
        <v>0</v>
      </c>
      <c r="AO24" s="73" t="s">
        <v>409</v>
      </c>
      <c r="AP24" s="210">
        <v>0</v>
      </c>
      <c r="AQ24" s="209">
        <v>0</v>
      </c>
      <c r="AR24" s="209">
        <v>0</v>
      </c>
      <c r="AS24" s="209">
        <f>SUM(AP24:AR24)</f>
        <v>0</v>
      </c>
      <c r="AT24" s="209">
        <v>0</v>
      </c>
      <c r="AU24" s="113"/>
      <c r="AV24" s="113">
        <v>0.75</v>
      </c>
      <c r="AW24" s="113">
        <v>0.25</v>
      </c>
      <c r="AX24" s="113">
        <v>0</v>
      </c>
      <c r="AY24" s="73" t="s">
        <v>410</v>
      </c>
    </row>
    <row r="25" spans="1:51" x14ac:dyDescent="0.25">
      <c r="A25" s="71" t="s">
        <v>311</v>
      </c>
      <c r="B25" s="210">
        <v>0</v>
      </c>
      <c r="C25" s="209">
        <v>0</v>
      </c>
      <c r="D25" s="209">
        <v>0</v>
      </c>
      <c r="E25" s="209">
        <f>SUM(B25:D25)</f>
        <v>0</v>
      </c>
      <c r="F25" s="209">
        <v>0</v>
      </c>
      <c r="G25" s="72"/>
      <c r="H25" s="113">
        <v>0.75</v>
      </c>
      <c r="I25" s="113">
        <v>0.25</v>
      </c>
      <c r="J25" s="113">
        <v>0</v>
      </c>
      <c r="K25" s="73" t="s">
        <v>404</v>
      </c>
      <c r="L25" s="210">
        <v>0</v>
      </c>
      <c r="M25" s="209">
        <v>2000</v>
      </c>
      <c r="N25" s="209">
        <v>0</v>
      </c>
      <c r="O25" s="209">
        <f>SUM(L25:N25)</f>
        <v>2000</v>
      </c>
      <c r="P25" s="209">
        <v>500</v>
      </c>
      <c r="Q25" s="113"/>
      <c r="R25" s="113">
        <v>0.75</v>
      </c>
      <c r="S25" s="113">
        <v>0.25</v>
      </c>
      <c r="T25" s="113">
        <v>0</v>
      </c>
      <c r="U25" s="73" t="s">
        <v>405</v>
      </c>
      <c r="V25" s="210">
        <v>10000</v>
      </c>
      <c r="W25" s="209">
        <v>5000</v>
      </c>
      <c r="X25" s="209">
        <v>0</v>
      </c>
      <c r="Y25" s="209">
        <f>SUM(V25:X25)</f>
        <v>15000</v>
      </c>
      <c r="Z25" s="209">
        <v>0</v>
      </c>
      <c r="AA25" s="113"/>
      <c r="AB25" s="113">
        <v>0.75</v>
      </c>
      <c r="AC25" s="113">
        <v>0.25</v>
      </c>
      <c r="AD25" s="113">
        <v>0</v>
      </c>
      <c r="AE25" s="73" t="s">
        <v>408</v>
      </c>
      <c r="AF25" s="210">
        <v>0</v>
      </c>
      <c r="AG25" s="209">
        <v>0</v>
      </c>
      <c r="AH25" s="209">
        <v>0</v>
      </c>
      <c r="AI25" s="209">
        <f>SUM(AF25:AH25)</f>
        <v>0</v>
      </c>
      <c r="AJ25" s="209">
        <v>0</v>
      </c>
      <c r="AK25" s="113"/>
      <c r="AL25" s="113">
        <v>0.75</v>
      </c>
      <c r="AM25" s="113">
        <v>0.25</v>
      </c>
      <c r="AN25" s="113">
        <v>0</v>
      </c>
      <c r="AO25" s="73" t="s">
        <v>409</v>
      </c>
      <c r="AP25" s="210">
        <v>0</v>
      </c>
      <c r="AQ25" s="209">
        <v>8600</v>
      </c>
      <c r="AR25" s="209">
        <v>0</v>
      </c>
      <c r="AS25" s="209">
        <f>SUM(AP25:AR25)</f>
        <v>8600</v>
      </c>
      <c r="AT25" s="209">
        <v>500</v>
      </c>
      <c r="AU25" s="113"/>
      <c r="AV25" s="113">
        <v>0.75</v>
      </c>
      <c r="AW25" s="113">
        <v>0.25</v>
      </c>
      <c r="AX25" s="113">
        <v>0</v>
      </c>
      <c r="AY25" s="73" t="s">
        <v>405</v>
      </c>
    </row>
    <row r="26" spans="1:51" x14ac:dyDescent="0.25">
      <c r="A26" s="71" t="s">
        <v>312</v>
      </c>
      <c r="B26" s="210">
        <v>0</v>
      </c>
      <c r="C26" s="209">
        <v>184500</v>
      </c>
      <c r="D26" s="209">
        <v>0</v>
      </c>
      <c r="E26" s="209">
        <f>SUM(B26:D26)</f>
        <v>184500</v>
      </c>
      <c r="F26" s="209">
        <v>0</v>
      </c>
      <c r="G26" s="72"/>
      <c r="H26" s="113">
        <v>0.75</v>
      </c>
      <c r="I26" s="113">
        <v>0.25</v>
      </c>
      <c r="J26" s="113">
        <v>0</v>
      </c>
      <c r="K26" s="73" t="s">
        <v>411</v>
      </c>
      <c r="L26" s="210">
        <v>0</v>
      </c>
      <c r="M26" s="209">
        <f>ROUND(((C26*$B$62)+C26),-2)</f>
        <v>189100</v>
      </c>
      <c r="N26" s="209">
        <v>0</v>
      </c>
      <c r="O26" s="209">
        <f>SUM(L26:N26)</f>
        <v>189100</v>
      </c>
      <c r="P26" s="209">
        <v>0</v>
      </c>
      <c r="Q26" s="113"/>
      <c r="R26" s="113">
        <v>0.75</v>
      </c>
      <c r="S26" s="113">
        <v>0.25</v>
      </c>
      <c r="T26" s="113">
        <v>0</v>
      </c>
      <c r="U26" s="73" t="s">
        <v>411</v>
      </c>
      <c r="V26" s="210">
        <v>0</v>
      </c>
      <c r="W26" s="209">
        <f>ROUND(((M26*$B$62)+M26),-2)</f>
        <v>193800</v>
      </c>
      <c r="X26" s="209">
        <v>0</v>
      </c>
      <c r="Y26" s="209">
        <f>SUM(V26:X26)</f>
        <v>193800</v>
      </c>
      <c r="Z26" s="209">
        <v>0</v>
      </c>
      <c r="AA26" s="113"/>
      <c r="AB26" s="113">
        <v>0.75</v>
      </c>
      <c r="AC26" s="113">
        <v>0.25</v>
      </c>
      <c r="AD26" s="113">
        <v>0</v>
      </c>
      <c r="AE26" s="73" t="s">
        <v>411</v>
      </c>
      <c r="AF26" s="210">
        <v>0</v>
      </c>
      <c r="AG26" s="209">
        <f>ROUND(((W26*$B$62)+W26),-2)</f>
        <v>198600</v>
      </c>
      <c r="AH26" s="209">
        <v>0</v>
      </c>
      <c r="AI26" s="209">
        <f>SUM(AF26:AH26)</f>
        <v>198600</v>
      </c>
      <c r="AJ26" s="209">
        <v>0</v>
      </c>
      <c r="AK26" s="113"/>
      <c r="AL26" s="113">
        <v>0.75</v>
      </c>
      <c r="AM26" s="113">
        <v>0.25</v>
      </c>
      <c r="AN26" s="113">
        <v>0</v>
      </c>
      <c r="AO26" s="73" t="s">
        <v>411</v>
      </c>
      <c r="AP26" s="210">
        <v>0</v>
      </c>
      <c r="AQ26" s="209">
        <f>ROUND(((AG26*$B$62)+AG26),-2)</f>
        <v>203600</v>
      </c>
      <c r="AR26" s="209">
        <v>0</v>
      </c>
      <c r="AS26" s="209">
        <f>SUM(AP26:AR26)</f>
        <v>203600</v>
      </c>
      <c r="AT26" s="209">
        <v>0</v>
      </c>
      <c r="AU26" s="113"/>
      <c r="AV26" s="113">
        <v>0.75</v>
      </c>
      <c r="AW26" s="113">
        <v>0.25</v>
      </c>
      <c r="AX26" s="113">
        <v>0</v>
      </c>
      <c r="AY26" s="73" t="s">
        <v>411</v>
      </c>
    </row>
    <row r="27" spans="1:51" x14ac:dyDescent="0.25">
      <c r="A27" s="74" t="s">
        <v>248</v>
      </c>
      <c r="B27" s="211">
        <f>SUM(B28:B30)</f>
        <v>60000</v>
      </c>
      <c r="C27" s="212">
        <f>SUM(C28:C30)</f>
        <v>45000</v>
      </c>
      <c r="D27" s="212">
        <f>SUM(D28:D30)</f>
        <v>0</v>
      </c>
      <c r="E27" s="212">
        <f>SUM(E28:E30)</f>
        <v>105000</v>
      </c>
      <c r="F27" s="212">
        <f t="shared" ref="F27" si="30">SUM(F28:F30)</f>
        <v>12000</v>
      </c>
      <c r="G27" s="112">
        <f>E27/$E$58</f>
        <v>5.1559047385219742E-2</v>
      </c>
      <c r="H27" s="112"/>
      <c r="I27" s="119"/>
      <c r="J27" s="119"/>
      <c r="K27" s="75"/>
      <c r="L27" s="211">
        <f>SUM(L28:L30)</f>
        <v>30000</v>
      </c>
      <c r="M27" s="212">
        <f t="shared" ref="M27" si="31">SUM(M28:M30)</f>
        <v>30000</v>
      </c>
      <c r="N27" s="212">
        <f t="shared" ref="N27" si="32">SUM(N28:N30)</f>
        <v>0</v>
      </c>
      <c r="O27" s="212">
        <f t="shared" ref="O27" si="33">SUM(O28:O30)</f>
        <v>60000</v>
      </c>
      <c r="P27" s="212">
        <f t="shared" ref="P27" si="34">SUM(P28:P30)</f>
        <v>12000</v>
      </c>
      <c r="Q27" s="112">
        <f>O27/$O$58</f>
        <v>2.8743891922966371E-2</v>
      </c>
      <c r="R27" s="112"/>
      <c r="S27" s="119"/>
      <c r="T27" s="119"/>
      <c r="U27" s="75"/>
      <c r="V27" s="211">
        <f>SUM(V28:V30)</f>
        <v>30000</v>
      </c>
      <c r="W27" s="212">
        <f t="shared" ref="W27" si="35">SUM(W28:W30)</f>
        <v>70000</v>
      </c>
      <c r="X27" s="212">
        <f t="shared" ref="X27" si="36">SUM(X28:X30)</f>
        <v>0</v>
      </c>
      <c r="Y27" s="212">
        <f t="shared" ref="Y27" si="37">SUM(Y28:Y30)</f>
        <v>100000</v>
      </c>
      <c r="Z27" s="212">
        <f t="shared" ref="Z27" si="38">SUM(Z28:Z30)</f>
        <v>4000</v>
      </c>
      <c r="AA27" s="112">
        <f>Y27/$Y$58</f>
        <v>4.6737707982800525E-2</v>
      </c>
      <c r="AB27" s="112"/>
      <c r="AC27" s="119"/>
      <c r="AD27" s="119"/>
      <c r="AE27" s="75"/>
      <c r="AF27" s="211">
        <f>SUM(AF28:AF30)</f>
        <v>140000</v>
      </c>
      <c r="AG27" s="212">
        <f t="shared" ref="AG27" si="39">SUM(AG28:AG30)</f>
        <v>45000</v>
      </c>
      <c r="AH27" s="212">
        <f t="shared" ref="AH27" si="40">SUM(AH28:AH30)</f>
        <v>0</v>
      </c>
      <c r="AI27" s="212">
        <f t="shared" ref="AI27" si="41">SUM(AI28:AI30)</f>
        <v>185000</v>
      </c>
      <c r="AJ27" s="212">
        <f t="shared" ref="AJ27" si="42">SUM(AJ28:AJ30)</f>
        <v>1500</v>
      </c>
      <c r="AK27" s="112">
        <f>AI27/$AI$58</f>
        <v>8.4355478546349921E-2</v>
      </c>
      <c r="AL27" s="112"/>
      <c r="AM27" s="119"/>
      <c r="AN27" s="119"/>
      <c r="AO27" s="75"/>
      <c r="AP27" s="211">
        <f>SUM(AP28:AP30)</f>
        <v>30000</v>
      </c>
      <c r="AQ27" s="212">
        <f t="shared" ref="AQ27" si="43">SUM(AQ28:AQ30)</f>
        <v>25000</v>
      </c>
      <c r="AR27" s="212">
        <f t="shared" ref="AR27" si="44">SUM(AR28:AR30)</f>
        <v>0</v>
      </c>
      <c r="AS27" s="212">
        <f t="shared" ref="AS27" si="45">SUM(AS28:AS30)</f>
        <v>55000</v>
      </c>
      <c r="AT27" s="212">
        <f t="shared" ref="AT27" si="46">SUM(AT28:AT30)</f>
        <v>5500</v>
      </c>
      <c r="AU27" s="112">
        <f>AS27/$AS$58</f>
        <v>2.4467280572979224E-2</v>
      </c>
      <c r="AV27" s="112"/>
      <c r="AW27" s="119"/>
      <c r="AX27" s="119"/>
      <c r="AY27" s="75"/>
    </row>
    <row r="28" spans="1:51" x14ac:dyDescent="0.25">
      <c r="A28" s="76" t="s">
        <v>313</v>
      </c>
      <c r="B28" s="213">
        <v>0</v>
      </c>
      <c r="C28" s="214">
        <v>25000</v>
      </c>
      <c r="D28" s="214">
        <v>0</v>
      </c>
      <c r="E28" s="214">
        <f>SUM(B28:D28)</f>
        <v>25000</v>
      </c>
      <c r="F28" s="214">
        <v>5000</v>
      </c>
      <c r="G28" s="77"/>
      <c r="H28" s="114">
        <v>0.75</v>
      </c>
      <c r="I28" s="114">
        <v>0.25</v>
      </c>
      <c r="J28" s="114">
        <v>0</v>
      </c>
      <c r="K28" s="78" t="s">
        <v>412</v>
      </c>
      <c r="L28" s="213">
        <v>0</v>
      </c>
      <c r="M28" s="214">
        <v>10000</v>
      </c>
      <c r="N28" s="214">
        <v>0</v>
      </c>
      <c r="O28" s="214">
        <f>SUM(L28:N28)</f>
        <v>10000</v>
      </c>
      <c r="P28" s="214">
        <v>5000</v>
      </c>
      <c r="Q28" s="114"/>
      <c r="R28" s="114">
        <v>0.75</v>
      </c>
      <c r="S28" s="114">
        <v>0.25</v>
      </c>
      <c r="T28" s="114">
        <v>0</v>
      </c>
      <c r="U28" s="78" t="s">
        <v>505</v>
      </c>
      <c r="V28" s="213">
        <v>0</v>
      </c>
      <c r="W28" s="214">
        <v>50000</v>
      </c>
      <c r="X28" s="214">
        <v>0</v>
      </c>
      <c r="Y28" s="214">
        <f>SUM(V28:X28)</f>
        <v>50000</v>
      </c>
      <c r="Z28" s="214">
        <v>4000</v>
      </c>
      <c r="AA28" s="114"/>
      <c r="AB28" s="114">
        <v>0.75</v>
      </c>
      <c r="AC28" s="114">
        <v>0.25</v>
      </c>
      <c r="AD28" s="114">
        <v>0</v>
      </c>
      <c r="AE28" s="78" t="s">
        <v>506</v>
      </c>
      <c r="AF28" s="213">
        <v>0</v>
      </c>
      <c r="AG28" s="214">
        <v>5000</v>
      </c>
      <c r="AH28" s="214">
        <v>0</v>
      </c>
      <c r="AI28" s="214">
        <f>SUM(AF28:AH28)</f>
        <v>5000</v>
      </c>
      <c r="AJ28" s="214">
        <v>500</v>
      </c>
      <c r="AK28" s="114"/>
      <c r="AL28" s="114">
        <v>0.75</v>
      </c>
      <c r="AM28" s="114">
        <v>0.25</v>
      </c>
      <c r="AN28" s="114">
        <v>0</v>
      </c>
      <c r="AO28" s="78" t="s">
        <v>408</v>
      </c>
      <c r="AP28" s="213">
        <v>0</v>
      </c>
      <c r="AQ28" s="214">
        <v>15000</v>
      </c>
      <c r="AR28" s="214">
        <v>0</v>
      </c>
      <c r="AS28" s="214">
        <f>SUM(AP28:AR28)</f>
        <v>15000</v>
      </c>
      <c r="AT28" s="214">
        <v>5500</v>
      </c>
      <c r="AU28" s="114"/>
      <c r="AV28" s="114">
        <v>0.75</v>
      </c>
      <c r="AW28" s="114">
        <v>0.25</v>
      </c>
      <c r="AX28" s="114">
        <v>0</v>
      </c>
      <c r="AY28" s="78" t="s">
        <v>507</v>
      </c>
    </row>
    <row r="29" spans="1:51" x14ac:dyDescent="0.25">
      <c r="A29" s="76" t="s">
        <v>314</v>
      </c>
      <c r="B29" s="213">
        <v>30000</v>
      </c>
      <c r="C29" s="214">
        <v>10000</v>
      </c>
      <c r="D29" s="214">
        <v>0</v>
      </c>
      <c r="E29" s="214">
        <f t="shared" ref="E29:E30" si="47">SUM(B29:D29)</f>
        <v>40000</v>
      </c>
      <c r="F29" s="214">
        <v>5000</v>
      </c>
      <c r="G29" s="77"/>
      <c r="H29" s="114">
        <v>0.75</v>
      </c>
      <c r="I29" s="114">
        <v>0.25</v>
      </c>
      <c r="J29" s="114">
        <v>0</v>
      </c>
      <c r="K29" s="78" t="s">
        <v>413</v>
      </c>
      <c r="L29" s="213">
        <v>15000</v>
      </c>
      <c r="M29" s="214">
        <v>10000</v>
      </c>
      <c r="N29" s="214">
        <v>0</v>
      </c>
      <c r="O29" s="214">
        <f t="shared" ref="O29:O30" si="48">SUM(L29:N29)</f>
        <v>25000</v>
      </c>
      <c r="P29" s="214">
        <v>5000</v>
      </c>
      <c r="Q29" s="114"/>
      <c r="R29" s="114">
        <v>0.75</v>
      </c>
      <c r="S29" s="114">
        <v>0.25</v>
      </c>
      <c r="T29" s="114">
        <v>0</v>
      </c>
      <c r="U29" s="78" t="s">
        <v>414</v>
      </c>
      <c r="V29" s="213">
        <v>15000</v>
      </c>
      <c r="W29" s="214">
        <v>10000</v>
      </c>
      <c r="X29" s="214">
        <v>0</v>
      </c>
      <c r="Y29" s="214">
        <f t="shared" ref="Y29:Y30" si="49">SUM(V29:X29)</f>
        <v>25000</v>
      </c>
      <c r="Z29" s="214">
        <v>0</v>
      </c>
      <c r="AA29" s="114"/>
      <c r="AB29" s="114">
        <v>0.75</v>
      </c>
      <c r="AC29" s="114">
        <v>0.25</v>
      </c>
      <c r="AD29" s="114">
        <v>0</v>
      </c>
      <c r="AE29" s="78" t="s">
        <v>414</v>
      </c>
      <c r="AF29" s="213">
        <v>70000</v>
      </c>
      <c r="AG29" s="214">
        <v>20000</v>
      </c>
      <c r="AH29" s="214">
        <v>0</v>
      </c>
      <c r="AI29" s="214">
        <f t="shared" ref="AI29:AI30" si="50">SUM(AF29:AH29)</f>
        <v>90000</v>
      </c>
      <c r="AJ29" s="214">
        <v>500</v>
      </c>
      <c r="AK29" s="114"/>
      <c r="AL29" s="114">
        <v>0.75</v>
      </c>
      <c r="AM29" s="114">
        <v>0.25</v>
      </c>
      <c r="AN29" s="114">
        <v>0</v>
      </c>
      <c r="AO29" s="78" t="s">
        <v>415</v>
      </c>
      <c r="AP29" s="213">
        <v>15000</v>
      </c>
      <c r="AQ29" s="214">
        <v>5000</v>
      </c>
      <c r="AR29" s="214">
        <v>0</v>
      </c>
      <c r="AS29" s="214">
        <f t="shared" ref="AS29:AS30" si="51">SUM(AP29:AR29)</f>
        <v>20000</v>
      </c>
      <c r="AT29" s="214">
        <v>0</v>
      </c>
      <c r="AU29" s="114"/>
      <c r="AV29" s="114">
        <v>0.75</v>
      </c>
      <c r="AW29" s="114">
        <v>0.25</v>
      </c>
      <c r="AX29" s="114">
        <v>0</v>
      </c>
      <c r="AY29" s="78" t="s">
        <v>414</v>
      </c>
    </row>
    <row r="30" spans="1:51" x14ac:dyDescent="0.25">
      <c r="A30" s="76" t="s">
        <v>315</v>
      </c>
      <c r="B30" s="213">
        <v>30000</v>
      </c>
      <c r="C30" s="214">
        <v>10000</v>
      </c>
      <c r="D30" s="214">
        <v>0</v>
      </c>
      <c r="E30" s="214">
        <f t="shared" si="47"/>
        <v>40000</v>
      </c>
      <c r="F30" s="214">
        <v>2000</v>
      </c>
      <c r="G30" s="77"/>
      <c r="H30" s="114">
        <v>0.75</v>
      </c>
      <c r="I30" s="114">
        <v>0.25</v>
      </c>
      <c r="J30" s="114">
        <v>0</v>
      </c>
      <c r="K30" s="78" t="s">
        <v>413</v>
      </c>
      <c r="L30" s="213">
        <v>15000</v>
      </c>
      <c r="M30" s="214">
        <v>10000</v>
      </c>
      <c r="N30" s="214">
        <v>0</v>
      </c>
      <c r="O30" s="214">
        <f t="shared" si="48"/>
        <v>25000</v>
      </c>
      <c r="P30" s="214">
        <v>2000</v>
      </c>
      <c r="Q30" s="114"/>
      <c r="R30" s="114">
        <v>0.75</v>
      </c>
      <c r="S30" s="114">
        <v>0.25</v>
      </c>
      <c r="T30" s="114">
        <v>0</v>
      </c>
      <c r="U30" s="78" t="s">
        <v>414</v>
      </c>
      <c r="V30" s="213">
        <v>15000</v>
      </c>
      <c r="W30" s="214">
        <v>10000</v>
      </c>
      <c r="X30" s="214">
        <v>0</v>
      </c>
      <c r="Y30" s="214">
        <f t="shared" si="49"/>
        <v>25000</v>
      </c>
      <c r="Z30" s="214">
        <v>0</v>
      </c>
      <c r="AA30" s="114"/>
      <c r="AB30" s="114">
        <v>0.75</v>
      </c>
      <c r="AC30" s="114">
        <v>0.25</v>
      </c>
      <c r="AD30" s="114">
        <v>0</v>
      </c>
      <c r="AE30" s="78" t="s">
        <v>414</v>
      </c>
      <c r="AF30" s="213">
        <v>70000</v>
      </c>
      <c r="AG30" s="214">
        <v>20000</v>
      </c>
      <c r="AH30" s="214">
        <v>0</v>
      </c>
      <c r="AI30" s="214">
        <f t="shared" si="50"/>
        <v>90000</v>
      </c>
      <c r="AJ30" s="214">
        <v>500</v>
      </c>
      <c r="AK30" s="114"/>
      <c r="AL30" s="114">
        <v>0.75</v>
      </c>
      <c r="AM30" s="114">
        <v>0.25</v>
      </c>
      <c r="AN30" s="114">
        <v>0</v>
      </c>
      <c r="AO30" s="78" t="s">
        <v>415</v>
      </c>
      <c r="AP30" s="213">
        <v>15000</v>
      </c>
      <c r="AQ30" s="214">
        <v>5000</v>
      </c>
      <c r="AR30" s="214">
        <v>0</v>
      </c>
      <c r="AS30" s="214">
        <f t="shared" si="51"/>
        <v>20000</v>
      </c>
      <c r="AT30" s="214">
        <v>0</v>
      </c>
      <c r="AU30" s="114"/>
      <c r="AV30" s="114">
        <v>0.75</v>
      </c>
      <c r="AW30" s="114">
        <v>0.25</v>
      </c>
      <c r="AX30" s="114">
        <v>0</v>
      </c>
      <c r="AY30" s="78" t="s">
        <v>414</v>
      </c>
    </row>
    <row r="31" spans="1:51" x14ac:dyDescent="0.25">
      <c r="A31" s="74" t="s">
        <v>316</v>
      </c>
      <c r="B31" s="211">
        <f>SUM(B32:B36)</f>
        <v>50000</v>
      </c>
      <c r="C31" s="212">
        <f>SUM(C32:C36)</f>
        <v>122600</v>
      </c>
      <c r="D31" s="212">
        <f>SUM(D32:D36)</f>
        <v>0</v>
      </c>
      <c r="E31" s="212">
        <f>SUM(E32:E36)</f>
        <v>172600</v>
      </c>
      <c r="F31" s="212">
        <f>SUM(F32:F36)</f>
        <v>19000</v>
      </c>
      <c r="G31" s="112">
        <f>E31/$E$58</f>
        <v>8.4753253130370729E-2</v>
      </c>
      <c r="H31" s="112"/>
      <c r="I31" s="119"/>
      <c r="J31" s="119"/>
      <c r="K31" s="75"/>
      <c r="L31" s="211">
        <f>SUM(L32:L36)</f>
        <v>43700</v>
      </c>
      <c r="M31" s="212">
        <f t="shared" ref="M31" si="52">SUM(M32:M36)</f>
        <v>120100</v>
      </c>
      <c r="N31" s="212">
        <f t="shared" ref="N31" si="53">SUM(N32:N36)</f>
        <v>0</v>
      </c>
      <c r="O31" s="212">
        <f t="shared" ref="O31" si="54">SUM(O32:O36)</f>
        <v>163800</v>
      </c>
      <c r="P31" s="212">
        <f t="shared" ref="P31" si="55">SUM(P32:P36)</f>
        <v>22000</v>
      </c>
      <c r="Q31" s="112">
        <f>O31/$O$58</f>
        <v>7.847082494969819E-2</v>
      </c>
      <c r="R31" s="112"/>
      <c r="S31" s="119"/>
      <c r="T31" s="119"/>
      <c r="U31" s="75"/>
      <c r="V31" s="211">
        <f>SUM(V32:V36)</f>
        <v>150000</v>
      </c>
      <c r="W31" s="212">
        <f t="shared" ref="W31" si="56">SUM(W32:W36)</f>
        <v>102000</v>
      </c>
      <c r="X31" s="212">
        <f t="shared" ref="X31" si="57">SUM(X32:X36)</f>
        <v>0</v>
      </c>
      <c r="Y31" s="212">
        <f t="shared" ref="Y31" si="58">SUM(Y32:Y36)</f>
        <v>252000</v>
      </c>
      <c r="Z31" s="212">
        <f t="shared" ref="Z31" si="59">SUM(Z32:Z36)</f>
        <v>38240</v>
      </c>
      <c r="AA31" s="112">
        <f>Y31/$Y$58</f>
        <v>0.11777902411665732</v>
      </c>
      <c r="AB31" s="112"/>
      <c r="AC31" s="119"/>
      <c r="AD31" s="119"/>
      <c r="AE31" s="75"/>
      <c r="AF31" s="211">
        <f>SUM(AF32:AF36)</f>
        <v>200000</v>
      </c>
      <c r="AG31" s="212">
        <f t="shared" ref="AG31" si="60">SUM(AG32:AG36)</f>
        <v>147100</v>
      </c>
      <c r="AH31" s="212">
        <f t="shared" ref="AH31" si="61">SUM(AH32:AH36)</f>
        <v>0</v>
      </c>
      <c r="AI31" s="212">
        <f t="shared" ref="AI31" si="62">SUM(AI32:AI36)</f>
        <v>347100</v>
      </c>
      <c r="AJ31" s="212">
        <f t="shared" ref="AJ31" si="63">SUM(AJ32:AJ36)</f>
        <v>44000</v>
      </c>
      <c r="AK31" s="112">
        <f>AI31/$AI$58</f>
        <v>0.15826911677534083</v>
      </c>
      <c r="AL31" s="112"/>
      <c r="AM31" s="119"/>
      <c r="AN31" s="119"/>
      <c r="AO31" s="75"/>
      <c r="AP31" s="211">
        <f>SUM(AP32:AP36)</f>
        <v>160000</v>
      </c>
      <c r="AQ31" s="212">
        <f t="shared" ref="AQ31" si="64">SUM(AQ32:AQ36)</f>
        <v>134700</v>
      </c>
      <c r="AR31" s="212">
        <f t="shared" ref="AR31" si="65">SUM(AR32:AR36)</f>
        <v>0</v>
      </c>
      <c r="AS31" s="212">
        <f t="shared" ref="AS31" si="66">SUM(AS32:AS36)</f>
        <v>294700</v>
      </c>
      <c r="AT31" s="212">
        <f t="shared" ref="AT31" si="67">SUM(AT32:AT36)</f>
        <v>29000</v>
      </c>
      <c r="AU31" s="112">
        <f>AS31/$AS$58</f>
        <v>0.1311001379064905</v>
      </c>
      <c r="AV31" s="112"/>
      <c r="AW31" s="119"/>
      <c r="AX31" s="119"/>
      <c r="AY31" s="75"/>
    </row>
    <row r="32" spans="1:51" x14ac:dyDescent="0.25">
      <c r="A32" s="76" t="s">
        <v>250</v>
      </c>
      <c r="B32" s="213">
        <v>0</v>
      </c>
      <c r="C32" s="214">
        <v>25000</v>
      </c>
      <c r="D32" s="214">
        <v>0</v>
      </c>
      <c r="E32" s="214">
        <f t="shared" ref="E32:E36" si="68">SUM(B32:D32)</f>
        <v>25000</v>
      </c>
      <c r="F32" s="214">
        <v>2000</v>
      </c>
      <c r="G32" s="77"/>
      <c r="H32" s="114">
        <v>1</v>
      </c>
      <c r="I32" s="114">
        <v>0</v>
      </c>
      <c r="J32" s="114">
        <v>0</v>
      </c>
      <c r="K32" s="78" t="s">
        <v>420</v>
      </c>
      <c r="L32" s="213">
        <v>0</v>
      </c>
      <c r="M32" s="214">
        <v>25000</v>
      </c>
      <c r="N32" s="214">
        <v>0</v>
      </c>
      <c r="O32" s="214">
        <f t="shared" ref="O32" si="69">SUM(L32:N32)</f>
        <v>25000</v>
      </c>
      <c r="P32" s="214">
        <v>2000</v>
      </c>
      <c r="Q32" s="77"/>
      <c r="R32" s="114">
        <v>1</v>
      </c>
      <c r="S32" s="114">
        <v>0</v>
      </c>
      <c r="T32" s="114">
        <v>0</v>
      </c>
      <c r="U32" s="78" t="s">
        <v>420</v>
      </c>
      <c r="V32" s="213">
        <v>0</v>
      </c>
      <c r="W32" s="214">
        <v>25000</v>
      </c>
      <c r="X32" s="214">
        <v>0</v>
      </c>
      <c r="Y32" s="214">
        <f t="shared" ref="Y32" si="70">SUM(V32:X32)</f>
        <v>25000</v>
      </c>
      <c r="Z32" s="214">
        <v>2000</v>
      </c>
      <c r="AA32" s="77"/>
      <c r="AB32" s="114">
        <v>1</v>
      </c>
      <c r="AC32" s="114">
        <v>0</v>
      </c>
      <c r="AD32" s="114">
        <v>0</v>
      </c>
      <c r="AE32" s="78" t="s">
        <v>420</v>
      </c>
      <c r="AF32" s="213">
        <v>0</v>
      </c>
      <c r="AG32" s="214">
        <v>25000</v>
      </c>
      <c r="AH32" s="214">
        <v>0</v>
      </c>
      <c r="AI32" s="214">
        <f t="shared" ref="AI32" si="71">SUM(AF32:AH32)</f>
        <v>25000</v>
      </c>
      <c r="AJ32" s="214">
        <v>2000</v>
      </c>
      <c r="AK32" s="77"/>
      <c r="AL32" s="114">
        <v>1</v>
      </c>
      <c r="AM32" s="114">
        <v>0</v>
      </c>
      <c r="AN32" s="114">
        <v>0</v>
      </c>
      <c r="AO32" s="78" t="s">
        <v>420</v>
      </c>
      <c r="AP32" s="213">
        <v>0</v>
      </c>
      <c r="AQ32" s="214">
        <v>25000</v>
      </c>
      <c r="AR32" s="214">
        <v>0</v>
      </c>
      <c r="AS32" s="214">
        <f t="shared" ref="AS32" si="72">SUM(AP32:AR32)</f>
        <v>25000</v>
      </c>
      <c r="AT32" s="214">
        <v>2000</v>
      </c>
      <c r="AU32" s="77"/>
      <c r="AV32" s="114">
        <v>1</v>
      </c>
      <c r="AW32" s="114">
        <v>0</v>
      </c>
      <c r="AX32" s="114">
        <v>0</v>
      </c>
      <c r="AY32" s="78" t="s">
        <v>420</v>
      </c>
    </row>
    <row r="33" spans="1:51" x14ac:dyDescent="0.25">
      <c r="A33" s="76" t="s">
        <v>318</v>
      </c>
      <c r="B33" s="213">
        <v>0</v>
      </c>
      <c r="C33" s="214">
        <v>50000</v>
      </c>
      <c r="D33" s="214">
        <v>0</v>
      </c>
      <c r="E33" s="214">
        <f t="shared" si="68"/>
        <v>50000</v>
      </c>
      <c r="F33" s="214">
        <v>0</v>
      </c>
      <c r="G33" s="77"/>
      <c r="H33" s="114">
        <v>1</v>
      </c>
      <c r="I33" s="114">
        <v>0</v>
      </c>
      <c r="J33" s="114">
        <v>0</v>
      </c>
      <c r="K33" s="78" t="s">
        <v>508</v>
      </c>
      <c r="L33" s="213">
        <v>0</v>
      </c>
      <c r="M33" s="214">
        <v>40000</v>
      </c>
      <c r="N33" s="214">
        <v>0</v>
      </c>
      <c r="O33" s="214">
        <f t="shared" ref="O33:O36" si="73">SUM(L33:N33)</f>
        <v>40000</v>
      </c>
      <c r="P33" s="214">
        <v>0</v>
      </c>
      <c r="Q33" s="114"/>
      <c r="R33" s="114">
        <v>1</v>
      </c>
      <c r="S33" s="114">
        <v>0</v>
      </c>
      <c r="T33" s="114">
        <v>0</v>
      </c>
      <c r="U33" s="78" t="s">
        <v>509</v>
      </c>
      <c r="V33" s="213">
        <v>0</v>
      </c>
      <c r="W33" s="214">
        <v>27000</v>
      </c>
      <c r="X33" s="214">
        <v>0</v>
      </c>
      <c r="Y33" s="214">
        <f t="shared" ref="Y33:Y36" si="74">SUM(V33:X33)</f>
        <v>27000</v>
      </c>
      <c r="Z33" s="214">
        <v>0</v>
      </c>
      <c r="AA33" s="114"/>
      <c r="AB33" s="114">
        <v>1</v>
      </c>
      <c r="AC33" s="114">
        <v>0</v>
      </c>
      <c r="AD33" s="114">
        <v>0</v>
      </c>
      <c r="AE33" s="78" t="s">
        <v>510</v>
      </c>
      <c r="AF33" s="213">
        <v>0</v>
      </c>
      <c r="AG33" s="214">
        <v>17100</v>
      </c>
      <c r="AH33" s="214">
        <v>0</v>
      </c>
      <c r="AI33" s="214">
        <f t="shared" ref="AI33:AI36" si="75">SUM(AF33:AH33)</f>
        <v>17100</v>
      </c>
      <c r="AJ33" s="214">
        <v>0</v>
      </c>
      <c r="AK33" s="114"/>
      <c r="AL33" s="114">
        <v>1</v>
      </c>
      <c r="AM33" s="114">
        <v>0</v>
      </c>
      <c r="AN33" s="114">
        <v>0</v>
      </c>
      <c r="AO33" s="78" t="s">
        <v>423</v>
      </c>
      <c r="AP33" s="213">
        <v>0</v>
      </c>
      <c r="AQ33" s="214">
        <v>35000</v>
      </c>
      <c r="AR33" s="214">
        <v>0</v>
      </c>
      <c r="AS33" s="214">
        <f t="shared" ref="AS33:AS34" si="76">SUM(AP33:AR33)</f>
        <v>35000</v>
      </c>
      <c r="AT33" s="214">
        <v>0</v>
      </c>
      <c r="AU33" s="114"/>
      <c r="AV33" s="114">
        <v>1</v>
      </c>
      <c r="AW33" s="114">
        <v>0</v>
      </c>
      <c r="AX33" s="114">
        <v>0</v>
      </c>
      <c r="AY33" s="78" t="s">
        <v>511</v>
      </c>
    </row>
    <row r="34" spans="1:51" x14ac:dyDescent="0.25">
      <c r="A34" s="76" t="s">
        <v>319</v>
      </c>
      <c r="B34" s="213">
        <v>0</v>
      </c>
      <c r="C34" s="214">
        <v>30000</v>
      </c>
      <c r="D34" s="214">
        <v>0</v>
      </c>
      <c r="E34" s="214">
        <f t="shared" si="68"/>
        <v>30000</v>
      </c>
      <c r="F34" s="214">
        <v>2000</v>
      </c>
      <c r="G34" s="114"/>
      <c r="H34" s="114">
        <v>1</v>
      </c>
      <c r="I34" s="114">
        <v>0</v>
      </c>
      <c r="J34" s="114">
        <v>0</v>
      </c>
      <c r="K34" s="78" t="s">
        <v>421</v>
      </c>
      <c r="L34" s="213">
        <v>0</v>
      </c>
      <c r="M34" s="214">
        <v>30000</v>
      </c>
      <c r="N34" s="214">
        <v>0</v>
      </c>
      <c r="O34" s="214">
        <f t="shared" si="73"/>
        <v>30000</v>
      </c>
      <c r="P34" s="214">
        <v>2000</v>
      </c>
      <c r="Q34" s="114"/>
      <c r="R34" s="114">
        <v>1</v>
      </c>
      <c r="S34" s="114">
        <v>0</v>
      </c>
      <c r="T34" s="114">
        <v>0</v>
      </c>
      <c r="U34" s="78" t="s">
        <v>421</v>
      </c>
      <c r="V34" s="213">
        <v>0</v>
      </c>
      <c r="W34" s="214">
        <v>30000</v>
      </c>
      <c r="X34" s="214">
        <v>0</v>
      </c>
      <c r="Y34" s="214">
        <f t="shared" si="74"/>
        <v>30000</v>
      </c>
      <c r="Z34" s="214">
        <v>2000</v>
      </c>
      <c r="AA34" s="114"/>
      <c r="AB34" s="114">
        <v>1</v>
      </c>
      <c r="AC34" s="114">
        <v>0</v>
      </c>
      <c r="AD34" s="114">
        <v>0</v>
      </c>
      <c r="AE34" s="78" t="s">
        <v>421</v>
      </c>
      <c r="AF34" s="213">
        <v>0</v>
      </c>
      <c r="AG34" s="214">
        <v>30000</v>
      </c>
      <c r="AH34" s="214">
        <v>0</v>
      </c>
      <c r="AI34" s="214">
        <f t="shared" si="75"/>
        <v>30000</v>
      </c>
      <c r="AJ34" s="214">
        <v>2000</v>
      </c>
      <c r="AK34" s="114"/>
      <c r="AL34" s="114">
        <v>1</v>
      </c>
      <c r="AM34" s="114">
        <v>0</v>
      </c>
      <c r="AN34" s="114">
        <v>0</v>
      </c>
      <c r="AO34" s="78" t="s">
        <v>421</v>
      </c>
      <c r="AP34" s="213">
        <v>0</v>
      </c>
      <c r="AQ34" s="214">
        <v>30000</v>
      </c>
      <c r="AR34" s="214">
        <v>0</v>
      </c>
      <c r="AS34" s="214">
        <f t="shared" si="76"/>
        <v>30000</v>
      </c>
      <c r="AT34" s="214">
        <v>2000</v>
      </c>
      <c r="AU34" s="114"/>
      <c r="AV34" s="114">
        <v>1</v>
      </c>
      <c r="AW34" s="114">
        <v>0</v>
      </c>
      <c r="AX34" s="114">
        <v>0</v>
      </c>
      <c r="AY34" s="78" t="s">
        <v>421</v>
      </c>
    </row>
    <row r="35" spans="1:51" x14ac:dyDescent="0.25">
      <c r="A35" s="76" t="s">
        <v>320</v>
      </c>
      <c r="B35" s="213">
        <v>0</v>
      </c>
      <c r="C35" s="214">
        <v>5000</v>
      </c>
      <c r="D35" s="214">
        <v>0</v>
      </c>
      <c r="E35" s="214">
        <f>SUM(B35:D35)</f>
        <v>5000</v>
      </c>
      <c r="F35" s="214">
        <v>5000</v>
      </c>
      <c r="G35" s="77"/>
      <c r="H35" s="114">
        <v>1</v>
      </c>
      <c r="I35" s="114">
        <v>0</v>
      </c>
      <c r="J35" s="114">
        <v>0</v>
      </c>
      <c r="K35" s="78" t="s">
        <v>416</v>
      </c>
      <c r="L35" s="213">
        <v>0</v>
      </c>
      <c r="M35" s="214">
        <v>20000</v>
      </c>
      <c r="N35" s="214">
        <v>0</v>
      </c>
      <c r="O35" s="214">
        <f t="shared" si="73"/>
        <v>20000</v>
      </c>
      <c r="P35" s="214">
        <v>5000</v>
      </c>
      <c r="Q35" s="114"/>
      <c r="R35" s="114">
        <v>1</v>
      </c>
      <c r="S35" s="114">
        <v>0</v>
      </c>
      <c r="T35" s="114">
        <v>0</v>
      </c>
      <c r="U35" s="78" t="s">
        <v>419</v>
      </c>
      <c r="V35" s="213">
        <v>0</v>
      </c>
      <c r="W35" s="214">
        <v>5000</v>
      </c>
      <c r="X35" s="214">
        <v>0</v>
      </c>
      <c r="Y35" s="214">
        <f t="shared" si="74"/>
        <v>5000</v>
      </c>
      <c r="Z35" s="214">
        <v>5000</v>
      </c>
      <c r="AA35" s="114"/>
      <c r="AB35" s="114">
        <v>1</v>
      </c>
      <c r="AC35" s="114">
        <v>0</v>
      </c>
      <c r="AD35" s="114">
        <v>0</v>
      </c>
      <c r="AE35" s="78" t="s">
        <v>418</v>
      </c>
      <c r="AF35" s="213">
        <v>0</v>
      </c>
      <c r="AG35" s="214">
        <v>25000</v>
      </c>
      <c r="AH35" s="214">
        <v>0</v>
      </c>
      <c r="AI35" s="214">
        <f t="shared" si="75"/>
        <v>25000</v>
      </c>
      <c r="AJ35" s="214">
        <v>5000</v>
      </c>
      <c r="AK35" s="114"/>
      <c r="AL35" s="114">
        <v>1</v>
      </c>
      <c r="AM35" s="114">
        <v>0</v>
      </c>
      <c r="AN35" s="114">
        <v>0</v>
      </c>
      <c r="AO35" s="78" t="s">
        <v>517</v>
      </c>
      <c r="AP35" s="213">
        <v>70000</v>
      </c>
      <c r="AQ35" s="214">
        <v>35000</v>
      </c>
      <c r="AR35" s="214">
        <v>0</v>
      </c>
      <c r="AS35" s="214">
        <f t="shared" ref="AS35:AS36" si="77">SUM(AP35:AR35)</f>
        <v>105000</v>
      </c>
      <c r="AT35" s="214">
        <v>5000</v>
      </c>
      <c r="AU35" s="114"/>
      <c r="AV35" s="114">
        <v>1</v>
      </c>
      <c r="AW35" s="114">
        <v>0</v>
      </c>
      <c r="AX35" s="114">
        <v>0</v>
      </c>
      <c r="AY35" s="78" t="s">
        <v>417</v>
      </c>
    </row>
    <row r="36" spans="1:51" x14ac:dyDescent="0.25">
      <c r="A36" s="76" t="s">
        <v>321</v>
      </c>
      <c r="B36" s="213">
        <v>50000</v>
      </c>
      <c r="C36" s="214">
        <v>12600</v>
      </c>
      <c r="D36" s="214">
        <v>0</v>
      </c>
      <c r="E36" s="214">
        <f t="shared" si="68"/>
        <v>62600</v>
      </c>
      <c r="F36" s="214">
        <v>10000</v>
      </c>
      <c r="G36" s="77"/>
      <c r="H36" s="114">
        <v>0.75</v>
      </c>
      <c r="I36" s="114">
        <v>0.25</v>
      </c>
      <c r="J36" s="114">
        <v>0</v>
      </c>
      <c r="K36" s="78" t="s">
        <v>422</v>
      </c>
      <c r="L36" s="213">
        <v>43700</v>
      </c>
      <c r="M36" s="214">
        <v>5100</v>
      </c>
      <c r="N36" s="214">
        <v>0</v>
      </c>
      <c r="O36" s="214">
        <f t="shared" si="73"/>
        <v>48800</v>
      </c>
      <c r="P36" s="214">
        <v>13000</v>
      </c>
      <c r="Q36" s="114"/>
      <c r="R36" s="114">
        <v>0.75</v>
      </c>
      <c r="S36" s="114">
        <v>0.25</v>
      </c>
      <c r="T36" s="114">
        <v>0</v>
      </c>
      <c r="U36" s="78" t="s">
        <v>525</v>
      </c>
      <c r="V36" s="213">
        <v>150000</v>
      </c>
      <c r="W36" s="214">
        <v>15000</v>
      </c>
      <c r="X36" s="214">
        <v>0</v>
      </c>
      <c r="Y36" s="214">
        <f t="shared" si="74"/>
        <v>165000</v>
      </c>
      <c r="Z36" s="214">
        <v>29240</v>
      </c>
      <c r="AA36" s="114"/>
      <c r="AB36" s="114">
        <v>0.75</v>
      </c>
      <c r="AC36" s="114">
        <v>0.25</v>
      </c>
      <c r="AD36" s="114">
        <v>0</v>
      </c>
      <c r="AE36" s="78" t="s">
        <v>512</v>
      </c>
      <c r="AF36" s="213">
        <v>200000</v>
      </c>
      <c r="AG36" s="214">
        <v>50000</v>
      </c>
      <c r="AH36" s="214">
        <v>0</v>
      </c>
      <c r="AI36" s="214">
        <f t="shared" si="75"/>
        <v>250000</v>
      </c>
      <c r="AJ36" s="214">
        <v>35000</v>
      </c>
      <c r="AK36" s="114"/>
      <c r="AL36" s="114">
        <v>0.75</v>
      </c>
      <c r="AM36" s="114">
        <v>0.25</v>
      </c>
      <c r="AN36" s="114">
        <v>0</v>
      </c>
      <c r="AO36" s="78" t="s">
        <v>512</v>
      </c>
      <c r="AP36" s="213">
        <v>90000</v>
      </c>
      <c r="AQ36" s="214">
        <v>9700</v>
      </c>
      <c r="AR36" s="214">
        <v>0</v>
      </c>
      <c r="AS36" s="214">
        <f t="shared" si="77"/>
        <v>99700</v>
      </c>
      <c r="AT36" s="214">
        <v>20000</v>
      </c>
      <c r="AU36" s="114"/>
      <c r="AV36" s="114">
        <v>0.75</v>
      </c>
      <c r="AW36" s="114">
        <v>0.25</v>
      </c>
      <c r="AX36" s="114">
        <v>0</v>
      </c>
      <c r="AY36" s="78" t="s">
        <v>512</v>
      </c>
    </row>
    <row r="37" spans="1:51" x14ac:dyDescent="0.25">
      <c r="A37" s="79" t="s">
        <v>251</v>
      </c>
      <c r="B37" s="215">
        <f>SUM(B38:B40)</f>
        <v>55500</v>
      </c>
      <c r="C37" s="216">
        <f>SUM(C38:C40)</f>
        <v>55000</v>
      </c>
      <c r="D37" s="216">
        <f>SUM(D38:D40)</f>
        <v>0</v>
      </c>
      <c r="E37" s="216">
        <f>SUM(E38:E40)</f>
        <v>110500</v>
      </c>
      <c r="F37" s="216">
        <f>SUM(F38:F40)</f>
        <v>800</v>
      </c>
      <c r="G37" s="111">
        <f>E37/$E$58</f>
        <v>5.4259759391112203E-2</v>
      </c>
      <c r="H37" s="111"/>
      <c r="I37" s="120"/>
      <c r="J37" s="120"/>
      <c r="K37" s="80"/>
      <c r="L37" s="215">
        <f>SUM(L38:L40)</f>
        <v>51300</v>
      </c>
      <c r="M37" s="216">
        <f t="shared" ref="M37" si="78">SUM(M38:M40)</f>
        <v>63000</v>
      </c>
      <c r="N37" s="216">
        <f t="shared" ref="N37" si="79">SUM(N38:N40)</f>
        <v>0</v>
      </c>
      <c r="O37" s="216">
        <f t="shared" ref="O37" si="80">SUM(O38:O40)</f>
        <v>114300</v>
      </c>
      <c r="P37" s="216">
        <f t="shared" ref="P37" si="81">SUM(P38:P40)</f>
        <v>1640</v>
      </c>
      <c r="Q37" s="111">
        <f>O37/$O$58</f>
        <v>5.4757114113250932E-2</v>
      </c>
      <c r="R37" s="111"/>
      <c r="S37" s="120"/>
      <c r="T37" s="120"/>
      <c r="U37" s="80"/>
      <c r="V37" s="215">
        <f>SUM(V38:V40)</f>
        <v>75000</v>
      </c>
      <c r="W37" s="216">
        <f t="shared" ref="W37" si="82">SUM(W38:W40)</f>
        <v>8400</v>
      </c>
      <c r="X37" s="216">
        <f t="shared" ref="X37" si="83">SUM(X38:X40)</f>
        <v>0</v>
      </c>
      <c r="Y37" s="216">
        <f t="shared" ref="Y37" si="84">SUM(Y38:Y40)</f>
        <v>83400</v>
      </c>
      <c r="Z37" s="216">
        <f t="shared" ref="Z37" si="85">SUM(Z38:Z40)</f>
        <v>0</v>
      </c>
      <c r="AA37" s="111">
        <f>Y37/$Y$58</f>
        <v>3.8979248457655637E-2</v>
      </c>
      <c r="AB37" s="111"/>
      <c r="AC37" s="120"/>
      <c r="AD37" s="120"/>
      <c r="AE37" s="80"/>
      <c r="AF37" s="215">
        <f>SUM(AF38:AF40)</f>
        <v>80900</v>
      </c>
      <c r="AG37" s="216">
        <f t="shared" ref="AG37" si="86">SUM(AG38:AG40)</f>
        <v>22800</v>
      </c>
      <c r="AH37" s="216">
        <f t="shared" ref="AH37" si="87">SUM(AH38:AH40)</f>
        <v>0</v>
      </c>
      <c r="AI37" s="216">
        <f t="shared" ref="AI37" si="88">SUM(AI38:AI40)</f>
        <v>103700</v>
      </c>
      <c r="AJ37" s="216">
        <f t="shared" ref="AJ37" si="89">SUM(AJ38:AJ40)</f>
        <v>860</v>
      </c>
      <c r="AK37" s="111">
        <f>AI37/$AI$58</f>
        <v>4.7284665541926951E-2</v>
      </c>
      <c r="AL37" s="111"/>
      <c r="AM37" s="120"/>
      <c r="AN37" s="120"/>
      <c r="AO37" s="80"/>
      <c r="AP37" s="215">
        <f>SUM(AP38:AP40)</f>
        <v>66100</v>
      </c>
      <c r="AQ37" s="216">
        <f t="shared" ref="AQ37" si="90">SUM(AQ38:AQ40)</f>
        <v>23200</v>
      </c>
      <c r="AR37" s="216">
        <f t="shared" ref="AR37" si="91">SUM(AR38:AR40)</f>
        <v>0</v>
      </c>
      <c r="AS37" s="216">
        <f t="shared" ref="AS37" si="92">SUM(AS38:AS40)</f>
        <v>89300</v>
      </c>
      <c r="AT37" s="216">
        <f t="shared" ref="AT37" si="93">SUM(AT38:AT40)</f>
        <v>880</v>
      </c>
      <c r="AU37" s="111">
        <f>AS37/$AS$58</f>
        <v>3.9725966457582633E-2</v>
      </c>
      <c r="AV37" s="111"/>
      <c r="AW37" s="120"/>
      <c r="AX37" s="120"/>
      <c r="AY37" s="80"/>
    </row>
    <row r="38" spans="1:51" x14ac:dyDescent="0.25">
      <c r="A38" s="81" t="s">
        <v>322</v>
      </c>
      <c r="B38" s="217">
        <f>'Measure Timing and Costs'!B18*'Measure Timing and Costs'!B5</f>
        <v>5500</v>
      </c>
      <c r="C38" s="218">
        <f>'Measure Timing and Costs'!B18*'Measure Timing and Costs'!B7</f>
        <v>40000</v>
      </c>
      <c r="D38" s="218">
        <v>0</v>
      </c>
      <c r="E38" s="218">
        <f>SUM(B38:D38)</f>
        <v>45500</v>
      </c>
      <c r="F38" s="218">
        <f>'Measure Timing and Costs'!B18*'Measure Timing and Costs'!B8</f>
        <v>800</v>
      </c>
      <c r="G38" s="82"/>
      <c r="H38" s="115">
        <v>0</v>
      </c>
      <c r="I38" s="115">
        <v>0</v>
      </c>
      <c r="J38" s="115">
        <v>1</v>
      </c>
      <c r="K38" s="83" t="str">
        <f>"Assumes update of "&amp; 'Measure Timing and Costs'!B18 &amp;" measures"</f>
        <v>Assumes update of 1 measures</v>
      </c>
      <c r="L38" s="217">
        <f>'Measure Timing and Costs'!C18*'Measure Timing and Costs'!C5</f>
        <v>5650</v>
      </c>
      <c r="M38" s="218">
        <f>'Measure Timing and Costs'!C18*'Measure Timing and Costs'!C7</f>
        <v>41000</v>
      </c>
      <c r="N38" s="218">
        <v>0</v>
      </c>
      <c r="O38" s="218">
        <f>SUM(L38:N38)</f>
        <v>46650</v>
      </c>
      <c r="P38" s="218">
        <f>'Measure Timing and Costs'!C18*'Measure Timing and Costs'!C8</f>
        <v>820</v>
      </c>
      <c r="Q38" s="115"/>
      <c r="R38" s="115">
        <v>0</v>
      </c>
      <c r="S38" s="115">
        <v>0</v>
      </c>
      <c r="T38" s="115">
        <v>1</v>
      </c>
      <c r="U38" s="83" t="str">
        <f>"Assumes update of "&amp; 'Measure Timing and Costs'!C18 &amp;" measures"</f>
        <v>Assumes update of 1 measures</v>
      </c>
      <c r="V38" s="217">
        <f>'Measure Timing and Costs'!D18*'Measure Timing and Costs'!D5</f>
        <v>0</v>
      </c>
      <c r="W38" s="218">
        <f>'Measure Timing and Costs'!D18*'Measure Timing and Costs'!D7</f>
        <v>0</v>
      </c>
      <c r="X38" s="218">
        <v>0</v>
      </c>
      <c r="Y38" s="218">
        <f>SUM(V38:X38)</f>
        <v>0</v>
      </c>
      <c r="Z38" s="230">
        <f>'Measure Timing and Costs'!D18*'Measure Timing and Costs'!D8</f>
        <v>0</v>
      </c>
      <c r="AA38" s="115"/>
      <c r="AB38" s="115">
        <v>0</v>
      </c>
      <c r="AC38" s="115">
        <v>0</v>
      </c>
      <c r="AD38" s="115">
        <v>1</v>
      </c>
      <c r="AE38" s="83" t="str">
        <f>"Assumes update of "&amp; 'Measure Timing and Costs'!D18 &amp;" measures"</f>
        <v>Assumes update of 0 measures</v>
      </c>
      <c r="AF38" s="217">
        <f>'Measure Timing and Costs'!E18*'Measure Timing and Costs'!E5</f>
        <v>0</v>
      </c>
      <c r="AG38" s="218">
        <f>'Measure Timing and Costs'!E18*'Measure Timing and Costs'!E7</f>
        <v>0</v>
      </c>
      <c r="AH38" s="218">
        <v>0</v>
      </c>
      <c r="AI38" s="218">
        <f>SUM(AF38:AH38)</f>
        <v>0</v>
      </c>
      <c r="AJ38" s="218">
        <f>'Measure Timing and Costs'!E18*'Measure Timing and Costs'!E8</f>
        <v>0</v>
      </c>
      <c r="AK38" s="115"/>
      <c r="AL38" s="115">
        <v>0</v>
      </c>
      <c r="AM38" s="115">
        <v>0</v>
      </c>
      <c r="AN38" s="115">
        <v>1</v>
      </c>
      <c r="AO38" s="83" t="str">
        <f>"Assumes update of "&amp; 'Measure Timing and Costs'!E18 &amp;" measures"</f>
        <v>Assumes update of 0 measures</v>
      </c>
      <c r="AP38" s="217">
        <f>'Measure Timing and Costs'!F18*'Measure Timing and Costs'!F5</f>
        <v>0</v>
      </c>
      <c r="AQ38" s="218">
        <f>'Measure Timing and Costs'!F18*'Measure Timing and Costs'!F7</f>
        <v>0</v>
      </c>
      <c r="AR38" s="218">
        <v>0</v>
      </c>
      <c r="AS38" s="218">
        <f>SUM(AP38:AR38)</f>
        <v>0</v>
      </c>
      <c r="AT38" s="218">
        <f>'Measure Timing and Costs'!F18*'Measure Timing and Costs'!F8</f>
        <v>0</v>
      </c>
      <c r="AU38" s="115"/>
      <c r="AV38" s="115">
        <v>0</v>
      </c>
      <c r="AW38" s="115">
        <v>0</v>
      </c>
      <c r="AX38" s="115">
        <v>1</v>
      </c>
      <c r="AY38" s="83" t="str">
        <f>"Assumes update of "&amp; 'Measure Timing and Costs'!F18 &amp;" measures"</f>
        <v>Assumes update of 0 measures</v>
      </c>
    </row>
    <row r="39" spans="1:51" x14ac:dyDescent="0.25">
      <c r="A39" s="81" t="s">
        <v>381</v>
      </c>
      <c r="B39" s="217">
        <f>'Measure Timing and Costs'!B29*'Measure Timing and Costs'!B5</f>
        <v>0</v>
      </c>
      <c r="C39" s="218">
        <f>'Measure Timing and Costs'!B29*'Measure Timing and Costs'!B6</f>
        <v>0</v>
      </c>
      <c r="D39" s="218">
        <v>0</v>
      </c>
      <c r="E39" s="218">
        <f>SUM(B39:D39)</f>
        <v>0</v>
      </c>
      <c r="F39" s="218">
        <f>'Measure Timing and Costs'!B29*'Measure Timing and Costs'!B8</f>
        <v>0</v>
      </c>
      <c r="G39" s="82"/>
      <c r="H39" s="115">
        <v>0</v>
      </c>
      <c r="I39" s="115">
        <v>0</v>
      </c>
      <c r="J39" s="115">
        <v>1</v>
      </c>
      <c r="K39" s="83" t="str">
        <f>"Assumes update of "&amp; 'Measure Timing and Costs'!B29 &amp;" measures"</f>
        <v>Assumes update of 0 measures</v>
      </c>
      <c r="L39" s="217">
        <f>'Measure Timing and Costs'!C29*'Measure Timing and Costs'!C5</f>
        <v>5650</v>
      </c>
      <c r="M39" s="218">
        <f>'Measure Timing and Costs'!C29*'Measure Timing and Costs'!C6</f>
        <v>16900</v>
      </c>
      <c r="N39" s="218">
        <v>0</v>
      </c>
      <c r="O39" s="218">
        <f>SUM(L39:N39)</f>
        <v>22550</v>
      </c>
      <c r="P39" s="218">
        <f>'Measure Timing and Costs'!C29*'Measure Timing and Costs'!C8</f>
        <v>820</v>
      </c>
      <c r="Q39" s="115"/>
      <c r="R39" s="115">
        <v>0</v>
      </c>
      <c r="S39" s="115">
        <v>0</v>
      </c>
      <c r="T39" s="115">
        <v>1</v>
      </c>
      <c r="U39" s="83" t="str">
        <f>"Assumes update of "&amp; 'Measure Timing and Costs'!C29 &amp;" measures"</f>
        <v>Assumes update of 1 measures</v>
      </c>
      <c r="V39" s="217">
        <f>'Measure Timing and Costs'!D29*'Measure Timing and Costs'!D5</f>
        <v>0</v>
      </c>
      <c r="W39" s="218">
        <f>'Measure Timing and Costs'!D29*'Measure Timing and Costs'!D6</f>
        <v>0</v>
      </c>
      <c r="X39" s="218">
        <v>0</v>
      </c>
      <c r="Y39" s="218">
        <f>SUM(V39:X39)</f>
        <v>0</v>
      </c>
      <c r="Z39" s="230">
        <f>'Measure Timing and Costs'!D29*'Measure Timing and Costs'!D8</f>
        <v>0</v>
      </c>
      <c r="AA39" s="115"/>
      <c r="AB39" s="115">
        <v>0</v>
      </c>
      <c r="AC39" s="115">
        <v>0</v>
      </c>
      <c r="AD39" s="115">
        <v>1</v>
      </c>
      <c r="AE39" s="83" t="str">
        <f>"Assumes update of "&amp; 'Measure Timing and Costs'!D29 &amp;" measures"</f>
        <v>Assumes update of 0 measures</v>
      </c>
      <c r="AF39" s="217">
        <f>'Measure Timing and Costs'!E29*'Measure Timing and Costs'!E5</f>
        <v>5900</v>
      </c>
      <c r="AG39" s="218">
        <f>'Measure Timing and Costs'!E29*'Measure Timing and Costs'!E6</f>
        <v>17800</v>
      </c>
      <c r="AH39" s="218">
        <v>0</v>
      </c>
      <c r="AI39" s="218">
        <f>SUM(AF39:AH39)</f>
        <v>23700</v>
      </c>
      <c r="AJ39" s="218">
        <f>'Measure Timing and Costs'!E29*'Measure Timing and Costs'!E8</f>
        <v>860</v>
      </c>
      <c r="AK39" s="115"/>
      <c r="AL39" s="115">
        <v>0</v>
      </c>
      <c r="AM39" s="115">
        <v>0</v>
      </c>
      <c r="AN39" s="115">
        <v>1</v>
      </c>
      <c r="AO39" s="83" t="str">
        <f>"Assumes update of "&amp; 'Measure Timing and Costs'!E29 &amp;" measures"</f>
        <v>Assumes update of 1 measures</v>
      </c>
      <c r="AP39" s="217">
        <f>'Measure Timing and Costs'!F29*'Measure Timing and Costs'!F5</f>
        <v>6100</v>
      </c>
      <c r="AQ39" s="218">
        <f>'Measure Timing and Costs'!F29*'Measure Timing and Costs'!F6</f>
        <v>18200</v>
      </c>
      <c r="AR39" s="218">
        <v>0</v>
      </c>
      <c r="AS39" s="218">
        <f>SUM(AP39:AR39)</f>
        <v>24300</v>
      </c>
      <c r="AT39" s="218">
        <f>'Measure Timing and Costs'!F29*'Measure Timing and Costs'!F8</f>
        <v>880</v>
      </c>
      <c r="AU39" s="115"/>
      <c r="AV39" s="115">
        <v>0</v>
      </c>
      <c r="AW39" s="115">
        <v>0</v>
      </c>
      <c r="AX39" s="115">
        <v>1</v>
      </c>
      <c r="AY39" s="83" t="str">
        <f>"Assumes update of "&amp; 'Measure Timing and Costs'!F29 &amp;" measures"</f>
        <v>Assumes update of 1 measures</v>
      </c>
    </row>
    <row r="40" spans="1:51" x14ac:dyDescent="0.25">
      <c r="A40" s="81" t="s">
        <v>497</v>
      </c>
      <c r="B40" s="217">
        <v>50000</v>
      </c>
      <c r="C40" s="218">
        <v>15000</v>
      </c>
      <c r="D40" s="218">
        <v>0</v>
      </c>
      <c r="E40" s="218">
        <f>SUM(B40:D40)</f>
        <v>65000</v>
      </c>
      <c r="F40" s="218">
        <v>0</v>
      </c>
      <c r="G40" s="82"/>
      <c r="H40" s="115">
        <v>0</v>
      </c>
      <c r="I40" s="115">
        <v>0</v>
      </c>
      <c r="J40" s="115">
        <v>1</v>
      </c>
      <c r="K40" s="83" t="s">
        <v>513</v>
      </c>
      <c r="L40" s="217">
        <v>40000</v>
      </c>
      <c r="M40" s="218">
        <v>5100</v>
      </c>
      <c r="N40" s="218">
        <v>0</v>
      </c>
      <c r="O40" s="218">
        <f>SUM(L40:N40)</f>
        <v>45100</v>
      </c>
      <c r="P40" s="218">
        <v>0</v>
      </c>
      <c r="Q40" s="82"/>
      <c r="R40" s="115">
        <v>0</v>
      </c>
      <c r="S40" s="115">
        <v>0</v>
      </c>
      <c r="T40" s="115">
        <v>1</v>
      </c>
      <c r="U40" s="83" t="s">
        <v>513</v>
      </c>
      <c r="V40" s="217">
        <v>75000</v>
      </c>
      <c r="W40" s="218">
        <v>8400</v>
      </c>
      <c r="X40" s="218">
        <v>0</v>
      </c>
      <c r="Y40" s="218">
        <f>SUM(V40:X40)</f>
        <v>83400</v>
      </c>
      <c r="Z40" s="230">
        <v>0</v>
      </c>
      <c r="AA40" s="115"/>
      <c r="AB40" s="115">
        <v>0</v>
      </c>
      <c r="AC40" s="115">
        <v>0</v>
      </c>
      <c r="AD40" s="115">
        <v>1</v>
      </c>
      <c r="AE40" s="83" t="s">
        <v>514</v>
      </c>
      <c r="AF40" s="217">
        <v>75000</v>
      </c>
      <c r="AG40" s="218">
        <v>5000</v>
      </c>
      <c r="AH40" s="218">
        <v>0</v>
      </c>
      <c r="AI40" s="218">
        <f>SUM(AF40:AH40)</f>
        <v>80000</v>
      </c>
      <c r="AJ40" s="218"/>
      <c r="AK40" s="115"/>
      <c r="AL40" s="115">
        <v>0</v>
      </c>
      <c r="AM40" s="115">
        <v>0</v>
      </c>
      <c r="AN40" s="115">
        <v>1</v>
      </c>
      <c r="AO40" s="83" t="s">
        <v>515</v>
      </c>
      <c r="AP40" s="217">
        <v>60000</v>
      </c>
      <c r="AQ40" s="218">
        <v>5000</v>
      </c>
      <c r="AR40" s="218">
        <v>0</v>
      </c>
      <c r="AS40" s="218">
        <f>SUM(AP40:AR40)</f>
        <v>65000</v>
      </c>
      <c r="AT40" s="218">
        <v>0</v>
      </c>
      <c r="AU40" s="115"/>
      <c r="AV40" s="115">
        <v>0</v>
      </c>
      <c r="AW40" s="115">
        <v>0</v>
      </c>
      <c r="AX40" s="115">
        <v>1</v>
      </c>
      <c r="AY40" s="83" t="s">
        <v>516</v>
      </c>
    </row>
    <row r="41" spans="1:51" hidden="1" x14ac:dyDescent="0.25">
      <c r="A41" s="79" t="s">
        <v>334</v>
      </c>
      <c r="B41" s="215">
        <f>SUM(B42:B43)</f>
        <v>0</v>
      </c>
      <c r="C41" s="216">
        <f t="shared" ref="C41" si="94">SUM(C42:C43)</f>
        <v>0</v>
      </c>
      <c r="D41" s="216">
        <f t="shared" ref="D41" si="95">SUM(D42:D43)</f>
        <v>0</v>
      </c>
      <c r="E41" s="216">
        <f>SUM(E42:E43)</f>
        <v>0</v>
      </c>
      <c r="F41" s="216">
        <f t="shared" ref="F41" si="96">SUM(F42:F43)</f>
        <v>0</v>
      </c>
      <c r="G41" s="111">
        <f>E41/$E$58</f>
        <v>0</v>
      </c>
      <c r="H41" s="111"/>
      <c r="I41" s="120"/>
      <c r="J41" s="120"/>
      <c r="K41" s="80"/>
      <c r="L41" s="215">
        <f>SUM(L42:L43)</f>
        <v>0</v>
      </c>
      <c r="M41" s="216">
        <f t="shared" ref="M41" si="97">SUM(M42:M43)</f>
        <v>0</v>
      </c>
      <c r="N41" s="216">
        <f t="shared" ref="N41:O41" si="98">SUM(N42:N43)</f>
        <v>0</v>
      </c>
      <c r="O41" s="216">
        <f t="shared" si="98"/>
        <v>0</v>
      </c>
      <c r="P41" s="216">
        <f t="shared" ref="P41" si="99">SUM(P42:P43)</f>
        <v>0</v>
      </c>
      <c r="Q41" s="111">
        <f>O41/$O$58</f>
        <v>0</v>
      </c>
      <c r="R41" s="111"/>
      <c r="S41" s="120"/>
      <c r="T41" s="120"/>
      <c r="U41" s="80"/>
      <c r="V41" s="215">
        <f>SUM(V42:V43)</f>
        <v>0</v>
      </c>
      <c r="W41" s="216">
        <f t="shared" ref="W41" si="100">SUM(W42:W43)</f>
        <v>0</v>
      </c>
      <c r="X41" s="216">
        <f t="shared" ref="X41:Y41" si="101">SUM(X42:X43)</f>
        <v>0</v>
      </c>
      <c r="Y41" s="216">
        <f t="shared" si="101"/>
        <v>0</v>
      </c>
      <c r="Z41" s="216">
        <f t="shared" ref="Z41" si="102">SUM(Z42:Z43)</f>
        <v>0</v>
      </c>
      <c r="AA41" s="111">
        <f>Y41/$Y$58</f>
        <v>0</v>
      </c>
      <c r="AB41" s="111"/>
      <c r="AC41" s="120"/>
      <c r="AD41" s="120"/>
      <c r="AE41" s="80"/>
      <c r="AF41" s="215">
        <f>SUM(AF42:AF43)</f>
        <v>0</v>
      </c>
      <c r="AG41" s="216">
        <f t="shared" ref="AG41" si="103">SUM(AG42:AG43)</f>
        <v>0</v>
      </c>
      <c r="AH41" s="216">
        <f t="shared" ref="AH41:AI41" si="104">SUM(AH42:AH43)</f>
        <v>0</v>
      </c>
      <c r="AI41" s="216">
        <f t="shared" si="104"/>
        <v>0</v>
      </c>
      <c r="AJ41" s="216">
        <f t="shared" ref="AJ41" si="105">SUM(AJ42:AJ43)</f>
        <v>0</v>
      </c>
      <c r="AK41" s="111">
        <f>AI41/$AI$58</f>
        <v>0</v>
      </c>
      <c r="AL41" s="111"/>
      <c r="AM41" s="120"/>
      <c r="AN41" s="120"/>
      <c r="AO41" s="80"/>
      <c r="AP41" s="215">
        <f>SUM(AP42:AP43)</f>
        <v>0</v>
      </c>
      <c r="AQ41" s="216">
        <f t="shared" ref="AQ41" si="106">SUM(AQ42:AQ43)</f>
        <v>0</v>
      </c>
      <c r="AR41" s="216">
        <f t="shared" ref="AR41:AS41" si="107">SUM(AR42:AR43)</f>
        <v>0</v>
      </c>
      <c r="AS41" s="216">
        <f t="shared" si="107"/>
        <v>0</v>
      </c>
      <c r="AT41" s="216">
        <f t="shared" ref="AT41" si="108">SUM(AT42:AT43)</f>
        <v>0</v>
      </c>
      <c r="AU41" s="111">
        <f>AS41/$AS$58</f>
        <v>0</v>
      </c>
      <c r="AV41" s="111"/>
      <c r="AW41" s="120"/>
      <c r="AX41" s="120"/>
      <c r="AY41" s="80"/>
    </row>
    <row r="42" spans="1:51" hidden="1" x14ac:dyDescent="0.25">
      <c r="A42" s="81" t="s">
        <v>317</v>
      </c>
      <c r="B42" s="217">
        <v>0</v>
      </c>
      <c r="C42" s="218">
        <v>0</v>
      </c>
      <c r="D42" s="218">
        <v>0</v>
      </c>
      <c r="E42" s="218">
        <f>SUM(B42:D42)</f>
        <v>0</v>
      </c>
      <c r="F42" s="218">
        <v>0</v>
      </c>
      <c r="G42" s="82"/>
      <c r="H42" s="115">
        <v>0.75</v>
      </c>
      <c r="I42" s="115">
        <v>0.25</v>
      </c>
      <c r="J42" s="115">
        <v>0</v>
      </c>
      <c r="K42" s="83"/>
      <c r="L42" s="217">
        <v>0</v>
      </c>
      <c r="M42" s="218">
        <v>0</v>
      </c>
      <c r="N42" s="218">
        <v>0</v>
      </c>
      <c r="O42" s="218">
        <f>SUM(L42:N42)</f>
        <v>0</v>
      </c>
      <c r="P42" s="218">
        <v>0</v>
      </c>
      <c r="Q42" s="115"/>
      <c r="R42" s="115">
        <v>0.75</v>
      </c>
      <c r="S42" s="115">
        <v>0.25</v>
      </c>
      <c r="T42" s="115">
        <v>0</v>
      </c>
      <c r="U42" s="83"/>
      <c r="V42" s="217">
        <v>0</v>
      </c>
      <c r="W42" s="218">
        <v>0</v>
      </c>
      <c r="X42" s="218">
        <v>0</v>
      </c>
      <c r="Y42" s="218">
        <f>SUM(V42:X42)</f>
        <v>0</v>
      </c>
      <c r="Z42" s="218">
        <v>0</v>
      </c>
      <c r="AA42" s="115"/>
      <c r="AB42" s="115">
        <v>0.75</v>
      </c>
      <c r="AC42" s="115">
        <v>0.25</v>
      </c>
      <c r="AD42" s="115">
        <v>0</v>
      </c>
      <c r="AE42" s="83"/>
      <c r="AF42" s="217">
        <v>0</v>
      </c>
      <c r="AG42" s="218">
        <v>0</v>
      </c>
      <c r="AH42" s="218">
        <v>0</v>
      </c>
      <c r="AI42" s="218">
        <f>SUM(AF42:AH42)</f>
        <v>0</v>
      </c>
      <c r="AJ42" s="218">
        <v>0</v>
      </c>
      <c r="AK42" s="115"/>
      <c r="AL42" s="115">
        <v>0.75</v>
      </c>
      <c r="AM42" s="115">
        <v>0.25</v>
      </c>
      <c r="AN42" s="115">
        <v>0</v>
      </c>
      <c r="AO42" s="83"/>
      <c r="AP42" s="217">
        <v>0</v>
      </c>
      <c r="AQ42" s="218">
        <v>0</v>
      </c>
      <c r="AR42" s="218">
        <v>0</v>
      </c>
      <c r="AS42" s="218">
        <f>SUM(AP42:AR42)</f>
        <v>0</v>
      </c>
      <c r="AT42" s="218">
        <v>0</v>
      </c>
      <c r="AU42" s="115"/>
      <c r="AV42" s="115">
        <v>0.75</v>
      </c>
      <c r="AW42" s="115">
        <v>0.25</v>
      </c>
      <c r="AX42" s="115">
        <v>0</v>
      </c>
      <c r="AY42" s="83"/>
    </row>
    <row r="43" spans="1:51" hidden="1" x14ac:dyDescent="0.25">
      <c r="A43" s="81" t="s">
        <v>335</v>
      </c>
      <c r="B43" s="217">
        <v>0</v>
      </c>
      <c r="C43" s="218">
        <v>0</v>
      </c>
      <c r="D43" s="218">
        <v>0</v>
      </c>
      <c r="E43" s="218">
        <f>SUM(B43:D43)</f>
        <v>0</v>
      </c>
      <c r="F43" s="218">
        <v>0</v>
      </c>
      <c r="G43" s="82"/>
      <c r="H43" s="115">
        <v>0.75</v>
      </c>
      <c r="I43" s="115">
        <v>0.25</v>
      </c>
      <c r="J43" s="115">
        <v>0</v>
      </c>
      <c r="K43" s="83"/>
      <c r="L43" s="217">
        <v>0</v>
      </c>
      <c r="M43" s="218">
        <v>0</v>
      </c>
      <c r="N43" s="218">
        <v>0</v>
      </c>
      <c r="O43" s="218">
        <f>SUM(L43:N43)</f>
        <v>0</v>
      </c>
      <c r="P43" s="218">
        <v>0</v>
      </c>
      <c r="Q43" s="115"/>
      <c r="R43" s="115">
        <v>0.75</v>
      </c>
      <c r="S43" s="115">
        <v>0.25</v>
      </c>
      <c r="T43" s="115">
        <v>0</v>
      </c>
      <c r="U43" s="83"/>
      <c r="V43" s="217">
        <v>0</v>
      </c>
      <c r="W43" s="218">
        <v>0</v>
      </c>
      <c r="X43" s="218">
        <v>0</v>
      </c>
      <c r="Y43" s="218">
        <f>SUM(V43:X43)</f>
        <v>0</v>
      </c>
      <c r="Z43" s="218">
        <v>0</v>
      </c>
      <c r="AA43" s="115"/>
      <c r="AB43" s="115">
        <v>0.75</v>
      </c>
      <c r="AC43" s="115">
        <v>0.25</v>
      </c>
      <c r="AD43" s="115">
        <v>0</v>
      </c>
      <c r="AE43" s="83"/>
      <c r="AF43" s="217">
        <v>0</v>
      </c>
      <c r="AG43" s="218">
        <v>0</v>
      </c>
      <c r="AH43" s="218">
        <v>0</v>
      </c>
      <c r="AI43" s="218">
        <f>SUM(AF43:AH43)</f>
        <v>0</v>
      </c>
      <c r="AJ43" s="218">
        <v>0</v>
      </c>
      <c r="AK43" s="115"/>
      <c r="AL43" s="115">
        <v>0.75</v>
      </c>
      <c r="AM43" s="115">
        <v>0.25</v>
      </c>
      <c r="AN43" s="115">
        <v>0</v>
      </c>
      <c r="AO43" s="83"/>
      <c r="AP43" s="217">
        <v>0</v>
      </c>
      <c r="AQ43" s="218">
        <v>0</v>
      </c>
      <c r="AR43" s="218">
        <v>0</v>
      </c>
      <c r="AS43" s="218">
        <f>SUM(AP43:AR43)</f>
        <v>0</v>
      </c>
      <c r="AT43" s="218">
        <v>0</v>
      </c>
      <c r="AU43" s="115"/>
      <c r="AV43" s="115">
        <v>0.75</v>
      </c>
      <c r="AW43" s="115">
        <v>0.25</v>
      </c>
      <c r="AX43" s="115">
        <v>0</v>
      </c>
      <c r="AY43" s="83"/>
    </row>
    <row r="44" spans="1:51" x14ac:dyDescent="0.25">
      <c r="A44" s="84" t="s">
        <v>323</v>
      </c>
      <c r="B44" s="219">
        <f>SUM(B45:B46)</f>
        <v>168200</v>
      </c>
      <c r="C44" s="220">
        <f>SUM(C45:C46)</f>
        <v>110000</v>
      </c>
      <c r="D44" s="220">
        <f>SUM(D45:D46)</f>
        <v>0</v>
      </c>
      <c r="E44" s="220">
        <f>SUM(E45:E46)</f>
        <v>278200</v>
      </c>
      <c r="F44" s="220">
        <f>SUM(F45:F46)</f>
        <v>10000</v>
      </c>
      <c r="G44" s="110">
        <f>E44/$E$58</f>
        <v>0.13660692364350602</v>
      </c>
      <c r="H44" s="110"/>
      <c r="I44" s="121"/>
      <c r="J44" s="121"/>
      <c r="K44" s="85"/>
      <c r="L44" s="219">
        <f>SUM(L45:L46)</f>
        <v>169300</v>
      </c>
      <c r="M44" s="220">
        <f t="shared" ref="M44" si="109">SUM(M45:M46)</f>
        <v>112800</v>
      </c>
      <c r="N44" s="220">
        <f t="shared" ref="N44:O44" si="110">SUM(N45:N46)</f>
        <v>0</v>
      </c>
      <c r="O44" s="220">
        <f t="shared" si="110"/>
        <v>282100</v>
      </c>
      <c r="P44" s="220">
        <f t="shared" ref="P44" si="111">SUM(P45:P46)</f>
        <v>11000</v>
      </c>
      <c r="Q44" s="110">
        <f>O44/$O$58</f>
        <v>0.1351441985244802</v>
      </c>
      <c r="R44" s="110"/>
      <c r="S44" s="121"/>
      <c r="T44" s="121"/>
      <c r="U44" s="85"/>
      <c r="V44" s="219">
        <f>SUM(V45:V46)</f>
        <v>170400</v>
      </c>
      <c r="W44" s="220">
        <f t="shared" ref="W44" si="112">SUM(W45:W46)</f>
        <v>115600</v>
      </c>
      <c r="X44" s="220">
        <f t="shared" ref="X44:Y44" si="113">SUM(X45:X46)</f>
        <v>0</v>
      </c>
      <c r="Y44" s="220">
        <f t="shared" si="113"/>
        <v>286000</v>
      </c>
      <c r="Z44" s="220">
        <f t="shared" ref="Z44" si="114">SUM(Z45:Z46)</f>
        <v>11000</v>
      </c>
      <c r="AA44" s="110">
        <f>Y44/$Y$58</f>
        <v>0.13366984483080949</v>
      </c>
      <c r="AB44" s="110"/>
      <c r="AC44" s="121"/>
      <c r="AD44" s="121"/>
      <c r="AE44" s="85"/>
      <c r="AF44" s="219">
        <f>SUM(AF45:AF46)</f>
        <v>181000</v>
      </c>
      <c r="AG44" s="220">
        <f t="shared" ref="AG44" si="115">SUM(AG45:AG46)</f>
        <v>118500</v>
      </c>
      <c r="AH44" s="220">
        <f t="shared" ref="AH44:AI44" si="116">SUM(AH45:AH46)</f>
        <v>0</v>
      </c>
      <c r="AI44" s="220">
        <f t="shared" si="116"/>
        <v>299500</v>
      </c>
      <c r="AJ44" s="220">
        <f t="shared" ref="AJ44" si="117">SUM(AJ45:AJ46)</f>
        <v>11000</v>
      </c>
      <c r="AK44" s="110">
        <f>AI44/$AI$58</f>
        <v>0.13656468013314485</v>
      </c>
      <c r="AL44" s="110"/>
      <c r="AM44" s="121"/>
      <c r="AN44" s="121"/>
      <c r="AO44" s="85"/>
      <c r="AP44" s="219">
        <f>SUM(AP45:AP46)</f>
        <v>182700</v>
      </c>
      <c r="AQ44" s="220">
        <f t="shared" ref="AQ44" si="118">SUM(AQ45:AQ46)</f>
        <v>121500</v>
      </c>
      <c r="AR44" s="220">
        <f t="shared" ref="AR44" si="119">SUM(AR45:AR46)</f>
        <v>0</v>
      </c>
      <c r="AS44" s="220">
        <f t="shared" ref="AS44" si="120">SUM(AS45:AS46)</f>
        <v>304200</v>
      </c>
      <c r="AT44" s="220">
        <f t="shared" ref="AT44" si="121">SUM(AT45:AT46)</f>
        <v>11000</v>
      </c>
      <c r="AU44" s="110">
        <f>AS44/$AS$58</f>
        <v>0.13532630455091418</v>
      </c>
      <c r="AV44" s="110"/>
      <c r="AW44" s="121"/>
      <c r="AX44" s="121"/>
      <c r="AY44" s="85"/>
    </row>
    <row r="45" spans="1:51" x14ac:dyDescent="0.25">
      <c r="A45" s="86" t="s">
        <v>324</v>
      </c>
      <c r="B45" s="221">
        <f>24200+4000</f>
        <v>28200</v>
      </c>
      <c r="C45" s="222">
        <v>0</v>
      </c>
      <c r="D45" s="222">
        <v>0</v>
      </c>
      <c r="E45" s="222">
        <f>SUM(B45:D45)</f>
        <v>28200</v>
      </c>
      <c r="F45" s="222">
        <v>10000</v>
      </c>
      <c r="G45" s="87"/>
      <c r="H45" s="116">
        <v>0.75</v>
      </c>
      <c r="I45" s="116">
        <v>0.25</v>
      </c>
      <c r="J45" s="116">
        <v>0</v>
      </c>
      <c r="K45" s="88" t="s">
        <v>403</v>
      </c>
      <c r="L45" s="221">
        <f>24800+4500</f>
        <v>29300</v>
      </c>
      <c r="M45" s="222">
        <v>0</v>
      </c>
      <c r="N45" s="222">
        <v>0</v>
      </c>
      <c r="O45" s="222">
        <f>SUM(L45:N45)</f>
        <v>29300</v>
      </c>
      <c r="P45" s="222">
        <v>11000</v>
      </c>
      <c r="Q45" s="116"/>
      <c r="R45" s="116">
        <v>0.75</v>
      </c>
      <c r="S45" s="116">
        <v>0.25</v>
      </c>
      <c r="T45" s="116">
        <v>0</v>
      </c>
      <c r="U45" s="88" t="s">
        <v>399</v>
      </c>
      <c r="V45" s="221">
        <f>25400+5000</f>
        <v>30400</v>
      </c>
      <c r="W45" s="222">
        <v>0</v>
      </c>
      <c r="X45" s="222">
        <v>0</v>
      </c>
      <c r="Y45" s="222">
        <f>SUM(V45:X45)</f>
        <v>30400</v>
      </c>
      <c r="Z45" s="222">
        <v>11000</v>
      </c>
      <c r="AA45" s="116"/>
      <c r="AB45" s="116">
        <v>0.75</v>
      </c>
      <c r="AC45" s="116">
        <v>0.25</v>
      </c>
      <c r="AD45" s="116">
        <v>0</v>
      </c>
      <c r="AE45" s="88" t="s">
        <v>400</v>
      </c>
      <c r="AF45" s="221">
        <f>26000+5000</f>
        <v>31000</v>
      </c>
      <c r="AG45" s="222">
        <v>0</v>
      </c>
      <c r="AH45" s="222">
        <v>0</v>
      </c>
      <c r="AI45" s="222">
        <f>SUM(AF45:AH45)</f>
        <v>31000</v>
      </c>
      <c r="AJ45" s="222">
        <v>11000</v>
      </c>
      <c r="AK45" s="116"/>
      <c r="AL45" s="116">
        <v>0.75</v>
      </c>
      <c r="AM45" s="116">
        <v>0.25</v>
      </c>
      <c r="AN45" s="116">
        <v>0</v>
      </c>
      <c r="AO45" s="88" t="s">
        <v>401</v>
      </c>
      <c r="AP45" s="221">
        <f>26700+6000</f>
        <v>32700</v>
      </c>
      <c r="AQ45" s="222">
        <v>0</v>
      </c>
      <c r="AR45" s="222">
        <v>0</v>
      </c>
      <c r="AS45" s="222">
        <f>SUM(AP45:AR45)</f>
        <v>32700</v>
      </c>
      <c r="AT45" s="222">
        <v>11000</v>
      </c>
      <c r="AU45" s="116"/>
      <c r="AV45" s="116">
        <v>0.75</v>
      </c>
      <c r="AW45" s="116">
        <v>0.25</v>
      </c>
      <c r="AX45" s="116">
        <v>0</v>
      </c>
      <c r="AY45" s="88" t="s">
        <v>402</v>
      </c>
    </row>
    <row r="46" spans="1:51" x14ac:dyDescent="0.25">
      <c r="A46" s="86" t="s">
        <v>325</v>
      </c>
      <c r="B46" s="221">
        <v>140000</v>
      </c>
      <c r="C46" s="222">
        <v>110000</v>
      </c>
      <c r="D46" s="222">
        <v>0</v>
      </c>
      <c r="E46" s="222">
        <f>SUM(B46:D46)</f>
        <v>250000</v>
      </c>
      <c r="F46" s="222">
        <v>0</v>
      </c>
      <c r="G46" s="87"/>
      <c r="H46" s="116">
        <v>0.75</v>
      </c>
      <c r="I46" s="116">
        <v>0.25</v>
      </c>
      <c r="J46" s="116">
        <v>0</v>
      </c>
      <c r="K46" s="88" t="s">
        <v>395</v>
      </c>
      <c r="L46" s="221">
        <f>140000</f>
        <v>140000</v>
      </c>
      <c r="M46" s="222">
        <f>ROUND(((C46*$B$62)+C46),-2)</f>
        <v>112800</v>
      </c>
      <c r="N46" s="222">
        <v>0</v>
      </c>
      <c r="O46" s="222">
        <f>SUM(L46:N46)</f>
        <v>252800</v>
      </c>
      <c r="P46" s="222">
        <v>0</v>
      </c>
      <c r="Q46" s="116"/>
      <c r="R46" s="116">
        <v>0.75</v>
      </c>
      <c r="S46" s="116">
        <v>0.25</v>
      </c>
      <c r="T46" s="116">
        <v>0</v>
      </c>
      <c r="U46" s="88" t="s">
        <v>396</v>
      </c>
      <c r="V46" s="221">
        <v>140000</v>
      </c>
      <c r="W46" s="222">
        <f>ROUND(((M46*$B$62)+M46),-2)</f>
        <v>115600</v>
      </c>
      <c r="X46" s="222">
        <v>0</v>
      </c>
      <c r="Y46" s="222">
        <f>SUM(V46:X46)</f>
        <v>255600</v>
      </c>
      <c r="Z46" s="222">
        <v>0</v>
      </c>
      <c r="AA46" s="116"/>
      <c r="AB46" s="116">
        <v>0.75</v>
      </c>
      <c r="AC46" s="116">
        <v>0.25</v>
      </c>
      <c r="AD46" s="116">
        <v>0</v>
      </c>
      <c r="AE46" s="88" t="s">
        <v>397</v>
      </c>
      <c r="AF46" s="221">
        <v>150000</v>
      </c>
      <c r="AG46" s="222">
        <f>ROUND(((W46*$B$62)+W46),-2)</f>
        <v>118500</v>
      </c>
      <c r="AH46" s="222">
        <v>0</v>
      </c>
      <c r="AI46" s="222">
        <f>SUM(AF46:AH46)</f>
        <v>268500</v>
      </c>
      <c r="AJ46" s="222">
        <v>0</v>
      </c>
      <c r="AK46" s="116"/>
      <c r="AL46" s="116">
        <v>0.75</v>
      </c>
      <c r="AM46" s="116">
        <v>0.25</v>
      </c>
      <c r="AN46" s="116">
        <v>0</v>
      </c>
      <c r="AO46" s="88" t="s">
        <v>398</v>
      </c>
      <c r="AP46" s="221">
        <v>150000</v>
      </c>
      <c r="AQ46" s="222">
        <f>ROUND(((AG46*$B$62)+AG46),-2)</f>
        <v>121500</v>
      </c>
      <c r="AR46" s="222">
        <v>0</v>
      </c>
      <c r="AS46" s="222">
        <f>SUM(AP46:AR46)</f>
        <v>271500</v>
      </c>
      <c r="AT46" s="222">
        <v>0</v>
      </c>
      <c r="AU46" s="116"/>
      <c r="AV46" s="116">
        <v>0.75</v>
      </c>
      <c r="AW46" s="116">
        <v>0.25</v>
      </c>
      <c r="AX46" s="116">
        <v>0</v>
      </c>
      <c r="AY46" s="88" t="s">
        <v>397</v>
      </c>
    </row>
    <row r="47" spans="1:51" x14ac:dyDescent="0.25">
      <c r="A47" s="84" t="s">
        <v>326</v>
      </c>
      <c r="B47" s="219">
        <f>SUM(B48:B49)</f>
        <v>61700</v>
      </c>
      <c r="C47" s="220">
        <f>SUM(C48:C49)</f>
        <v>0</v>
      </c>
      <c r="D47" s="220">
        <f>SUM(D48:D49)</f>
        <v>0</v>
      </c>
      <c r="E47" s="220">
        <f>SUM(E48:E49)</f>
        <v>61700</v>
      </c>
      <c r="F47" s="220">
        <f>SUM(F48:F49)</f>
        <v>45000</v>
      </c>
      <c r="G47" s="110">
        <f>E47/$E$58</f>
        <v>3.0297078320648169E-2</v>
      </c>
      <c r="H47" s="110"/>
      <c r="I47" s="121"/>
      <c r="J47" s="121"/>
      <c r="K47" s="85"/>
      <c r="L47" s="219">
        <f>SUM(L48:L49)</f>
        <v>63200</v>
      </c>
      <c r="M47" s="220">
        <f t="shared" ref="M47" si="122">SUM(M48:M49)</f>
        <v>0</v>
      </c>
      <c r="N47" s="220">
        <f t="shared" ref="N47:O47" si="123">SUM(N48:N49)</f>
        <v>0</v>
      </c>
      <c r="O47" s="220">
        <f t="shared" si="123"/>
        <v>63200</v>
      </c>
      <c r="P47" s="220">
        <f t="shared" ref="P47" si="124">SUM(P48:P49)</f>
        <v>46000</v>
      </c>
      <c r="Q47" s="110">
        <f>O47/$O$58</f>
        <v>3.0276899492191242E-2</v>
      </c>
      <c r="R47" s="110"/>
      <c r="S47" s="121"/>
      <c r="T47" s="121"/>
      <c r="U47" s="85"/>
      <c r="V47" s="219">
        <f>SUM(V48:V49)</f>
        <v>64800</v>
      </c>
      <c r="W47" s="220">
        <f t="shared" ref="W47" si="125">SUM(W48:W49)</f>
        <v>0</v>
      </c>
      <c r="X47" s="220">
        <f t="shared" ref="X47:Y47" si="126">SUM(X48:X49)</f>
        <v>0</v>
      </c>
      <c r="Y47" s="220">
        <f t="shared" si="126"/>
        <v>64800</v>
      </c>
      <c r="Z47" s="220">
        <f t="shared" ref="Z47" si="127">SUM(Z48:Z49)</f>
        <v>46000</v>
      </c>
      <c r="AA47" s="110">
        <f>Y47/$Y$58</f>
        <v>3.0286034772854738E-2</v>
      </c>
      <c r="AB47" s="110"/>
      <c r="AC47" s="121"/>
      <c r="AD47" s="121"/>
      <c r="AE47" s="85"/>
      <c r="AF47" s="219">
        <f>SUM(AF48:AF49)</f>
        <v>66400</v>
      </c>
      <c r="AG47" s="220">
        <f t="shared" ref="AG47" si="128">SUM(AG48:AG49)</f>
        <v>0</v>
      </c>
      <c r="AH47" s="220">
        <f t="shared" ref="AH47:AI47" si="129">SUM(AH48:AH49)</f>
        <v>0</v>
      </c>
      <c r="AI47" s="220">
        <f t="shared" si="129"/>
        <v>66400</v>
      </c>
      <c r="AJ47" s="220">
        <f t="shared" ref="AJ47" si="130">SUM(AJ48:AJ49)</f>
        <v>47500</v>
      </c>
      <c r="AK47" s="110">
        <f>AI47/$AI$58</f>
        <v>3.027677716474397E-2</v>
      </c>
      <c r="AL47" s="110"/>
      <c r="AM47" s="121"/>
      <c r="AN47" s="121"/>
      <c r="AO47" s="85"/>
      <c r="AP47" s="219">
        <f>SUM(AP48:AP49)</f>
        <v>68100</v>
      </c>
      <c r="AQ47" s="220">
        <f t="shared" ref="AQ47" si="131">SUM(AQ48:AQ49)</f>
        <v>0</v>
      </c>
      <c r="AR47" s="220">
        <f t="shared" ref="AR47" si="132">SUM(AR48:AR49)</f>
        <v>0</v>
      </c>
      <c r="AS47" s="220">
        <f t="shared" ref="AS47" si="133">SUM(AS48:AS49)</f>
        <v>68100</v>
      </c>
      <c r="AT47" s="220">
        <f t="shared" ref="AT47" si="134">SUM(AT48:AT49)</f>
        <v>47500</v>
      </c>
      <c r="AU47" s="110">
        <f>AS47/$AS$58</f>
        <v>3.0294941945816094E-2</v>
      </c>
      <c r="AV47" s="110"/>
      <c r="AW47" s="121"/>
      <c r="AX47" s="121"/>
      <c r="AY47" s="85"/>
    </row>
    <row r="48" spans="1:51" x14ac:dyDescent="0.25">
      <c r="A48" s="86" t="s">
        <v>327</v>
      </c>
      <c r="B48" s="221">
        <v>0</v>
      </c>
      <c r="C48" s="222">
        <v>0</v>
      </c>
      <c r="D48" s="222">
        <v>0</v>
      </c>
      <c r="E48" s="222">
        <f>SUM(B48:D48)</f>
        <v>0</v>
      </c>
      <c r="F48" s="222">
        <v>30000</v>
      </c>
      <c r="G48" s="87"/>
      <c r="H48" s="116">
        <v>1</v>
      </c>
      <c r="I48" s="116">
        <v>0</v>
      </c>
      <c r="J48" s="116">
        <v>0</v>
      </c>
      <c r="K48" s="88"/>
      <c r="L48" s="221">
        <v>0</v>
      </c>
      <c r="M48" s="222">
        <v>0</v>
      </c>
      <c r="N48" s="222">
        <v>0</v>
      </c>
      <c r="O48" s="222">
        <f>SUM(L48:N48)</f>
        <v>0</v>
      </c>
      <c r="P48" s="222">
        <v>31000</v>
      </c>
      <c r="Q48" s="116"/>
      <c r="R48" s="116">
        <v>1</v>
      </c>
      <c r="S48" s="116">
        <v>0</v>
      </c>
      <c r="T48" s="116">
        <v>0</v>
      </c>
      <c r="U48" s="88"/>
      <c r="V48" s="221">
        <v>0</v>
      </c>
      <c r="W48" s="222">
        <v>0</v>
      </c>
      <c r="X48" s="222">
        <v>0</v>
      </c>
      <c r="Y48" s="222">
        <f>SUM(V48:X48)</f>
        <v>0</v>
      </c>
      <c r="Z48" s="222">
        <v>31000</v>
      </c>
      <c r="AA48" s="116"/>
      <c r="AB48" s="116">
        <v>1</v>
      </c>
      <c r="AC48" s="116">
        <v>0</v>
      </c>
      <c r="AD48" s="116">
        <v>0</v>
      </c>
      <c r="AE48" s="88"/>
      <c r="AF48" s="221">
        <v>0</v>
      </c>
      <c r="AG48" s="222">
        <v>0</v>
      </c>
      <c r="AH48" s="222">
        <v>0</v>
      </c>
      <c r="AI48" s="222">
        <f>SUM(AF48:AH48)</f>
        <v>0</v>
      </c>
      <c r="AJ48" s="222">
        <v>31500</v>
      </c>
      <c r="AK48" s="116"/>
      <c r="AL48" s="116">
        <v>1</v>
      </c>
      <c r="AM48" s="116">
        <v>0</v>
      </c>
      <c r="AN48" s="116">
        <v>0</v>
      </c>
      <c r="AO48" s="88"/>
      <c r="AP48" s="221">
        <v>0</v>
      </c>
      <c r="AQ48" s="222">
        <v>0</v>
      </c>
      <c r="AR48" s="222">
        <v>0</v>
      </c>
      <c r="AS48" s="222">
        <f>SUM(AP48:AR48)</f>
        <v>0</v>
      </c>
      <c r="AT48" s="222">
        <v>31500</v>
      </c>
      <c r="AU48" s="116"/>
      <c r="AV48" s="116">
        <v>1</v>
      </c>
      <c r="AW48" s="116">
        <v>0</v>
      </c>
      <c r="AX48" s="116">
        <v>0</v>
      </c>
      <c r="AY48" s="88"/>
    </row>
    <row r="49" spans="1:51" x14ac:dyDescent="0.25">
      <c r="A49" s="86" t="s">
        <v>328</v>
      </c>
      <c r="B49" s="221">
        <f>61700</f>
        <v>61700</v>
      </c>
      <c r="C49" s="222">
        <v>0</v>
      </c>
      <c r="D49" s="222">
        <v>0</v>
      </c>
      <c r="E49" s="222">
        <f>SUM(B49:D49)</f>
        <v>61700</v>
      </c>
      <c r="F49" s="222">
        <v>15000</v>
      </c>
      <c r="G49" s="87"/>
      <c r="H49" s="116">
        <v>1</v>
      </c>
      <c r="I49" s="116">
        <v>0</v>
      </c>
      <c r="J49" s="116">
        <v>0</v>
      </c>
      <c r="K49" s="88" t="s">
        <v>393</v>
      </c>
      <c r="L49" s="221">
        <f>ROUND(((B49*$B$62)+B49),-2)</f>
        <v>63200</v>
      </c>
      <c r="M49" s="222">
        <v>0</v>
      </c>
      <c r="N49" s="222">
        <v>0</v>
      </c>
      <c r="O49" s="222">
        <f>SUM(L49:N49)</f>
        <v>63200</v>
      </c>
      <c r="P49" s="222">
        <v>15000</v>
      </c>
      <c r="Q49" s="116"/>
      <c r="R49" s="116">
        <v>1</v>
      </c>
      <c r="S49" s="116">
        <v>0</v>
      </c>
      <c r="T49" s="116">
        <v>0</v>
      </c>
      <c r="U49" s="88" t="s">
        <v>393</v>
      </c>
      <c r="V49" s="221">
        <f>ROUND(((L49*$B$62)+L49),-2)</f>
        <v>64800</v>
      </c>
      <c r="W49" s="222">
        <v>0</v>
      </c>
      <c r="X49" s="222">
        <v>0</v>
      </c>
      <c r="Y49" s="222">
        <f>SUM(V49:X49)</f>
        <v>64800</v>
      </c>
      <c r="Z49" s="222">
        <v>15000</v>
      </c>
      <c r="AA49" s="116"/>
      <c r="AB49" s="116">
        <v>1</v>
      </c>
      <c r="AC49" s="116">
        <v>0</v>
      </c>
      <c r="AD49" s="116">
        <v>0</v>
      </c>
      <c r="AE49" s="88" t="s">
        <v>393</v>
      </c>
      <c r="AF49" s="221">
        <f>ROUND(((V49*$B$62)+V49),-2)</f>
        <v>66400</v>
      </c>
      <c r="AG49" s="222">
        <v>0</v>
      </c>
      <c r="AH49" s="222">
        <v>0</v>
      </c>
      <c r="AI49" s="222">
        <f>SUM(AF49:AH49)</f>
        <v>66400</v>
      </c>
      <c r="AJ49" s="222">
        <v>16000</v>
      </c>
      <c r="AK49" s="116"/>
      <c r="AL49" s="116">
        <v>1</v>
      </c>
      <c r="AM49" s="116">
        <v>0</v>
      </c>
      <c r="AN49" s="116">
        <v>0</v>
      </c>
      <c r="AO49" s="88" t="s">
        <v>393</v>
      </c>
      <c r="AP49" s="221">
        <f>ROUND(((AF49*$B$62)+AF49),-2)</f>
        <v>68100</v>
      </c>
      <c r="AQ49" s="222">
        <v>0</v>
      </c>
      <c r="AR49" s="222">
        <v>0</v>
      </c>
      <c r="AS49" s="222">
        <f>SUM(AP49:AR49)</f>
        <v>68100</v>
      </c>
      <c r="AT49" s="222">
        <v>16000</v>
      </c>
      <c r="AU49" s="116"/>
      <c r="AV49" s="116">
        <v>1</v>
      </c>
      <c r="AW49" s="116">
        <v>0</v>
      </c>
      <c r="AX49" s="116">
        <v>0</v>
      </c>
      <c r="AY49" s="88" t="s">
        <v>393</v>
      </c>
    </row>
    <row r="50" spans="1:51" x14ac:dyDescent="0.25">
      <c r="A50" s="84" t="s">
        <v>254</v>
      </c>
      <c r="B50" s="219">
        <f>SUM(B51:B57)</f>
        <v>7000</v>
      </c>
      <c r="C50" s="220">
        <f>SUM(C51:C57)</f>
        <v>5000</v>
      </c>
      <c r="D50" s="220">
        <f>SUM(D51:D57)</f>
        <v>158500</v>
      </c>
      <c r="E50" s="220">
        <f>SUM(E51:E57)</f>
        <v>170500</v>
      </c>
      <c r="F50" s="220">
        <f>SUM(F51:F57)</f>
        <v>64200</v>
      </c>
      <c r="G50" s="110">
        <f>E50/$E$58</f>
        <v>8.3722072182666335E-2</v>
      </c>
      <c r="H50" s="110"/>
      <c r="I50" s="121"/>
      <c r="J50" s="121"/>
      <c r="K50" s="85"/>
      <c r="L50" s="219">
        <f>SUM(L51:L57)</f>
        <v>7000</v>
      </c>
      <c r="M50" s="220">
        <f>SUM(M51:M57)</f>
        <v>5000</v>
      </c>
      <c r="N50" s="220">
        <f>SUM(N51:N57)</f>
        <v>166000</v>
      </c>
      <c r="O50" s="220">
        <f>SUM(O51:O57)</f>
        <v>178000</v>
      </c>
      <c r="P50" s="220">
        <f>SUM(P51:P57)</f>
        <v>61020</v>
      </c>
      <c r="Q50" s="110">
        <f>O50/$O$58</f>
        <v>8.5273546038133557E-2</v>
      </c>
      <c r="R50" s="110"/>
      <c r="S50" s="121"/>
      <c r="T50" s="121"/>
      <c r="U50" s="85"/>
      <c r="V50" s="219">
        <f>SUM(V51:V57)</f>
        <v>7000</v>
      </c>
      <c r="W50" s="220">
        <f>SUM(W51:W57)</f>
        <v>5000</v>
      </c>
      <c r="X50" s="220">
        <f>SUM(X51:X57)</f>
        <v>167500</v>
      </c>
      <c r="Y50" s="220">
        <f>SUM(Y51:Y57)</f>
        <v>179500</v>
      </c>
      <c r="Z50" s="220">
        <f>SUM(Z51:Z57)</f>
        <v>55430</v>
      </c>
      <c r="AA50" s="110">
        <f>Y50/$Y$58</f>
        <v>8.3894185829126944E-2</v>
      </c>
      <c r="AB50" s="110"/>
      <c r="AC50" s="121"/>
      <c r="AD50" s="121"/>
      <c r="AE50" s="85"/>
      <c r="AF50" s="219">
        <f>SUM(AF51:AF57)</f>
        <v>7000</v>
      </c>
      <c r="AG50" s="220">
        <f>SUM(AG51:AG57)</f>
        <v>5000</v>
      </c>
      <c r="AH50" s="220">
        <f>SUM(AH51:AH57)</f>
        <v>175000</v>
      </c>
      <c r="AI50" s="220">
        <f>SUM(AI51:AI57)</f>
        <v>187000</v>
      </c>
      <c r="AJ50" s="220">
        <f>SUM(AJ51:AJ57)</f>
        <v>55430</v>
      </c>
      <c r="AK50" s="110">
        <f>AI50/$AI$58</f>
        <v>8.5267429665769917E-2</v>
      </c>
      <c r="AL50" s="110"/>
      <c r="AM50" s="121"/>
      <c r="AN50" s="121"/>
      <c r="AO50" s="85"/>
      <c r="AP50" s="219">
        <f>SUM(AP51:AP57)</f>
        <v>7000</v>
      </c>
      <c r="AQ50" s="220">
        <f>SUM(AQ51:AQ57)</f>
        <v>5000</v>
      </c>
      <c r="AR50" s="220">
        <f>SUM(AR51:AR57)</f>
        <v>176500</v>
      </c>
      <c r="AS50" s="220">
        <f>SUM(AS51:AS57)</f>
        <v>188500</v>
      </c>
      <c r="AT50" s="220">
        <f>SUM(AT51:AT57)</f>
        <v>70850</v>
      </c>
      <c r="AU50" s="110">
        <f>AS50/$AS$58</f>
        <v>8.3856043418301524E-2</v>
      </c>
      <c r="AV50" s="110"/>
      <c r="AW50" s="121"/>
      <c r="AX50" s="121"/>
      <c r="AY50" s="85"/>
    </row>
    <row r="51" spans="1:51" x14ac:dyDescent="0.25">
      <c r="A51" s="86" t="s">
        <v>329</v>
      </c>
      <c r="B51" s="221">
        <v>0</v>
      </c>
      <c r="C51" s="222">
        <v>0</v>
      </c>
      <c r="D51" s="222">
        <f>154500*'NWPCC In Kind'!C30</f>
        <v>30900</v>
      </c>
      <c r="E51" s="222">
        <f>SUM(B51:D51)</f>
        <v>30900</v>
      </c>
      <c r="F51" s="222">
        <v>5000</v>
      </c>
      <c r="G51" s="87"/>
      <c r="H51" s="116">
        <v>0.75</v>
      </c>
      <c r="I51" s="116">
        <v>0.25</v>
      </c>
      <c r="J51" s="116">
        <v>0</v>
      </c>
      <c r="K51" s="88" t="s">
        <v>392</v>
      </c>
      <c r="L51" s="221">
        <v>0</v>
      </c>
      <c r="M51" s="222">
        <v>0</v>
      </c>
      <c r="N51" s="222">
        <f>159000*'NWPCC In Kind'!C30</f>
        <v>31800</v>
      </c>
      <c r="O51" s="222">
        <f>SUM(L51:N51)</f>
        <v>31800</v>
      </c>
      <c r="P51" s="222">
        <v>5000</v>
      </c>
      <c r="Q51" s="116"/>
      <c r="R51" s="116">
        <v>0.75</v>
      </c>
      <c r="S51" s="116">
        <v>0.25</v>
      </c>
      <c r="T51" s="116">
        <v>0</v>
      </c>
      <c r="U51" s="88" t="s">
        <v>392</v>
      </c>
      <c r="V51" s="221">
        <v>0</v>
      </c>
      <c r="W51" s="222">
        <v>0</v>
      </c>
      <c r="X51" s="222">
        <f>163500*'NWPCC In Kind'!C30</f>
        <v>32700</v>
      </c>
      <c r="Y51" s="222">
        <f>SUM(V51:X51)</f>
        <v>32700</v>
      </c>
      <c r="Z51" s="222">
        <v>5400</v>
      </c>
      <c r="AA51" s="116"/>
      <c r="AB51" s="116">
        <v>0.75</v>
      </c>
      <c r="AC51" s="116">
        <v>0.25</v>
      </c>
      <c r="AD51" s="116">
        <v>0</v>
      </c>
      <c r="AE51" s="88" t="s">
        <v>392</v>
      </c>
      <c r="AF51" s="221">
        <v>0</v>
      </c>
      <c r="AG51" s="222">
        <v>0</v>
      </c>
      <c r="AH51" s="222">
        <f>168000*'NWPCC In Kind'!C30</f>
        <v>33600</v>
      </c>
      <c r="AI51" s="222">
        <f>SUM(AF51:AH51)</f>
        <v>33600</v>
      </c>
      <c r="AJ51" s="222">
        <v>5400</v>
      </c>
      <c r="AK51" s="116"/>
      <c r="AL51" s="116">
        <v>0.75</v>
      </c>
      <c r="AM51" s="116">
        <v>0.25</v>
      </c>
      <c r="AN51" s="116">
        <v>0</v>
      </c>
      <c r="AO51" s="88" t="s">
        <v>392</v>
      </c>
      <c r="AP51" s="221">
        <v>0</v>
      </c>
      <c r="AQ51" s="222">
        <v>0</v>
      </c>
      <c r="AR51" s="222">
        <f>172500*'NWPCC In Kind'!C30</f>
        <v>34500</v>
      </c>
      <c r="AS51" s="222">
        <f>SUM(AP51:AR51)</f>
        <v>34500</v>
      </c>
      <c r="AT51" s="222">
        <v>6000</v>
      </c>
      <c r="AU51" s="116"/>
      <c r="AV51" s="116">
        <v>0.75</v>
      </c>
      <c r="AW51" s="116">
        <v>0.25</v>
      </c>
      <c r="AX51" s="116">
        <v>0</v>
      </c>
      <c r="AY51" s="88" t="s">
        <v>392</v>
      </c>
    </row>
    <row r="52" spans="1:51" x14ac:dyDescent="0.25">
      <c r="A52" s="86" t="s">
        <v>330</v>
      </c>
      <c r="B52" s="221">
        <v>0</v>
      </c>
      <c r="C52" s="222">
        <v>0</v>
      </c>
      <c r="D52" s="222">
        <f>154500*'NWPCC In Kind'!C31</f>
        <v>46350</v>
      </c>
      <c r="E52" s="222">
        <f t="shared" ref="E52:E55" si="135">SUM(B52:D52)</f>
        <v>46350</v>
      </c>
      <c r="F52" s="222">
        <v>2000</v>
      </c>
      <c r="G52" s="87"/>
      <c r="H52" s="116">
        <v>0.75</v>
      </c>
      <c r="I52" s="116">
        <v>0.25</v>
      </c>
      <c r="J52" s="116">
        <v>0</v>
      </c>
      <c r="K52" s="88" t="s">
        <v>386</v>
      </c>
      <c r="L52" s="221">
        <v>0</v>
      </c>
      <c r="M52" s="222">
        <v>0</v>
      </c>
      <c r="N52" s="222">
        <f>159000*'NWPCC In Kind'!C31</f>
        <v>47700</v>
      </c>
      <c r="O52" s="222">
        <f t="shared" ref="O52:O57" si="136">SUM(L52:N52)</f>
        <v>47700</v>
      </c>
      <c r="P52" s="222">
        <v>1020</v>
      </c>
      <c r="Q52" s="116"/>
      <c r="R52" s="116">
        <v>0.75</v>
      </c>
      <c r="S52" s="116">
        <v>0.25</v>
      </c>
      <c r="T52" s="116">
        <v>0</v>
      </c>
      <c r="U52" s="88" t="s">
        <v>386</v>
      </c>
      <c r="V52" s="221">
        <v>0</v>
      </c>
      <c r="W52" s="222">
        <v>0</v>
      </c>
      <c r="X52" s="222">
        <f>163500*'NWPCC In Kind'!C31</f>
        <v>49050</v>
      </c>
      <c r="Y52" s="222">
        <f t="shared" ref="Y52:Y57" si="137">SUM(V52:X52)</f>
        <v>49050</v>
      </c>
      <c r="Z52" s="222">
        <v>5000</v>
      </c>
      <c r="AA52" s="116"/>
      <c r="AB52" s="116">
        <v>0.75</v>
      </c>
      <c r="AC52" s="116">
        <v>0.25</v>
      </c>
      <c r="AD52" s="116">
        <v>0</v>
      </c>
      <c r="AE52" s="88" t="s">
        <v>386</v>
      </c>
      <c r="AF52" s="221">
        <v>0</v>
      </c>
      <c r="AG52" s="222">
        <v>0</v>
      </c>
      <c r="AH52" s="222">
        <f>168000*'NWPCC In Kind'!C31</f>
        <v>50400</v>
      </c>
      <c r="AI52" s="222">
        <f t="shared" ref="AI52:AI57" si="138">SUM(AF52:AH52)</f>
        <v>50400</v>
      </c>
      <c r="AJ52" s="222">
        <v>5000</v>
      </c>
      <c r="AK52" s="116"/>
      <c r="AL52" s="116">
        <v>0.75</v>
      </c>
      <c r="AM52" s="116">
        <v>0.25</v>
      </c>
      <c r="AN52" s="116">
        <v>0</v>
      </c>
      <c r="AO52" s="88" t="s">
        <v>386</v>
      </c>
      <c r="AP52" s="221">
        <v>0</v>
      </c>
      <c r="AQ52" s="222">
        <v>0</v>
      </c>
      <c r="AR52" s="222">
        <f>172500*'NWPCC In Kind'!C31</f>
        <v>51750</v>
      </c>
      <c r="AS52" s="222">
        <f t="shared" ref="AS52:AS57" si="139">SUM(AP52:AR52)</f>
        <v>51750</v>
      </c>
      <c r="AT52" s="222">
        <v>4850</v>
      </c>
      <c r="AU52" s="116"/>
      <c r="AV52" s="116">
        <v>0.75</v>
      </c>
      <c r="AW52" s="116">
        <v>0.25</v>
      </c>
      <c r="AX52" s="116">
        <v>0</v>
      </c>
      <c r="AY52" s="88" t="s">
        <v>386</v>
      </c>
    </row>
    <row r="53" spans="1:51" x14ac:dyDescent="0.25">
      <c r="A53" s="86" t="s">
        <v>331</v>
      </c>
      <c r="B53" s="221">
        <v>7000</v>
      </c>
      <c r="C53" s="222">
        <v>0</v>
      </c>
      <c r="D53" s="222">
        <f>154500*'NWPCC In Kind'!C32</f>
        <v>29355</v>
      </c>
      <c r="E53" s="222">
        <f t="shared" si="135"/>
        <v>36355</v>
      </c>
      <c r="F53" s="222">
        <v>35000</v>
      </c>
      <c r="G53" s="87"/>
      <c r="H53" s="116">
        <v>0.75</v>
      </c>
      <c r="I53" s="116">
        <v>0.25</v>
      </c>
      <c r="J53" s="116">
        <v>0</v>
      </c>
      <c r="K53" s="88" t="s">
        <v>390</v>
      </c>
      <c r="L53" s="221">
        <v>7000</v>
      </c>
      <c r="M53" s="222">
        <v>0</v>
      </c>
      <c r="N53" s="222">
        <f>159000*'NWPCC In Kind'!C32</f>
        <v>30210</v>
      </c>
      <c r="O53" s="222">
        <f t="shared" si="136"/>
        <v>37210</v>
      </c>
      <c r="P53" s="222">
        <v>35000</v>
      </c>
      <c r="Q53" s="116"/>
      <c r="R53" s="116">
        <v>0.75</v>
      </c>
      <c r="S53" s="116">
        <v>0.25</v>
      </c>
      <c r="T53" s="116">
        <v>0</v>
      </c>
      <c r="U53" s="88" t="s">
        <v>390</v>
      </c>
      <c r="V53" s="221">
        <v>7000</v>
      </c>
      <c r="W53" s="222">
        <v>0</v>
      </c>
      <c r="X53" s="222">
        <f>163500*'NWPCC In Kind'!C32</f>
        <v>31065</v>
      </c>
      <c r="Y53" s="222">
        <f t="shared" si="137"/>
        <v>38065</v>
      </c>
      <c r="Z53" s="222">
        <v>20000</v>
      </c>
      <c r="AA53" s="116"/>
      <c r="AB53" s="116">
        <v>0.75</v>
      </c>
      <c r="AC53" s="116">
        <v>0.25</v>
      </c>
      <c r="AD53" s="116">
        <v>0</v>
      </c>
      <c r="AE53" s="88" t="s">
        <v>390</v>
      </c>
      <c r="AF53" s="221">
        <v>7000</v>
      </c>
      <c r="AG53" s="222">
        <v>0</v>
      </c>
      <c r="AH53" s="222">
        <f>168000*'NWPCC In Kind'!C32</f>
        <v>31920</v>
      </c>
      <c r="AI53" s="222">
        <f t="shared" si="138"/>
        <v>38920</v>
      </c>
      <c r="AJ53" s="222">
        <v>20000</v>
      </c>
      <c r="AK53" s="116"/>
      <c r="AL53" s="116">
        <v>0.75</v>
      </c>
      <c r="AM53" s="116">
        <v>0.25</v>
      </c>
      <c r="AN53" s="116">
        <v>0</v>
      </c>
      <c r="AO53" s="88" t="s">
        <v>390</v>
      </c>
      <c r="AP53" s="221">
        <v>7000</v>
      </c>
      <c r="AQ53" s="222">
        <v>0</v>
      </c>
      <c r="AR53" s="222">
        <f>172500*'NWPCC In Kind'!C32</f>
        <v>32775</v>
      </c>
      <c r="AS53" s="222">
        <f t="shared" si="139"/>
        <v>39775</v>
      </c>
      <c r="AT53" s="222">
        <v>35000</v>
      </c>
      <c r="AU53" s="116"/>
      <c r="AV53" s="116">
        <v>0.75</v>
      </c>
      <c r="AW53" s="116">
        <v>0.25</v>
      </c>
      <c r="AX53" s="116">
        <v>0</v>
      </c>
      <c r="AY53" s="88" t="s">
        <v>390</v>
      </c>
    </row>
    <row r="54" spans="1:51" x14ac:dyDescent="0.25">
      <c r="A54" s="86" t="s">
        <v>332</v>
      </c>
      <c r="B54" s="221">
        <v>0</v>
      </c>
      <c r="C54" s="222">
        <v>5000</v>
      </c>
      <c r="D54" s="222">
        <f>154500*'NWPCC In Kind'!C33</f>
        <v>15450</v>
      </c>
      <c r="E54" s="222">
        <f t="shared" si="135"/>
        <v>20450</v>
      </c>
      <c r="F54" s="222">
        <v>3200</v>
      </c>
      <c r="G54" s="87"/>
      <c r="H54" s="116">
        <v>0.75</v>
      </c>
      <c r="I54" s="116">
        <v>0.25</v>
      </c>
      <c r="J54" s="116">
        <v>0</v>
      </c>
      <c r="K54" s="88" t="s">
        <v>387</v>
      </c>
      <c r="L54" s="221">
        <v>0</v>
      </c>
      <c r="M54" s="222">
        <v>5000</v>
      </c>
      <c r="N54" s="222">
        <f>159000*'NWPCC In Kind'!C33</f>
        <v>15900</v>
      </c>
      <c r="O54" s="222">
        <f t="shared" si="136"/>
        <v>20900</v>
      </c>
      <c r="P54" s="222">
        <v>1000</v>
      </c>
      <c r="Q54" s="116"/>
      <c r="R54" s="116">
        <v>0.75</v>
      </c>
      <c r="S54" s="116">
        <v>0.25</v>
      </c>
      <c r="T54" s="116">
        <v>0</v>
      </c>
      <c r="U54" s="88" t="s">
        <v>387</v>
      </c>
      <c r="V54" s="221">
        <v>0</v>
      </c>
      <c r="W54" s="222">
        <v>5000</v>
      </c>
      <c r="X54" s="222">
        <f>163500*'NWPCC In Kind'!C33</f>
        <v>16350</v>
      </c>
      <c r="Y54" s="222">
        <f t="shared" si="137"/>
        <v>21350</v>
      </c>
      <c r="Z54" s="222">
        <v>5030</v>
      </c>
      <c r="AA54" s="116"/>
      <c r="AB54" s="116">
        <v>0.75</v>
      </c>
      <c r="AC54" s="116">
        <v>0.25</v>
      </c>
      <c r="AD54" s="116">
        <v>0</v>
      </c>
      <c r="AE54" s="88" t="s">
        <v>387</v>
      </c>
      <c r="AF54" s="221">
        <v>0</v>
      </c>
      <c r="AG54" s="222">
        <v>5000</v>
      </c>
      <c r="AH54" s="222">
        <f>168000*'NWPCC In Kind'!C33</f>
        <v>16800</v>
      </c>
      <c r="AI54" s="222">
        <f t="shared" si="138"/>
        <v>21800</v>
      </c>
      <c r="AJ54" s="222">
        <v>5030</v>
      </c>
      <c r="AK54" s="116"/>
      <c r="AL54" s="116">
        <v>0.75</v>
      </c>
      <c r="AM54" s="116">
        <v>0.25</v>
      </c>
      <c r="AN54" s="116">
        <v>0</v>
      </c>
      <c r="AO54" s="88" t="s">
        <v>387</v>
      </c>
      <c r="AP54" s="221">
        <v>0</v>
      </c>
      <c r="AQ54" s="222">
        <v>5000</v>
      </c>
      <c r="AR54" s="222">
        <f>172500*'NWPCC In Kind'!C33</f>
        <v>17250</v>
      </c>
      <c r="AS54" s="222">
        <f t="shared" si="139"/>
        <v>22250</v>
      </c>
      <c r="AT54" s="222">
        <v>5000</v>
      </c>
      <c r="AU54" s="116"/>
      <c r="AV54" s="116">
        <v>0.75</v>
      </c>
      <c r="AW54" s="116">
        <v>0.25</v>
      </c>
      <c r="AX54" s="116">
        <v>0</v>
      </c>
      <c r="AY54" s="88" t="s">
        <v>387</v>
      </c>
    </row>
    <row r="55" spans="1:51" x14ac:dyDescent="0.25">
      <c r="A55" s="86" t="s">
        <v>333</v>
      </c>
      <c r="B55" s="221">
        <v>0</v>
      </c>
      <c r="C55" s="222">
        <v>0</v>
      </c>
      <c r="D55" s="222">
        <f>154500*'NWPCC In Kind'!C34</f>
        <v>30900</v>
      </c>
      <c r="E55" s="222">
        <f t="shared" si="135"/>
        <v>30900</v>
      </c>
      <c r="F55" s="222">
        <v>10000</v>
      </c>
      <c r="G55" s="87"/>
      <c r="H55" s="116">
        <v>0.75</v>
      </c>
      <c r="I55" s="116">
        <v>0.25</v>
      </c>
      <c r="J55" s="116">
        <v>0</v>
      </c>
      <c r="K55" s="88" t="s">
        <v>388</v>
      </c>
      <c r="L55" s="221">
        <v>0</v>
      </c>
      <c r="M55" s="222">
        <v>0</v>
      </c>
      <c r="N55" s="222">
        <f>159000*'NWPCC In Kind'!C34</f>
        <v>31800</v>
      </c>
      <c r="O55" s="222">
        <f t="shared" si="136"/>
        <v>31800</v>
      </c>
      <c r="P55" s="222">
        <v>10000</v>
      </c>
      <c r="Q55" s="116"/>
      <c r="R55" s="116">
        <v>0.75</v>
      </c>
      <c r="S55" s="116">
        <v>0.25</v>
      </c>
      <c r="T55" s="116">
        <v>0</v>
      </c>
      <c r="U55" s="88" t="s">
        <v>388</v>
      </c>
      <c r="V55" s="221">
        <v>0</v>
      </c>
      <c r="W55" s="222">
        <v>0</v>
      </c>
      <c r="X55" s="222">
        <f>163500*'NWPCC In Kind'!C34</f>
        <v>32700</v>
      </c>
      <c r="Y55" s="222">
        <f t="shared" si="137"/>
        <v>32700</v>
      </c>
      <c r="Z55" s="222">
        <v>11000</v>
      </c>
      <c r="AA55" s="116"/>
      <c r="AB55" s="116">
        <v>0.75</v>
      </c>
      <c r="AC55" s="116">
        <v>0.25</v>
      </c>
      <c r="AD55" s="116">
        <v>0</v>
      </c>
      <c r="AE55" s="88" t="s">
        <v>388</v>
      </c>
      <c r="AF55" s="221">
        <v>0</v>
      </c>
      <c r="AG55" s="222">
        <v>0</v>
      </c>
      <c r="AH55" s="222">
        <f>168000*'NWPCC In Kind'!C34</f>
        <v>33600</v>
      </c>
      <c r="AI55" s="222">
        <f t="shared" si="138"/>
        <v>33600</v>
      </c>
      <c r="AJ55" s="222">
        <v>11000</v>
      </c>
      <c r="AK55" s="116"/>
      <c r="AL55" s="116">
        <v>0.75</v>
      </c>
      <c r="AM55" s="116">
        <v>0.25</v>
      </c>
      <c r="AN55" s="116">
        <v>0</v>
      </c>
      <c r="AO55" s="88" t="s">
        <v>388</v>
      </c>
      <c r="AP55" s="221">
        <v>0</v>
      </c>
      <c r="AQ55" s="222">
        <v>0</v>
      </c>
      <c r="AR55" s="222">
        <f>172500*'NWPCC In Kind'!C34</f>
        <v>34500</v>
      </c>
      <c r="AS55" s="222">
        <f t="shared" si="139"/>
        <v>34500</v>
      </c>
      <c r="AT55" s="222">
        <v>11000</v>
      </c>
      <c r="AU55" s="116"/>
      <c r="AV55" s="116">
        <v>0.75</v>
      </c>
      <c r="AW55" s="116">
        <v>0.25</v>
      </c>
      <c r="AX55" s="116">
        <v>0</v>
      </c>
      <c r="AY55" s="88" t="s">
        <v>388</v>
      </c>
    </row>
    <row r="56" spans="1:51" x14ac:dyDescent="0.25">
      <c r="A56" s="86" t="s">
        <v>385</v>
      </c>
      <c r="B56" s="221">
        <v>0</v>
      </c>
      <c r="C56" s="222">
        <v>0</v>
      </c>
      <c r="D56" s="222">
        <f>154500*'NWPCC In Kind'!C35</f>
        <v>1545</v>
      </c>
      <c r="E56" s="222">
        <f>SUM(B56:D56)</f>
        <v>1545</v>
      </c>
      <c r="F56" s="222">
        <v>9000</v>
      </c>
      <c r="G56" s="87"/>
      <c r="H56" s="116">
        <v>0.75</v>
      </c>
      <c r="I56" s="116">
        <v>0.25</v>
      </c>
      <c r="J56" s="116">
        <v>0</v>
      </c>
      <c r="K56" s="88" t="s">
        <v>391</v>
      </c>
      <c r="L56" s="221">
        <v>0</v>
      </c>
      <c r="M56" s="222">
        <v>0</v>
      </c>
      <c r="N56" s="222">
        <f>159000*'NWPCC In Kind'!C35</f>
        <v>1590</v>
      </c>
      <c r="O56" s="222">
        <f t="shared" si="136"/>
        <v>1590</v>
      </c>
      <c r="P56" s="222">
        <v>9000</v>
      </c>
      <c r="Q56" s="116"/>
      <c r="R56" s="116">
        <v>0.75</v>
      </c>
      <c r="S56" s="116">
        <v>0.25</v>
      </c>
      <c r="T56" s="116">
        <v>0</v>
      </c>
      <c r="U56" s="88" t="s">
        <v>391</v>
      </c>
      <c r="V56" s="221">
        <v>0</v>
      </c>
      <c r="W56" s="222">
        <v>0</v>
      </c>
      <c r="X56" s="222">
        <f>163500*'NWPCC In Kind'!C35</f>
        <v>1635</v>
      </c>
      <c r="Y56" s="222">
        <f t="shared" ref="Y56" si="140">SUM(V56:X56)</f>
        <v>1635</v>
      </c>
      <c r="Z56" s="222">
        <v>9000</v>
      </c>
      <c r="AA56" s="116"/>
      <c r="AB56" s="116">
        <v>0.75</v>
      </c>
      <c r="AC56" s="116">
        <v>0.25</v>
      </c>
      <c r="AD56" s="116">
        <v>0</v>
      </c>
      <c r="AE56" s="88" t="s">
        <v>391</v>
      </c>
      <c r="AF56" s="221">
        <v>0</v>
      </c>
      <c r="AG56" s="222">
        <v>0</v>
      </c>
      <c r="AH56" s="222">
        <f>168000*'NWPCC In Kind'!C35</f>
        <v>1680</v>
      </c>
      <c r="AI56" s="222">
        <f t="shared" ref="AI56" si="141">SUM(AF56:AH56)</f>
        <v>1680</v>
      </c>
      <c r="AJ56" s="222">
        <v>9000</v>
      </c>
      <c r="AK56" s="116"/>
      <c r="AL56" s="116">
        <v>0.75</v>
      </c>
      <c r="AM56" s="116">
        <v>0.25</v>
      </c>
      <c r="AN56" s="116">
        <v>0</v>
      </c>
      <c r="AO56" s="88" t="s">
        <v>391</v>
      </c>
      <c r="AP56" s="221">
        <v>0</v>
      </c>
      <c r="AQ56" s="222">
        <v>0</v>
      </c>
      <c r="AR56" s="222">
        <f>172500*'NWPCC In Kind'!C35</f>
        <v>1725</v>
      </c>
      <c r="AS56" s="222">
        <f t="shared" ref="AS56" si="142">SUM(AP56:AR56)</f>
        <v>1725</v>
      </c>
      <c r="AT56" s="222">
        <v>9000</v>
      </c>
      <c r="AU56" s="116"/>
      <c r="AV56" s="116">
        <v>0.75</v>
      </c>
      <c r="AW56" s="116">
        <v>0.25</v>
      </c>
      <c r="AX56" s="116">
        <v>0</v>
      </c>
      <c r="AY56" s="88" t="s">
        <v>391</v>
      </c>
    </row>
    <row r="57" spans="1:51" x14ac:dyDescent="0.25">
      <c r="A57" s="86" t="s">
        <v>226</v>
      </c>
      <c r="B57" s="221">
        <v>0</v>
      </c>
      <c r="C57" s="222">
        <v>0</v>
      </c>
      <c r="D57" s="222">
        <v>4000</v>
      </c>
      <c r="E57" s="222">
        <f>SUM(B57:D57)</f>
        <v>4000</v>
      </c>
      <c r="F57" s="222">
        <v>0</v>
      </c>
      <c r="G57" s="87"/>
      <c r="H57" s="116">
        <v>0.75</v>
      </c>
      <c r="I57" s="116">
        <v>0.25</v>
      </c>
      <c r="J57" s="116">
        <v>0</v>
      </c>
      <c r="K57" s="88" t="s">
        <v>389</v>
      </c>
      <c r="L57" s="221">
        <v>0</v>
      </c>
      <c r="M57" s="222">
        <v>0</v>
      </c>
      <c r="N57" s="222">
        <v>7000</v>
      </c>
      <c r="O57" s="222">
        <f t="shared" si="136"/>
        <v>7000</v>
      </c>
      <c r="P57" s="222">
        <v>0</v>
      </c>
      <c r="Q57" s="116"/>
      <c r="R57" s="116">
        <v>0.75</v>
      </c>
      <c r="S57" s="116">
        <v>0.25</v>
      </c>
      <c r="T57" s="116">
        <v>0</v>
      </c>
      <c r="U57" s="88" t="s">
        <v>389</v>
      </c>
      <c r="V57" s="221">
        <v>0</v>
      </c>
      <c r="W57" s="222">
        <v>0</v>
      </c>
      <c r="X57" s="222">
        <v>4000</v>
      </c>
      <c r="Y57" s="222">
        <f t="shared" si="137"/>
        <v>4000</v>
      </c>
      <c r="Z57" s="222">
        <v>0</v>
      </c>
      <c r="AA57" s="116"/>
      <c r="AB57" s="116">
        <v>0.75</v>
      </c>
      <c r="AC57" s="116">
        <v>0.25</v>
      </c>
      <c r="AD57" s="116">
        <v>0</v>
      </c>
      <c r="AE57" s="88" t="s">
        <v>389</v>
      </c>
      <c r="AF57" s="221">
        <v>0</v>
      </c>
      <c r="AG57" s="222">
        <v>0</v>
      </c>
      <c r="AH57" s="222">
        <v>7000</v>
      </c>
      <c r="AI57" s="222">
        <f t="shared" si="138"/>
        <v>7000</v>
      </c>
      <c r="AJ57" s="222">
        <v>0</v>
      </c>
      <c r="AK57" s="116"/>
      <c r="AL57" s="116">
        <v>0.75</v>
      </c>
      <c r="AM57" s="116">
        <v>0.25</v>
      </c>
      <c r="AN57" s="116">
        <v>0</v>
      </c>
      <c r="AO57" s="88" t="s">
        <v>389</v>
      </c>
      <c r="AP57" s="221">
        <v>0</v>
      </c>
      <c r="AQ57" s="222">
        <v>0</v>
      </c>
      <c r="AR57" s="222">
        <v>4000</v>
      </c>
      <c r="AS57" s="222">
        <f t="shared" si="139"/>
        <v>4000</v>
      </c>
      <c r="AT57" s="222">
        <v>0</v>
      </c>
      <c r="AU57" s="116"/>
      <c r="AV57" s="116">
        <v>0.75</v>
      </c>
      <c r="AW57" s="116">
        <v>0.25</v>
      </c>
      <c r="AX57" s="116">
        <v>0</v>
      </c>
      <c r="AY57" s="88" t="s">
        <v>389</v>
      </c>
    </row>
    <row r="58" spans="1:51" s="123" customFormat="1" ht="18.75" x14ac:dyDescent="0.3">
      <c r="A58" s="107" t="s">
        <v>353</v>
      </c>
      <c r="B58" s="223">
        <f>SUM(B7,B16,B23,B27,B31,B37,B41,B44,B47,B50)</f>
        <v>597400</v>
      </c>
      <c r="C58" s="224">
        <f t="shared" ref="C58:AU58" si="143">SUM(C7,C16,C23,C27,C31,C37,C41,C44,C47,C50)</f>
        <v>1280600</v>
      </c>
      <c r="D58" s="224">
        <f t="shared" si="143"/>
        <v>158500</v>
      </c>
      <c r="E58" s="224">
        <f t="shared" si="143"/>
        <v>2036500</v>
      </c>
      <c r="F58" s="224">
        <f t="shared" si="143"/>
        <v>176000</v>
      </c>
      <c r="G58" s="117">
        <f t="shared" si="143"/>
        <v>1</v>
      </c>
      <c r="H58" s="117"/>
      <c r="I58" s="117"/>
      <c r="J58" s="117"/>
      <c r="K58" s="108"/>
      <c r="L58" s="223">
        <f>SUM(L7,L16,L23,L27,L31,L37,L41,L44,L47,L50)</f>
        <v>545300</v>
      </c>
      <c r="M58" s="224">
        <f t="shared" si="143"/>
        <v>1376100</v>
      </c>
      <c r="N58" s="224">
        <f t="shared" si="143"/>
        <v>166000</v>
      </c>
      <c r="O58" s="224">
        <f t="shared" si="143"/>
        <v>2087400</v>
      </c>
      <c r="P58" s="224">
        <f t="shared" si="143"/>
        <v>180400</v>
      </c>
      <c r="Q58" s="117">
        <f t="shared" si="143"/>
        <v>0.99999999999999989</v>
      </c>
      <c r="R58" s="117"/>
      <c r="S58" s="117"/>
      <c r="T58" s="117"/>
      <c r="U58" s="108"/>
      <c r="V58" s="223">
        <f>SUM(V7,V16,V23,V27,V31,V37,V41,V44,V47,V50)</f>
        <v>721000</v>
      </c>
      <c r="W58" s="224">
        <f t="shared" si="143"/>
        <v>1251100</v>
      </c>
      <c r="X58" s="224">
        <f t="shared" si="143"/>
        <v>167500</v>
      </c>
      <c r="Y58" s="224">
        <f t="shared" si="143"/>
        <v>2139600</v>
      </c>
      <c r="Z58" s="224">
        <f t="shared" si="143"/>
        <v>184910</v>
      </c>
      <c r="AA58" s="117">
        <f>SUM(AA7,AA16,AA23,AA27,AA31,AA37,AA41,AA44,AA47,AA50)</f>
        <v>1</v>
      </c>
      <c r="AB58" s="117"/>
      <c r="AC58" s="117"/>
      <c r="AD58" s="117"/>
      <c r="AE58" s="108"/>
      <c r="AF58" s="225">
        <f>SUM(AF7,AF16,AF23,AF27,AF31,AF37,AF41,AF44,AF47,AF50)</f>
        <v>875900</v>
      </c>
      <c r="AG58" s="226">
        <f t="shared" si="143"/>
        <v>1142200</v>
      </c>
      <c r="AH58" s="226">
        <f t="shared" si="143"/>
        <v>175000</v>
      </c>
      <c r="AI58" s="226">
        <f t="shared" si="143"/>
        <v>2193100</v>
      </c>
      <c r="AJ58" s="226">
        <f t="shared" si="143"/>
        <v>189530</v>
      </c>
      <c r="AK58" s="117">
        <f t="shared" si="143"/>
        <v>1</v>
      </c>
      <c r="AL58" s="117"/>
      <c r="AM58" s="117"/>
      <c r="AN58" s="117"/>
      <c r="AO58" s="108"/>
      <c r="AP58" s="225">
        <f>SUM(AP7,AP16,AP23,AP27,AP31,AP37,AP41,AP44,AP47,AP50)</f>
        <v>715200</v>
      </c>
      <c r="AQ58" s="226">
        <f t="shared" si="143"/>
        <v>1356200</v>
      </c>
      <c r="AR58" s="226">
        <f t="shared" si="143"/>
        <v>176500</v>
      </c>
      <c r="AS58" s="226">
        <f t="shared" si="143"/>
        <v>2247900</v>
      </c>
      <c r="AT58" s="226">
        <f t="shared" si="143"/>
        <v>194270</v>
      </c>
      <c r="AU58" s="117">
        <f t="shared" si="143"/>
        <v>1</v>
      </c>
      <c r="AV58" s="117"/>
      <c r="AW58" s="117"/>
      <c r="AX58" s="117"/>
      <c r="AY58" s="108"/>
    </row>
    <row r="59" spans="1:51" x14ac:dyDescent="0.25">
      <c r="AF59" s="204"/>
      <c r="AG59" s="204"/>
      <c r="AH59" s="204"/>
      <c r="AI59" s="204"/>
      <c r="AJ59" s="204"/>
    </row>
    <row r="60" spans="1:51" hidden="1" x14ac:dyDescent="0.25">
      <c r="F60" s="129">
        <f>'NWPCC In Kind'!D2</f>
        <v>176000</v>
      </c>
      <c r="P60" s="203">
        <f>F60+(F60*0.025)</f>
        <v>180400</v>
      </c>
      <c r="Z60" s="205">
        <f>P60+(P60*0.025)</f>
        <v>184910</v>
      </c>
      <c r="AF60" s="204"/>
      <c r="AG60" s="204"/>
      <c r="AH60" s="204"/>
      <c r="AI60" s="204"/>
      <c r="AJ60" s="227">
        <f>ROUND(Z60+(Z60*0.025),-1)</f>
        <v>189530</v>
      </c>
      <c r="AT60" s="205">
        <f>ROUND(AJ60+(AJ60*0.025),-1)</f>
        <v>194270</v>
      </c>
    </row>
    <row r="61" spans="1:51" hidden="1" x14ac:dyDescent="0.25">
      <c r="A61" s="10" t="s">
        <v>375</v>
      </c>
      <c r="F61" s="130">
        <f>F60-F58</f>
        <v>0</v>
      </c>
      <c r="P61" s="203">
        <f>P60-P58</f>
        <v>0</v>
      </c>
      <c r="Z61" s="205">
        <f>Z60-Z58</f>
        <v>0</v>
      </c>
      <c r="AJ61" s="205">
        <f>AJ60-AJ58</f>
        <v>0</v>
      </c>
      <c r="AT61" s="205">
        <f>AT60-AT58</f>
        <v>0</v>
      </c>
    </row>
    <row r="62" spans="1:51" hidden="1" x14ac:dyDescent="0.25">
      <c r="A62" s="10" t="s">
        <v>394</v>
      </c>
      <c r="B62" s="124">
        <v>2.5000000000000001E-2</v>
      </c>
      <c r="K62" s="129">
        <f>ROUND(((A63*B62)+A63),-2)</f>
        <v>2036500</v>
      </c>
      <c r="U62" s="129">
        <f>ROUND(((K62*$B$62)+K62),-2)</f>
        <v>2087400</v>
      </c>
      <c r="AE62" s="129">
        <f>ROUND(((U62*$B$62)+U62),-2)</f>
        <v>2139600</v>
      </c>
      <c r="AO62" s="129">
        <f>ROUND(((AE62*$B$62)+AE62),-2)</f>
        <v>2193100</v>
      </c>
      <c r="AY62" s="129">
        <f>ROUND(((AO62*$B$62)+AO62),-2)</f>
        <v>2247900</v>
      </c>
    </row>
    <row r="63" spans="1:51" hidden="1" x14ac:dyDescent="0.25">
      <c r="A63" s="129">
        <v>1986800</v>
      </c>
      <c r="K63" s="130">
        <f>K62-K5</f>
        <v>0</v>
      </c>
      <c r="U63" s="130">
        <f>U62-U5</f>
        <v>0</v>
      </c>
      <c r="AE63" s="130">
        <f>AE62-AE5</f>
        <v>0</v>
      </c>
      <c r="AO63" s="130">
        <f>AO62-AO5</f>
        <v>0</v>
      </c>
      <c r="AY63" s="130">
        <f>AY62-AY5</f>
        <v>0</v>
      </c>
    </row>
    <row r="65" spans="1:5" x14ac:dyDescent="0.25">
      <c r="A65"/>
      <c r="B65"/>
      <c r="C65"/>
      <c r="D65"/>
    </row>
    <row r="66" spans="1:5" x14ac:dyDescent="0.25">
      <c r="A66"/>
      <c r="B66"/>
      <c r="C66"/>
      <c r="D66"/>
    </row>
    <row r="67" spans="1:5" x14ac:dyDescent="0.25">
      <c r="A67"/>
      <c r="B67"/>
      <c r="C67"/>
      <c r="D67"/>
    </row>
    <row r="68" spans="1:5" x14ac:dyDescent="0.25">
      <c r="A68"/>
      <c r="B68"/>
      <c r="C68"/>
      <c r="D68"/>
    </row>
    <row r="69" spans="1:5" x14ac:dyDescent="0.25">
      <c r="A69"/>
      <c r="B69"/>
      <c r="C69"/>
      <c r="D69"/>
      <c r="E69" s="130"/>
    </row>
    <row r="70" spans="1:5" x14ac:dyDescent="0.25">
      <c r="A70"/>
      <c r="B70"/>
      <c r="C70"/>
      <c r="D70"/>
    </row>
    <row r="71" spans="1:5" x14ac:dyDescent="0.25">
      <c r="A71"/>
      <c r="B71"/>
      <c r="C71"/>
      <c r="D71"/>
    </row>
    <row r="72" spans="1:5" x14ac:dyDescent="0.25">
      <c r="A72"/>
      <c r="B72"/>
      <c r="C72"/>
      <c r="D72"/>
    </row>
    <row r="73" spans="1:5" x14ac:dyDescent="0.25">
      <c r="A73"/>
      <c r="B73"/>
      <c r="C73"/>
      <c r="D73"/>
    </row>
    <row r="74" spans="1:5" x14ac:dyDescent="0.25">
      <c r="A74"/>
      <c r="B74"/>
      <c r="C74"/>
      <c r="D74"/>
    </row>
    <row r="75" spans="1:5" x14ac:dyDescent="0.25">
      <c r="A75"/>
      <c r="B75"/>
      <c r="C75"/>
      <c r="D75"/>
    </row>
    <row r="76" spans="1:5" x14ac:dyDescent="0.25">
      <c r="A76"/>
      <c r="B76"/>
      <c r="C76"/>
      <c r="D76"/>
    </row>
    <row r="77" spans="1:5" x14ac:dyDescent="0.25">
      <c r="A77"/>
      <c r="B77"/>
      <c r="C77"/>
      <c r="D77"/>
    </row>
    <row r="78" spans="1:5" x14ac:dyDescent="0.25">
      <c r="A78"/>
      <c r="B78"/>
      <c r="C78"/>
      <c r="D78"/>
    </row>
    <row r="79" spans="1:5" x14ac:dyDescent="0.25">
      <c r="A79"/>
      <c r="B79"/>
      <c r="C79"/>
      <c r="D79"/>
    </row>
    <row r="80" spans="1:5" x14ac:dyDescent="0.25">
      <c r="A80"/>
      <c r="B80"/>
      <c r="C80"/>
      <c r="D80"/>
    </row>
    <row r="81" spans="1:4" x14ac:dyDescent="0.25">
      <c r="A81"/>
      <c r="B81"/>
      <c r="C81"/>
      <c r="D81"/>
    </row>
    <row r="82" spans="1:4" x14ac:dyDescent="0.25">
      <c r="A82"/>
      <c r="B82"/>
      <c r="C82"/>
      <c r="D82"/>
    </row>
    <row r="83" spans="1:4" x14ac:dyDescent="0.25">
      <c r="A83"/>
      <c r="B83"/>
      <c r="C83"/>
      <c r="D83"/>
    </row>
    <row r="84" spans="1:4" x14ac:dyDescent="0.25">
      <c r="A84"/>
      <c r="B84"/>
      <c r="C84"/>
      <c r="D84"/>
    </row>
    <row r="85" spans="1:4" x14ac:dyDescent="0.25">
      <c r="A85"/>
      <c r="B85"/>
      <c r="C85"/>
      <c r="D85"/>
    </row>
    <row r="86" spans="1:4" x14ac:dyDescent="0.25">
      <c r="A86"/>
      <c r="B86"/>
      <c r="C86"/>
      <c r="D86"/>
    </row>
    <row r="87" spans="1:4" x14ac:dyDescent="0.25">
      <c r="A87"/>
      <c r="B87"/>
      <c r="C87"/>
      <c r="D87"/>
    </row>
    <row r="88" spans="1:4" x14ac:dyDescent="0.25">
      <c r="A88"/>
      <c r="B88"/>
      <c r="C88"/>
      <c r="D88"/>
    </row>
    <row r="89" spans="1:4" x14ac:dyDescent="0.25">
      <c r="A89"/>
      <c r="B89"/>
      <c r="C89"/>
      <c r="D89"/>
    </row>
    <row r="90" spans="1:4" x14ac:dyDescent="0.25">
      <c r="A90"/>
      <c r="B90"/>
      <c r="C90"/>
      <c r="D90"/>
    </row>
    <row r="91" spans="1:4" x14ac:dyDescent="0.25">
      <c r="A91"/>
      <c r="B91"/>
      <c r="C91"/>
      <c r="D91"/>
    </row>
    <row r="92" spans="1:4" x14ac:dyDescent="0.25">
      <c r="A92"/>
      <c r="B92"/>
      <c r="C92"/>
      <c r="D92"/>
    </row>
    <row r="93" spans="1:4" x14ac:dyDescent="0.25">
      <c r="A93"/>
      <c r="B93"/>
      <c r="C93"/>
      <c r="D93"/>
    </row>
    <row r="94" spans="1:4" x14ac:dyDescent="0.25">
      <c r="A94"/>
      <c r="B94"/>
      <c r="C94"/>
      <c r="D94"/>
    </row>
    <row r="95" spans="1:4" x14ac:dyDescent="0.25">
      <c r="A95"/>
      <c r="B95"/>
      <c r="C95"/>
      <c r="D95"/>
    </row>
    <row r="96" spans="1:4" x14ac:dyDescent="0.25">
      <c r="A96"/>
      <c r="B96"/>
      <c r="C96"/>
      <c r="D96"/>
    </row>
    <row r="97" spans="1:4" x14ac:dyDescent="0.25">
      <c r="A97"/>
      <c r="B97"/>
      <c r="C97"/>
      <c r="D97"/>
    </row>
    <row r="98" spans="1:4" x14ac:dyDescent="0.25">
      <c r="A98"/>
      <c r="B98"/>
      <c r="C98"/>
      <c r="D98"/>
    </row>
    <row r="99" spans="1:4" x14ac:dyDescent="0.25">
      <c r="A99"/>
      <c r="B99"/>
      <c r="C99"/>
      <c r="D99"/>
    </row>
    <row r="100" spans="1:4" x14ac:dyDescent="0.25">
      <c r="A100"/>
      <c r="B100"/>
      <c r="C100"/>
      <c r="D100"/>
    </row>
    <row r="101" spans="1:4" x14ac:dyDescent="0.25">
      <c r="A101"/>
      <c r="B101"/>
      <c r="C101"/>
      <c r="D101"/>
    </row>
    <row r="102" spans="1:4" x14ac:dyDescent="0.25">
      <c r="A102"/>
      <c r="B102"/>
      <c r="C102"/>
      <c r="D102"/>
    </row>
    <row r="103" spans="1:4" x14ac:dyDescent="0.25">
      <c r="A103"/>
      <c r="B103"/>
      <c r="C103"/>
      <c r="D103"/>
    </row>
    <row r="104" spans="1:4" x14ac:dyDescent="0.25">
      <c r="A104"/>
      <c r="B104"/>
      <c r="C104"/>
      <c r="D104"/>
    </row>
    <row r="105" spans="1:4" x14ac:dyDescent="0.25">
      <c r="A105"/>
      <c r="B105"/>
      <c r="C105"/>
      <c r="D105"/>
    </row>
    <row r="106" spans="1:4" x14ac:dyDescent="0.25">
      <c r="A106"/>
      <c r="B106"/>
      <c r="C106"/>
      <c r="D106"/>
    </row>
    <row r="107" spans="1:4" x14ac:dyDescent="0.25">
      <c r="A107"/>
      <c r="B107"/>
      <c r="C107"/>
      <c r="D107"/>
    </row>
    <row r="108" spans="1:4" x14ac:dyDescent="0.25">
      <c r="A108"/>
      <c r="B108"/>
      <c r="C108"/>
      <c r="D108"/>
    </row>
    <row r="109" spans="1:4" x14ac:dyDescent="0.25">
      <c r="A109"/>
      <c r="B109"/>
      <c r="C109"/>
      <c r="D109"/>
    </row>
    <row r="110" spans="1:4" x14ac:dyDescent="0.25">
      <c r="A110"/>
      <c r="B110"/>
      <c r="C110"/>
      <c r="D110"/>
    </row>
    <row r="111" spans="1:4" x14ac:dyDescent="0.25">
      <c r="A111"/>
      <c r="B111"/>
      <c r="C111"/>
      <c r="D111"/>
    </row>
    <row r="112" spans="1:4" x14ac:dyDescent="0.25">
      <c r="A112"/>
      <c r="B112"/>
      <c r="C112"/>
      <c r="D112"/>
    </row>
    <row r="113" spans="1:4" x14ac:dyDescent="0.25">
      <c r="A113"/>
      <c r="B113"/>
      <c r="C113"/>
      <c r="D113"/>
    </row>
    <row r="114" spans="1:4" x14ac:dyDescent="0.25">
      <c r="A114"/>
      <c r="B114"/>
      <c r="C114"/>
      <c r="D114"/>
    </row>
    <row r="115" spans="1:4" x14ac:dyDescent="0.25">
      <c r="A115"/>
      <c r="B115"/>
      <c r="C115"/>
      <c r="D115"/>
    </row>
    <row r="116" spans="1:4" x14ac:dyDescent="0.25">
      <c r="A116"/>
      <c r="B116"/>
      <c r="C116"/>
      <c r="D116"/>
    </row>
    <row r="117" spans="1:4" x14ac:dyDescent="0.25">
      <c r="A117"/>
      <c r="B117"/>
      <c r="C117"/>
      <c r="D117"/>
    </row>
  </sheetData>
  <autoFilter ref="A6:AY6" xr:uid="{DFA20F45-5F8A-4C34-85C8-333A4E83DBF0}"/>
  <mergeCells count="5">
    <mergeCell ref="B5:J5"/>
    <mergeCell ref="L5:T5"/>
    <mergeCell ref="V5:AD5"/>
    <mergeCell ref="AF5:AN5"/>
    <mergeCell ref="AP5:AX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4074F-44DC-411C-81C7-9CF477D3EFBD}">
  <dimension ref="A1:Q176"/>
  <sheetViews>
    <sheetView workbookViewId="0">
      <selection activeCell="B139" sqref="B139"/>
    </sheetView>
  </sheetViews>
  <sheetFormatPr defaultRowHeight="15" x14ac:dyDescent="0.25"/>
  <cols>
    <col min="1" max="1" width="47.28515625" style="170" customWidth="1"/>
    <col min="2" max="2" width="13.28515625" style="170" customWidth="1"/>
    <col min="3" max="6" width="22.28515625" style="170" customWidth="1"/>
    <col min="7" max="8" width="22.28515625" style="170" bestFit="1" customWidth="1"/>
    <col min="9" max="9" width="27.42578125" style="170" bestFit="1" customWidth="1"/>
    <col min="10" max="10" width="11.85546875" style="170" hidden="1" customWidth="1"/>
    <col min="11" max="11" width="12.5703125" style="170" hidden="1" customWidth="1"/>
    <col min="12" max="12" width="11.85546875" style="170" hidden="1" customWidth="1"/>
    <col min="13" max="16" width="10.85546875" style="170" hidden="1" customWidth="1"/>
    <col min="17" max="17" width="0" style="170" hidden="1" customWidth="1"/>
    <col min="18" max="16384" width="9.140625" style="170"/>
  </cols>
  <sheetData>
    <row r="1" spans="1:17" ht="18.75" x14ac:dyDescent="0.3">
      <c r="A1" s="4" t="s">
        <v>529</v>
      </c>
    </row>
    <row r="2" spans="1:17" x14ac:dyDescent="0.25">
      <c r="A2" s="7" t="str">
        <f>'Table of Contents'!$B$2</f>
        <v>DRAFT Proposed 5-Year Funding Levels (2025-2029) for discussion at March 26, 2024 RTF Policy Advisory Committee Meeting</v>
      </c>
    </row>
    <row r="3" spans="1:17" x14ac:dyDescent="0.25">
      <c r="A3" s="170" t="s">
        <v>555</v>
      </c>
    </row>
    <row r="4" spans="1:17" x14ac:dyDescent="0.25">
      <c r="A4" s="333" t="s">
        <v>584</v>
      </c>
    </row>
    <row r="6" spans="1:17" s="257" customFormat="1" ht="19.5" thickBot="1" x14ac:dyDescent="0.35">
      <c r="C6" s="258">
        <v>2025</v>
      </c>
      <c r="D6" s="258">
        <v>2026</v>
      </c>
      <c r="E6" s="258">
        <v>2027</v>
      </c>
      <c r="F6" s="258">
        <v>2028</v>
      </c>
      <c r="G6" s="258">
        <v>2029</v>
      </c>
      <c r="H6" s="258" t="s">
        <v>528</v>
      </c>
      <c r="I6" s="258" t="s">
        <v>526</v>
      </c>
    </row>
    <row r="7" spans="1:17" s="257" customFormat="1" ht="18.75" x14ac:dyDescent="0.3">
      <c r="A7" s="368" t="s">
        <v>530</v>
      </c>
      <c r="B7" s="368"/>
      <c r="C7" s="259">
        <f>K16+K17+K18</f>
        <v>2036500</v>
      </c>
      <c r="D7" s="259">
        <f>L16+L17+L18</f>
        <v>2087400</v>
      </c>
      <c r="E7" s="259">
        <f>M16+M17+M18</f>
        <v>2139600</v>
      </c>
      <c r="F7" s="259">
        <f>N16+N17+N18</f>
        <v>2193100</v>
      </c>
      <c r="G7" s="259">
        <f>O16+O17+O18</f>
        <v>2247900</v>
      </c>
      <c r="H7" s="259">
        <f>SUM(C7:G7)</f>
        <v>10704500</v>
      </c>
      <c r="I7" s="260"/>
    </row>
    <row r="8" spans="1:17" s="257" customFormat="1" ht="18.75" x14ac:dyDescent="0.3">
      <c r="A8" s="367" t="s">
        <v>531</v>
      </c>
      <c r="B8" s="367"/>
      <c r="C8" s="261">
        <f>C38</f>
        <v>1526800</v>
      </c>
      <c r="D8" s="261">
        <f t="shared" ref="D8:G8" si="0">D38</f>
        <v>1564900</v>
      </c>
      <c r="E8" s="261">
        <f t="shared" si="0"/>
        <v>1604100</v>
      </c>
      <c r="F8" s="261">
        <f t="shared" si="0"/>
        <v>1644100</v>
      </c>
      <c r="G8" s="261">
        <f t="shared" si="0"/>
        <v>1685200</v>
      </c>
      <c r="H8" s="262">
        <f t="shared" ref="H8:H10" si="1">SUM(C8:G8)</f>
        <v>8025100</v>
      </c>
      <c r="I8" s="263">
        <f>H8/$H$7</f>
        <v>0.74969405390256438</v>
      </c>
    </row>
    <row r="9" spans="1:17" s="257" customFormat="1" ht="18.75" x14ac:dyDescent="0.3">
      <c r="A9" s="367" t="s">
        <v>532</v>
      </c>
      <c r="B9" s="367"/>
      <c r="C9" s="261">
        <f>C16</f>
        <v>386800</v>
      </c>
      <c r="D9" s="261">
        <f t="shared" ref="D9:G9" si="2">D16</f>
        <v>396500</v>
      </c>
      <c r="E9" s="261">
        <f t="shared" si="2"/>
        <v>406400</v>
      </c>
      <c r="F9" s="261">
        <f t="shared" si="2"/>
        <v>416600</v>
      </c>
      <c r="G9" s="261">
        <f t="shared" si="2"/>
        <v>427000</v>
      </c>
      <c r="H9" s="262">
        <f t="shared" si="1"/>
        <v>2033300</v>
      </c>
      <c r="I9" s="263">
        <f t="shared" ref="I9:I10" si="3">H9/$H$7</f>
        <v>0.18994815264608342</v>
      </c>
    </row>
    <row r="10" spans="1:17" s="257" customFormat="1" ht="19.5" thickBot="1" x14ac:dyDescent="0.35">
      <c r="A10" s="369" t="s">
        <v>533</v>
      </c>
      <c r="B10" s="369"/>
      <c r="C10" s="264">
        <f>C82</f>
        <v>122900</v>
      </c>
      <c r="D10" s="264">
        <f t="shared" ref="D10:G10" si="4">D82</f>
        <v>126000</v>
      </c>
      <c r="E10" s="264">
        <f t="shared" si="4"/>
        <v>129100</v>
      </c>
      <c r="F10" s="264">
        <f t="shared" si="4"/>
        <v>132400</v>
      </c>
      <c r="G10" s="264">
        <f t="shared" si="4"/>
        <v>135700</v>
      </c>
      <c r="H10" s="265">
        <f t="shared" si="1"/>
        <v>646100</v>
      </c>
      <c r="I10" s="266">
        <f t="shared" si="3"/>
        <v>6.0357793451352233E-2</v>
      </c>
    </row>
    <row r="11" spans="1:17" x14ac:dyDescent="0.25">
      <c r="C11" s="170">
        <v>0</v>
      </c>
      <c r="D11" s="170">
        <v>1</v>
      </c>
      <c r="E11" s="170">
        <v>2</v>
      </c>
      <c r="F11" s="170">
        <v>3</v>
      </c>
      <c r="G11" s="170">
        <v>4</v>
      </c>
    </row>
    <row r="13" spans="1:17" ht="16.5" thickBot="1" x14ac:dyDescent="0.3">
      <c r="A13" s="64" t="s">
        <v>464</v>
      </c>
    </row>
    <row r="14" spans="1:17" ht="15" customHeight="1" x14ac:dyDescent="0.25">
      <c r="A14" s="363" t="s">
        <v>465</v>
      </c>
      <c r="B14" s="363" t="s">
        <v>466</v>
      </c>
      <c r="C14" s="366" t="s">
        <v>467</v>
      </c>
      <c r="D14" s="366"/>
      <c r="E14" s="366"/>
      <c r="F14" s="366"/>
      <c r="G14" s="366"/>
      <c r="H14" s="366"/>
    </row>
    <row r="15" spans="1:17" x14ac:dyDescent="0.25">
      <c r="A15" s="364"/>
      <c r="B15" s="364"/>
      <c r="C15" s="187">
        <v>2025</v>
      </c>
      <c r="D15" s="187">
        <v>2026</v>
      </c>
      <c r="E15" s="187">
        <v>2027</v>
      </c>
      <c r="F15" s="187">
        <v>2028</v>
      </c>
      <c r="G15" s="187">
        <v>2029</v>
      </c>
      <c r="H15" s="187" t="s">
        <v>473</v>
      </c>
      <c r="K15" s="170">
        <v>2025</v>
      </c>
      <c r="L15" s="170">
        <v>2026</v>
      </c>
      <c r="M15" s="170">
        <v>2027</v>
      </c>
      <c r="N15" s="170">
        <v>2028</v>
      </c>
      <c r="O15" s="170">
        <v>2029</v>
      </c>
      <c r="P15" s="170" t="s">
        <v>473</v>
      </c>
      <c r="Q15" s="170" t="s">
        <v>526</v>
      </c>
    </row>
    <row r="16" spans="1:17" ht="15.75" thickBot="1" x14ac:dyDescent="0.3">
      <c r="A16" s="365"/>
      <c r="B16" s="365"/>
      <c r="C16" s="188">
        <f>ROUND(($C$7*(1+0.025)^C11)*$Q$17,-2)</f>
        <v>386800</v>
      </c>
      <c r="D16" s="188">
        <f>ROUND(($C$7*(1+0.025)^D11)*$Q$17,-2)</f>
        <v>396500</v>
      </c>
      <c r="E16" s="188">
        <f>ROUND(($C$7*(1+0.025)^E11)*$Q$17,-2)</f>
        <v>406400</v>
      </c>
      <c r="F16" s="188">
        <f>ROUND(($C$7*(1+0.025)^F11)*$Q$17,-2)</f>
        <v>416600</v>
      </c>
      <c r="G16" s="188">
        <f>ROUND(($C$7*(1+0.025)^G11)*$Q$17,-2)</f>
        <v>427000</v>
      </c>
      <c r="H16" s="188">
        <f>ROUND(SUM('2025-2029 Category Gas'!C24:G24),-2)</f>
        <v>2033300</v>
      </c>
      <c r="J16" s="172" t="s">
        <v>522</v>
      </c>
      <c r="K16" s="246">
        <f>'2025-2029 Category Electric'!F17</f>
        <v>1476425</v>
      </c>
      <c r="L16" s="247">
        <f>'2025-2029 Category Electric'!M17</f>
        <v>1581137.5</v>
      </c>
      <c r="M16" s="247">
        <f>'2025-2029 Category Electric'!T17</f>
        <v>1601600</v>
      </c>
      <c r="N16" s="247">
        <f>'2025-2029 Category Electric'!AA17</f>
        <v>1625700</v>
      </c>
      <c r="O16" s="247">
        <f>'2025-2029 Category Electric'!AH17</f>
        <v>1740250</v>
      </c>
      <c r="P16" s="247">
        <f>SUM(K16:O16)</f>
        <v>8025112.5</v>
      </c>
      <c r="Q16" s="171">
        <f>P16/SUM(P16:P18)</f>
        <v>0.74969522163576063</v>
      </c>
    </row>
    <row r="17" spans="1:17" x14ac:dyDescent="0.25">
      <c r="A17" s="185" t="s">
        <v>468</v>
      </c>
      <c r="B17" s="326">
        <v>0.33631463881409152</v>
      </c>
      <c r="C17" s="256">
        <f>ROUND($C$16*B17,-2)</f>
        <v>130100</v>
      </c>
      <c r="D17" s="186">
        <f>ROUND($D$16*B17,-2)</f>
        <v>133300</v>
      </c>
      <c r="E17" s="186">
        <f>ROUND($E$16*B17,-2)</f>
        <v>136700</v>
      </c>
      <c r="F17" s="186">
        <f>ROUND($F$16*B17,-2)</f>
        <v>140100</v>
      </c>
      <c r="G17" s="186">
        <f>ROUND($G$16*B17,-2)</f>
        <v>143600</v>
      </c>
      <c r="H17" s="186">
        <f>SUM(C17:G17)</f>
        <v>683800</v>
      </c>
      <c r="J17" s="170" t="s">
        <v>523</v>
      </c>
      <c r="K17" s="247">
        <f>'2025-2029 Category Gas'!F17</f>
        <v>416200</v>
      </c>
      <c r="L17" s="247">
        <f>'2025-2029 Category Gas'!M17</f>
        <v>369412.5</v>
      </c>
      <c r="M17" s="247">
        <f>'2025-2029 Category Gas'!T17</f>
        <v>414175</v>
      </c>
      <c r="N17" s="247">
        <f>'2025-2029 Category Gas'!AA17</f>
        <v>445925</v>
      </c>
      <c r="O17" s="247">
        <f>'2025-2029 Category Gas'!AH17</f>
        <v>387550</v>
      </c>
      <c r="P17" s="247">
        <f t="shared" ref="P17:P18" si="5">SUM(K17:O17)</f>
        <v>2033262.5</v>
      </c>
      <c r="Q17" s="171">
        <f>P17/SUM(P16:P18)</f>
        <v>0.18994464944649447</v>
      </c>
    </row>
    <row r="18" spans="1:17" x14ac:dyDescent="0.25">
      <c r="A18" s="175" t="s">
        <v>469</v>
      </c>
      <c r="B18" s="327">
        <v>0.42007555448016926</v>
      </c>
      <c r="C18" s="176">
        <f>ROUND($C$16*B18,-2)</f>
        <v>162500</v>
      </c>
      <c r="D18" s="176">
        <f>ROUND($D$16*B18,-2)</f>
        <v>166600</v>
      </c>
      <c r="E18" s="176">
        <f>ROUND($E$16*B18,-2)</f>
        <v>170700</v>
      </c>
      <c r="F18" s="176">
        <f>ROUND($F$16*B18,-2)</f>
        <v>175000</v>
      </c>
      <c r="G18" s="176">
        <f>ROUND($G$16*B18,-2)</f>
        <v>179400</v>
      </c>
      <c r="H18" s="176">
        <f t="shared" ref="H18:H21" si="6">SUM(C18:G18)</f>
        <v>854200</v>
      </c>
      <c r="J18" s="170" t="s">
        <v>524</v>
      </c>
      <c r="K18" s="247">
        <f>'2025-2029 Category DR'!F17</f>
        <v>143875</v>
      </c>
      <c r="L18" s="247">
        <f>'2025-2029 Category DR'!M17</f>
        <v>136850</v>
      </c>
      <c r="M18" s="247">
        <f>'2025-2029 Category DR'!T17</f>
        <v>123825</v>
      </c>
      <c r="N18" s="247">
        <f>'2025-2029 Category DR'!AA17</f>
        <v>121475</v>
      </c>
      <c r="O18" s="247">
        <f>'2025-2029 Category DR'!AH17</f>
        <v>120100</v>
      </c>
      <c r="P18" s="247">
        <f t="shared" si="5"/>
        <v>646125</v>
      </c>
      <c r="Q18" s="171">
        <f>P18/SUM(P16:P18)</f>
        <v>6.0360128917744872E-2</v>
      </c>
    </row>
    <row r="19" spans="1:17" x14ac:dyDescent="0.25">
      <c r="A19" s="175" t="s">
        <v>470</v>
      </c>
      <c r="B19" s="327">
        <v>0.12036481192261728</v>
      </c>
      <c r="C19" s="176">
        <f>ROUND($C$16*B19,-2)</f>
        <v>46600</v>
      </c>
      <c r="D19" s="176">
        <f>ROUND($D$16*B19,-2)</f>
        <v>47700</v>
      </c>
      <c r="E19" s="176">
        <f>ROUND($E$16*B19,-2)</f>
        <v>48900</v>
      </c>
      <c r="F19" s="176">
        <f>ROUND($F$16*B19,-2)</f>
        <v>50100</v>
      </c>
      <c r="G19" s="176">
        <f>ROUND($G$16*B19,-2)</f>
        <v>51400</v>
      </c>
      <c r="H19" s="176">
        <f t="shared" si="6"/>
        <v>244700</v>
      </c>
    </row>
    <row r="20" spans="1:17" x14ac:dyDescent="0.25">
      <c r="A20" s="175" t="s">
        <v>471</v>
      </c>
      <c r="B20" s="327">
        <v>9.2167288212489901E-2</v>
      </c>
      <c r="C20" s="254">
        <f>ROUND($C$16*B20,-2)-100</f>
        <v>35600</v>
      </c>
      <c r="D20" s="176">
        <f>ROUND($D$16*B20,-2)</f>
        <v>36500</v>
      </c>
      <c r="E20" s="176">
        <f>ROUND($E$16*B20,-2)</f>
        <v>37500</v>
      </c>
      <c r="F20" s="254">
        <f>ROUND($F$16*B20,-2)+100</f>
        <v>38500</v>
      </c>
      <c r="G20" s="254">
        <f>ROUND($G$16*B20,-2)-100</f>
        <v>39300</v>
      </c>
      <c r="H20" s="176">
        <f t="shared" si="6"/>
        <v>187400</v>
      </c>
    </row>
    <row r="21" spans="1:17" ht="15.75" thickBot="1" x14ac:dyDescent="0.3">
      <c r="A21" s="177" t="s">
        <v>472</v>
      </c>
      <c r="B21" s="328">
        <v>3.1077706570632004E-2</v>
      </c>
      <c r="C21" s="178">
        <f>ROUND($C$16*B21,-2)</f>
        <v>12000</v>
      </c>
      <c r="D21" s="255">
        <f>ROUND($D$16*B21,-2)+100</f>
        <v>12400</v>
      </c>
      <c r="E21" s="178">
        <f>ROUND($E$16*B21,-2)</f>
        <v>12600</v>
      </c>
      <c r="F21" s="178">
        <f>ROUND($F$16*B21,-2)</f>
        <v>12900</v>
      </c>
      <c r="G21" s="251">
        <f>ROUND($G$16*B21,-2)</f>
        <v>13300</v>
      </c>
      <c r="H21" s="178">
        <f t="shared" si="6"/>
        <v>63200</v>
      </c>
    </row>
    <row r="22" spans="1:17" ht="16.5" thickBot="1" x14ac:dyDescent="0.3">
      <c r="A22" s="190" t="s">
        <v>473</v>
      </c>
      <c r="B22" s="194">
        <f>SUM(B17:B21)</f>
        <v>0.99999999999999989</v>
      </c>
      <c r="C22" s="191">
        <f>SUM(C17:C21)</f>
        <v>386800</v>
      </c>
      <c r="D22" s="191">
        <f>SUM(D17:D21)</f>
        <v>396500</v>
      </c>
      <c r="E22" s="191">
        <f t="shared" ref="E22:G22" si="7">SUM(E17:E21)</f>
        <v>406400</v>
      </c>
      <c r="F22" s="191">
        <f t="shared" si="7"/>
        <v>416600</v>
      </c>
      <c r="G22" s="191">
        <f t="shared" si="7"/>
        <v>427000</v>
      </c>
      <c r="H22" s="191">
        <f>SUM(H17:H21)</f>
        <v>2033300</v>
      </c>
      <c r="K22" s="248"/>
    </row>
    <row r="23" spans="1:17" x14ac:dyDescent="0.25">
      <c r="D23" s="249"/>
      <c r="J23" s="244"/>
      <c r="K23" s="248"/>
      <c r="L23" s="171"/>
    </row>
    <row r="24" spans="1:17" ht="15.75" hidden="1" x14ac:dyDescent="0.25">
      <c r="A24" s="196" t="s">
        <v>474</v>
      </c>
      <c r="J24" s="170" t="s">
        <v>520</v>
      </c>
      <c r="K24" s="248">
        <f>SUM(K17:O17)</f>
        <v>2033262.5</v>
      </c>
      <c r="L24" s="171" t="e">
        <f>K24/K22</f>
        <v>#DIV/0!</v>
      </c>
    </row>
    <row r="25" spans="1:17" hidden="1" x14ac:dyDescent="0.25">
      <c r="A25" s="370" t="s">
        <v>465</v>
      </c>
      <c r="B25" s="370" t="s">
        <v>466</v>
      </c>
      <c r="C25" s="371" t="s">
        <v>467</v>
      </c>
      <c r="D25" s="371"/>
      <c r="E25" s="371"/>
      <c r="F25" s="371"/>
      <c r="G25" s="371"/>
      <c r="H25" s="371"/>
      <c r="J25" s="170" t="s">
        <v>521</v>
      </c>
      <c r="K25" s="248">
        <f>SUM(K18:O18)</f>
        <v>646125</v>
      </c>
      <c r="L25" s="171" t="e">
        <f>K25/K22</f>
        <v>#DIV/0!</v>
      </c>
    </row>
    <row r="26" spans="1:17" hidden="1" x14ac:dyDescent="0.25">
      <c r="A26" s="370"/>
      <c r="B26" s="370"/>
      <c r="C26" s="173">
        <v>2025</v>
      </c>
      <c r="D26" s="173">
        <v>2026</v>
      </c>
      <c r="E26" s="173">
        <v>2027</v>
      </c>
      <c r="F26" s="173">
        <v>2028</v>
      </c>
      <c r="G26" s="173">
        <v>2029</v>
      </c>
      <c r="H26" s="173" t="s">
        <v>473</v>
      </c>
    </row>
    <row r="27" spans="1:17" hidden="1" x14ac:dyDescent="0.25">
      <c r="A27" s="370"/>
      <c r="B27" s="370"/>
      <c r="C27" s="174">
        <f>'2025-2029 Category Gas'!F17</f>
        <v>416200</v>
      </c>
      <c r="D27" s="174">
        <f>'2025-2029 Category Gas'!M17</f>
        <v>369412.5</v>
      </c>
      <c r="E27" s="174">
        <f>'2025-2029 Category Gas'!T17</f>
        <v>414175</v>
      </c>
      <c r="F27" s="174">
        <f>'2025-2029 Category Gas'!AA17</f>
        <v>445925</v>
      </c>
      <c r="G27" s="174">
        <f>'2025-2029 Category Gas'!AH17</f>
        <v>387550</v>
      </c>
      <c r="H27" s="174">
        <f>SUM(C27:G27)</f>
        <v>2033262.5</v>
      </c>
    </row>
    <row r="28" spans="1:17" hidden="1" x14ac:dyDescent="0.25">
      <c r="A28" s="175" t="s">
        <v>468</v>
      </c>
      <c r="B28" s="326">
        <v>0.33631463881409152</v>
      </c>
      <c r="C28" s="176">
        <f>C27*$B$28</f>
        <v>139974.1526744249</v>
      </c>
      <c r="D28" s="176">
        <f t="shared" ref="D28:G28" si="8">D27*$B$28</f>
        <v>124238.83151091058</v>
      </c>
      <c r="E28" s="176">
        <f t="shared" si="8"/>
        <v>139293.11553082636</v>
      </c>
      <c r="F28" s="176">
        <f t="shared" si="8"/>
        <v>149971.10531317376</v>
      </c>
      <c r="G28" s="176">
        <f t="shared" si="8"/>
        <v>130338.73827240117</v>
      </c>
      <c r="H28" s="176">
        <f>SUM(C28:G28)</f>
        <v>683815.94330173673</v>
      </c>
    </row>
    <row r="29" spans="1:17" hidden="1" x14ac:dyDescent="0.25">
      <c r="A29" s="175" t="s">
        <v>469</v>
      </c>
      <c r="B29" s="327">
        <v>0.42007555448016926</v>
      </c>
      <c r="C29" s="176">
        <f>C27*$B$29</f>
        <v>174835.44577464645</v>
      </c>
      <c r="D29" s="176">
        <f t="shared" ref="D29:G29" si="9">D27*$B$29</f>
        <v>155181.16076940551</v>
      </c>
      <c r="E29" s="176">
        <f t="shared" si="9"/>
        <v>173984.79277682409</v>
      </c>
      <c r="F29" s="176">
        <f t="shared" si="9"/>
        <v>187322.19163156947</v>
      </c>
      <c r="G29" s="176">
        <f t="shared" si="9"/>
        <v>162800.28113878961</v>
      </c>
      <c r="H29" s="176">
        <f t="shared" ref="H29:H32" si="10">SUM(C29:G29)</f>
        <v>854123.87209123513</v>
      </c>
    </row>
    <row r="30" spans="1:17" hidden="1" x14ac:dyDescent="0.25">
      <c r="A30" s="175" t="s">
        <v>470</v>
      </c>
      <c r="B30" s="327">
        <v>0.12036481192261728</v>
      </c>
      <c r="C30" s="176">
        <f>C27*$B$30</f>
        <v>50095.834722193307</v>
      </c>
      <c r="D30" s="176">
        <f t="shared" ref="D30:G30" si="11">D27*$B$30</f>
        <v>44464.266084363851</v>
      </c>
      <c r="E30" s="176">
        <f t="shared" si="11"/>
        <v>49852.095978050012</v>
      </c>
      <c r="F30" s="176">
        <f t="shared" si="11"/>
        <v>53673.678756593108</v>
      </c>
      <c r="G30" s="176">
        <f t="shared" si="11"/>
        <v>46647.382860610327</v>
      </c>
      <c r="H30" s="176">
        <f t="shared" si="10"/>
        <v>244733.25840181063</v>
      </c>
    </row>
    <row r="31" spans="1:17" hidden="1" x14ac:dyDescent="0.25">
      <c r="A31" s="175" t="s">
        <v>471</v>
      </c>
      <c r="B31" s="327">
        <v>9.2167288212489901E-2</v>
      </c>
      <c r="C31" s="176">
        <f>C27*$B$31</f>
        <v>38360.025354038298</v>
      </c>
      <c r="D31" s="176">
        <f t="shared" ref="D31:G31" si="12">D27*$B$31</f>
        <v>34047.748356796423</v>
      </c>
      <c r="E31" s="176">
        <f t="shared" si="12"/>
        <v>38173.386595408003</v>
      </c>
      <c r="F31" s="176">
        <f t="shared" si="12"/>
        <v>41099.697996154558</v>
      </c>
      <c r="G31" s="176">
        <f t="shared" si="12"/>
        <v>35719.43254675046</v>
      </c>
      <c r="H31" s="176">
        <f t="shared" si="10"/>
        <v>187400.29084914777</v>
      </c>
    </row>
    <row r="32" spans="1:17" ht="15.75" hidden="1" thickBot="1" x14ac:dyDescent="0.3">
      <c r="A32" s="177" t="s">
        <v>472</v>
      </c>
      <c r="B32" s="328">
        <v>3.1077706570632004E-2</v>
      </c>
      <c r="C32" s="176">
        <f>C27*$B$32</f>
        <v>12934.54147469704</v>
      </c>
      <c r="D32" s="176">
        <f t="shared" ref="D32:G32" si="13">D27*$B$32</f>
        <v>11480.493278523594</v>
      </c>
      <c r="E32" s="176">
        <f t="shared" si="13"/>
        <v>12871.609118891511</v>
      </c>
      <c r="F32" s="176">
        <f t="shared" si="13"/>
        <v>13858.326302509076</v>
      </c>
      <c r="G32" s="176">
        <f t="shared" si="13"/>
        <v>12044.165181448432</v>
      </c>
      <c r="H32" s="178">
        <f t="shared" si="10"/>
        <v>63189.135356069659</v>
      </c>
    </row>
    <row r="33" spans="1:9" ht="15.75" hidden="1" thickBot="1" x14ac:dyDescent="0.3">
      <c r="A33" s="179" t="s">
        <v>473</v>
      </c>
      <c r="B33" s="329">
        <f>SUM(B28:B32)</f>
        <v>0.99999999999999989</v>
      </c>
      <c r="C33" s="180">
        <f>SUM(C28:C32)</f>
        <v>416200</v>
      </c>
      <c r="D33" s="180">
        <f t="shared" ref="D33" si="14">SUM(D28:D32)</f>
        <v>369412.49999999994</v>
      </c>
      <c r="E33" s="180">
        <f>SUM(E28:E32)</f>
        <v>414175.00000000006</v>
      </c>
      <c r="F33" s="180">
        <f t="shared" ref="F33" si="15">SUM(F28:F32)</f>
        <v>445924.99999999994</v>
      </c>
      <c r="G33" s="180">
        <f t="shared" ref="G33" si="16">SUM(G28:G32)</f>
        <v>387550</v>
      </c>
      <c r="H33" s="180">
        <f t="shared" ref="H33" si="17">SUM(H28:H32)</f>
        <v>2033262.5</v>
      </c>
    </row>
    <row r="34" spans="1:9" hidden="1" x14ac:dyDescent="0.25"/>
    <row r="35" spans="1:9" ht="16.5" thickBot="1" x14ac:dyDescent="0.3">
      <c r="A35" s="64" t="s">
        <v>490</v>
      </c>
    </row>
    <row r="36" spans="1:9" x14ac:dyDescent="0.25">
      <c r="A36" s="363" t="s">
        <v>465</v>
      </c>
      <c r="B36" s="363" t="s">
        <v>466</v>
      </c>
      <c r="C36" s="366" t="s">
        <v>467</v>
      </c>
      <c r="D36" s="366"/>
      <c r="E36" s="366"/>
      <c r="F36" s="366"/>
      <c r="G36" s="366"/>
      <c r="H36" s="366"/>
    </row>
    <row r="37" spans="1:9" x14ac:dyDescent="0.25">
      <c r="A37" s="364"/>
      <c r="B37" s="364"/>
      <c r="C37" s="187">
        <v>2025</v>
      </c>
      <c r="D37" s="187">
        <v>2026</v>
      </c>
      <c r="E37" s="187">
        <v>2027</v>
      </c>
      <c r="F37" s="187">
        <v>2028</v>
      </c>
      <c r="G37" s="187">
        <v>2029</v>
      </c>
      <c r="H37" s="187" t="s">
        <v>473</v>
      </c>
    </row>
    <row r="38" spans="1:9" ht="15.75" thickBot="1" x14ac:dyDescent="0.3">
      <c r="A38" s="365"/>
      <c r="B38" s="365"/>
      <c r="C38" s="188">
        <f>ROUND(($C$7*(1+0.025)^C11)*$Q$16,-2)</f>
        <v>1526800</v>
      </c>
      <c r="D38" s="188">
        <f>ROUND(($C$7*(1+0.025)^D11)*$Q$16,-2)</f>
        <v>1564900</v>
      </c>
      <c r="E38" s="188">
        <f>ROUND(($C$7*(1+0.025)^E11)*$Q$16,-2)+100</f>
        <v>1604100</v>
      </c>
      <c r="F38" s="188">
        <f>ROUND(($C$7*(1+0.025)^F11)*$Q$16,-2)</f>
        <v>1644100</v>
      </c>
      <c r="G38" s="188">
        <f>ROUND(($C$7*(1+0.025)^G11)*$Q$16,-2)-100</f>
        <v>1685200</v>
      </c>
      <c r="H38" s="188">
        <f>ROUND(SUM('2025-2029 Category Electric'!C24:G24),-2)</f>
        <v>8025100</v>
      </c>
    </row>
    <row r="39" spans="1:9" ht="15.75" x14ac:dyDescent="0.25">
      <c r="A39" s="197" t="s">
        <v>475</v>
      </c>
      <c r="B39" s="330">
        <v>0.3662013585450421</v>
      </c>
      <c r="C39" s="186">
        <f>ROUND($C$38*B39,-2)</f>
        <v>559100</v>
      </c>
      <c r="D39" s="186">
        <f>ROUND($D$38*B39,-2)</f>
        <v>573100</v>
      </c>
      <c r="E39" s="256">
        <f>ROUND($E$38*B39,-2)</f>
        <v>587400</v>
      </c>
      <c r="F39" s="253">
        <f>ROUND($F$38*B39,-2)-100</f>
        <v>602000</v>
      </c>
      <c r="G39" s="186">
        <f>ROUND($G$38*B39,-2)</f>
        <v>617100</v>
      </c>
      <c r="H39" s="186">
        <f>SUM(C39:G39)</f>
        <v>2938700</v>
      </c>
      <c r="I39" s="334"/>
    </row>
    <row r="40" spans="1:9" ht="15.75" x14ac:dyDescent="0.25">
      <c r="A40" s="198" t="s">
        <v>468</v>
      </c>
      <c r="B40" s="331">
        <v>0.20107497776574765</v>
      </c>
      <c r="C40" s="186">
        <f t="shared" ref="C40:C52" si="18">ROUND($C$38*B40,-2)</f>
        <v>307000</v>
      </c>
      <c r="D40" s="186">
        <f t="shared" ref="D40:D53" si="19">ROUND($D$38*B40,-2)</f>
        <v>314700</v>
      </c>
      <c r="E40" s="186">
        <f t="shared" ref="E40:E52" si="20">ROUND($E$38*B40,-2)</f>
        <v>322500</v>
      </c>
      <c r="F40" s="186">
        <f t="shared" ref="F40:F53" si="21">ROUND($F$38*B40,-2)</f>
        <v>330600</v>
      </c>
      <c r="G40" s="256">
        <f>ROUND($G$38*B40,-2)</f>
        <v>338900</v>
      </c>
      <c r="H40" s="186">
        <f t="shared" ref="H40:H53" si="22">SUM(C40:G40)</f>
        <v>1613700</v>
      </c>
      <c r="I40" s="334"/>
    </row>
    <row r="41" spans="1:9" ht="15.75" x14ac:dyDescent="0.25">
      <c r="A41" s="198" t="s">
        <v>469</v>
      </c>
      <c r="B41" s="331">
        <v>0.13934753747599346</v>
      </c>
      <c r="C41" s="186">
        <f t="shared" si="18"/>
        <v>212800</v>
      </c>
      <c r="D41" s="186">
        <f t="shared" si="19"/>
        <v>218100</v>
      </c>
      <c r="E41" s="186">
        <f t="shared" si="20"/>
        <v>223500</v>
      </c>
      <c r="F41" s="186">
        <f t="shared" si="21"/>
        <v>229100</v>
      </c>
      <c r="G41" s="186">
        <f t="shared" ref="G41:G53" si="23">ROUND($G$38*B41,-2)</f>
        <v>234800</v>
      </c>
      <c r="H41" s="186">
        <f t="shared" si="22"/>
        <v>1118300</v>
      </c>
      <c r="I41" s="334"/>
    </row>
    <row r="42" spans="1:9" ht="15.75" x14ac:dyDescent="0.25">
      <c r="A42" s="198" t="s">
        <v>476</v>
      </c>
      <c r="B42" s="331">
        <v>9.1940244641222954E-2</v>
      </c>
      <c r="C42" s="186">
        <f t="shared" si="18"/>
        <v>140400</v>
      </c>
      <c r="D42" s="186">
        <f t="shared" si="19"/>
        <v>143900</v>
      </c>
      <c r="E42" s="186">
        <f t="shared" si="20"/>
        <v>147500</v>
      </c>
      <c r="F42" s="186">
        <f t="shared" si="21"/>
        <v>151200</v>
      </c>
      <c r="G42" s="186">
        <f t="shared" si="23"/>
        <v>154900</v>
      </c>
      <c r="H42" s="186">
        <f t="shared" si="22"/>
        <v>737900</v>
      </c>
      <c r="I42" s="334"/>
    </row>
    <row r="43" spans="1:9" ht="15.75" x14ac:dyDescent="0.25">
      <c r="A43" s="198" t="s">
        <v>477</v>
      </c>
      <c r="B43" s="331">
        <v>5.626232550945439E-2</v>
      </c>
      <c r="C43" s="186">
        <f t="shared" si="18"/>
        <v>85900</v>
      </c>
      <c r="D43" s="186">
        <f t="shared" si="19"/>
        <v>88000</v>
      </c>
      <c r="E43" s="186">
        <f t="shared" si="20"/>
        <v>90300</v>
      </c>
      <c r="F43" s="186">
        <f t="shared" si="21"/>
        <v>92500</v>
      </c>
      <c r="G43" s="186">
        <f t="shared" si="23"/>
        <v>94800</v>
      </c>
      <c r="H43" s="186">
        <f t="shared" si="22"/>
        <v>451500</v>
      </c>
      <c r="I43" s="334"/>
    </row>
    <row r="44" spans="1:9" ht="15.75" x14ac:dyDescent="0.25">
      <c r="A44" s="198" t="s">
        <v>478</v>
      </c>
      <c r="B44" s="331">
        <v>2.5417939497054766E-2</v>
      </c>
      <c r="C44" s="186">
        <f t="shared" si="18"/>
        <v>38800</v>
      </c>
      <c r="D44" s="186">
        <f t="shared" si="19"/>
        <v>39800</v>
      </c>
      <c r="E44" s="186">
        <f t="shared" si="20"/>
        <v>40800</v>
      </c>
      <c r="F44" s="186">
        <f t="shared" si="21"/>
        <v>41800</v>
      </c>
      <c r="G44" s="186">
        <f t="shared" si="23"/>
        <v>42800</v>
      </c>
      <c r="H44" s="186">
        <f t="shared" si="22"/>
        <v>204000</v>
      </c>
      <c r="I44" s="334"/>
    </row>
    <row r="45" spans="1:9" ht="15.75" x14ac:dyDescent="0.25">
      <c r="A45" s="198" t="s">
        <v>479</v>
      </c>
      <c r="B45" s="331">
        <v>2.1680007218076124E-2</v>
      </c>
      <c r="C45" s="186">
        <f t="shared" si="18"/>
        <v>33100</v>
      </c>
      <c r="D45" s="186">
        <f t="shared" si="19"/>
        <v>33900</v>
      </c>
      <c r="E45" s="186">
        <f t="shared" si="20"/>
        <v>34800</v>
      </c>
      <c r="F45" s="186">
        <f t="shared" si="21"/>
        <v>35600</v>
      </c>
      <c r="G45" s="186">
        <f t="shared" si="23"/>
        <v>36500</v>
      </c>
      <c r="H45" s="186">
        <f t="shared" si="22"/>
        <v>173900</v>
      </c>
      <c r="I45" s="334"/>
    </row>
    <row r="46" spans="1:9" ht="15.75" x14ac:dyDescent="0.25">
      <c r="A46" s="199" t="s">
        <v>480</v>
      </c>
      <c r="B46" s="331">
        <v>2.075196885915729E-2</v>
      </c>
      <c r="C46" s="186">
        <f t="shared" si="18"/>
        <v>31700</v>
      </c>
      <c r="D46" s="186">
        <f t="shared" si="19"/>
        <v>32500</v>
      </c>
      <c r="E46" s="186">
        <f t="shared" si="20"/>
        <v>33300</v>
      </c>
      <c r="F46" s="186">
        <f t="shared" si="21"/>
        <v>34100</v>
      </c>
      <c r="G46" s="186">
        <f t="shared" si="23"/>
        <v>35000</v>
      </c>
      <c r="H46" s="186">
        <f t="shared" si="22"/>
        <v>166600</v>
      </c>
      <c r="I46" s="334"/>
    </row>
    <row r="47" spans="1:9" ht="15.75" x14ac:dyDescent="0.25">
      <c r="A47" s="198" t="s">
        <v>481</v>
      </c>
      <c r="B47" s="331">
        <v>3.4904553832669528E-2</v>
      </c>
      <c r="C47" s="186">
        <f t="shared" si="18"/>
        <v>53300</v>
      </c>
      <c r="D47" s="186">
        <f t="shared" si="19"/>
        <v>54600</v>
      </c>
      <c r="E47" s="186">
        <f t="shared" si="20"/>
        <v>56000</v>
      </c>
      <c r="F47" s="186">
        <f t="shared" si="21"/>
        <v>57400</v>
      </c>
      <c r="G47" s="253">
        <f>ROUND($G$38*B47,-2)+100</f>
        <v>58900</v>
      </c>
      <c r="H47" s="186">
        <f t="shared" si="22"/>
        <v>280200</v>
      </c>
      <c r="I47" s="334"/>
    </row>
    <row r="48" spans="1:9" ht="15.75" x14ac:dyDescent="0.25">
      <c r="A48" s="198" t="s">
        <v>482</v>
      </c>
      <c r="B48" s="331">
        <v>1.2476960158797675E-2</v>
      </c>
      <c r="C48" s="186">
        <f t="shared" si="18"/>
        <v>19000</v>
      </c>
      <c r="D48" s="186">
        <f t="shared" si="19"/>
        <v>19500</v>
      </c>
      <c r="E48" s="186">
        <f t="shared" si="20"/>
        <v>20000</v>
      </c>
      <c r="F48" s="186">
        <f t="shared" si="21"/>
        <v>20500</v>
      </c>
      <c r="G48" s="186">
        <f t="shared" si="23"/>
        <v>21000</v>
      </c>
      <c r="H48" s="186">
        <f t="shared" si="22"/>
        <v>100000</v>
      </c>
      <c r="I48" s="334"/>
    </row>
    <row r="49" spans="1:9" ht="15.75" x14ac:dyDescent="0.25">
      <c r="A49" s="198" t="s">
        <v>483</v>
      </c>
      <c r="B49" s="331">
        <v>9.4350566490081587E-3</v>
      </c>
      <c r="C49" s="186">
        <f t="shared" si="18"/>
        <v>14400</v>
      </c>
      <c r="D49" s="186">
        <f t="shared" si="19"/>
        <v>14800</v>
      </c>
      <c r="E49" s="186">
        <f t="shared" si="20"/>
        <v>15100</v>
      </c>
      <c r="F49" s="186">
        <f t="shared" si="21"/>
        <v>15500</v>
      </c>
      <c r="G49" s="186">
        <f t="shared" si="23"/>
        <v>15900</v>
      </c>
      <c r="H49" s="186">
        <f t="shared" si="22"/>
        <v>75700</v>
      </c>
      <c r="I49" s="334"/>
    </row>
    <row r="50" spans="1:9" ht="15.75" x14ac:dyDescent="0.25">
      <c r="A50" s="198" t="s">
        <v>484</v>
      </c>
      <c r="B50" s="331">
        <v>6.6251627289483517E-3</v>
      </c>
      <c r="C50" s="186">
        <f t="shared" si="18"/>
        <v>10100</v>
      </c>
      <c r="D50" s="186">
        <f t="shared" si="19"/>
        <v>10400</v>
      </c>
      <c r="E50" s="186">
        <f t="shared" si="20"/>
        <v>10600</v>
      </c>
      <c r="F50" s="186">
        <f t="shared" si="21"/>
        <v>10900</v>
      </c>
      <c r="G50" s="186">
        <f t="shared" si="23"/>
        <v>11200</v>
      </c>
      <c r="H50" s="186">
        <f t="shared" si="22"/>
        <v>53200</v>
      </c>
      <c r="I50" s="334"/>
    </row>
    <row r="51" spans="1:9" ht="15.75" x14ac:dyDescent="0.25">
      <c r="A51" s="198" t="s">
        <v>488</v>
      </c>
      <c r="B51" s="331">
        <v>2.126754572522331E-3</v>
      </c>
      <c r="C51" s="186">
        <f t="shared" si="18"/>
        <v>3200</v>
      </c>
      <c r="D51" s="186">
        <f t="shared" si="19"/>
        <v>3300</v>
      </c>
      <c r="E51" s="186">
        <f t="shared" si="20"/>
        <v>3400</v>
      </c>
      <c r="F51" s="186">
        <f t="shared" si="21"/>
        <v>3500</v>
      </c>
      <c r="G51" s="186">
        <f t="shared" si="23"/>
        <v>3600</v>
      </c>
      <c r="H51" s="186">
        <f t="shared" si="22"/>
        <v>17000</v>
      </c>
      <c r="I51" s="334"/>
    </row>
    <row r="52" spans="1:9" ht="15.75" x14ac:dyDescent="0.25">
      <c r="A52" s="198" t="s">
        <v>485</v>
      </c>
      <c r="B52" s="331">
        <v>9.8861864068159264E-3</v>
      </c>
      <c r="C52" s="186">
        <f t="shared" si="18"/>
        <v>15100</v>
      </c>
      <c r="D52" s="253">
        <f>ROUND($D$38*B52,-2)-100</f>
        <v>15400</v>
      </c>
      <c r="E52" s="256">
        <f t="shared" si="20"/>
        <v>15900</v>
      </c>
      <c r="F52" s="186">
        <f t="shared" si="21"/>
        <v>16300</v>
      </c>
      <c r="G52" s="186">
        <f t="shared" si="23"/>
        <v>16700</v>
      </c>
      <c r="H52" s="186">
        <f t="shared" si="22"/>
        <v>79400</v>
      </c>
      <c r="I52" s="334"/>
    </row>
    <row r="53" spans="1:9" ht="16.5" thickBot="1" x14ac:dyDescent="0.3">
      <c r="A53" s="200" t="s">
        <v>486</v>
      </c>
      <c r="B53" s="332">
        <v>1.868966139489321E-3</v>
      </c>
      <c r="C53" s="186">
        <f>ROUND($C$38*B53,-2)</f>
        <v>2900</v>
      </c>
      <c r="D53" s="256">
        <f t="shared" si="19"/>
        <v>2900</v>
      </c>
      <c r="E53" s="256">
        <f>ROUND($E$38*B53,-2)</f>
        <v>3000</v>
      </c>
      <c r="F53" s="186">
        <f t="shared" si="21"/>
        <v>3100</v>
      </c>
      <c r="G53" s="186">
        <f t="shared" si="23"/>
        <v>3100</v>
      </c>
      <c r="H53" s="193">
        <f t="shared" si="22"/>
        <v>15000</v>
      </c>
      <c r="I53" s="334"/>
    </row>
    <row r="54" spans="1:9" ht="16.5" thickBot="1" x14ac:dyDescent="0.3">
      <c r="A54" s="190" t="s">
        <v>473</v>
      </c>
      <c r="B54" s="194">
        <f>SUM(B39:B53)</f>
        <v>1</v>
      </c>
      <c r="C54" s="195">
        <f>SUM(C39:C53)</f>
        <v>1526800</v>
      </c>
      <c r="D54" s="195">
        <f t="shared" ref="D54:H54" si="24">SUM(D39:D53)</f>
        <v>1564900</v>
      </c>
      <c r="E54" s="195">
        <f t="shared" si="24"/>
        <v>1604100</v>
      </c>
      <c r="F54" s="195">
        <f t="shared" si="24"/>
        <v>1644100</v>
      </c>
      <c r="G54" s="195">
        <f>SUM(G39:G53)</f>
        <v>1685200</v>
      </c>
      <c r="H54" s="195">
        <f t="shared" si="24"/>
        <v>8025100</v>
      </c>
    </row>
    <row r="55" spans="1:9" x14ac:dyDescent="0.25">
      <c r="A55" s="184" t="s">
        <v>487</v>
      </c>
      <c r="D55" s="247"/>
    </row>
    <row r="56" spans="1:9" hidden="1" x14ac:dyDescent="0.25"/>
    <row r="57" spans="1:9" ht="16.5" hidden="1" thickBot="1" x14ac:dyDescent="0.3">
      <c r="A57" s="196" t="s">
        <v>491</v>
      </c>
    </row>
    <row r="58" spans="1:9" hidden="1" x14ac:dyDescent="0.25">
      <c r="A58" s="363" t="s">
        <v>465</v>
      </c>
      <c r="B58" s="363" t="s">
        <v>466</v>
      </c>
      <c r="C58" s="366" t="s">
        <v>467</v>
      </c>
      <c r="D58" s="366"/>
      <c r="E58" s="366"/>
      <c r="F58" s="366"/>
      <c r="G58" s="366"/>
      <c r="H58" s="366"/>
    </row>
    <row r="59" spans="1:9" hidden="1" x14ac:dyDescent="0.25">
      <c r="A59" s="364"/>
      <c r="B59" s="364"/>
      <c r="C59" s="187">
        <v>2025</v>
      </c>
      <c r="D59" s="187">
        <v>2026</v>
      </c>
      <c r="E59" s="187">
        <v>2027</v>
      </c>
      <c r="F59" s="187">
        <v>2028</v>
      </c>
      <c r="G59" s="187">
        <v>2029</v>
      </c>
      <c r="H59" s="187" t="s">
        <v>473</v>
      </c>
    </row>
    <row r="60" spans="1:9" ht="15.75" hidden="1" thickBot="1" x14ac:dyDescent="0.3">
      <c r="A60" s="365"/>
      <c r="B60" s="365"/>
      <c r="C60" s="188">
        <f>'2025-2029 Category Electric'!F17</f>
        <v>1476425</v>
      </c>
      <c r="D60" s="188">
        <f>'2025-2029 Category Electric'!M17</f>
        <v>1581137.5</v>
      </c>
      <c r="E60" s="188">
        <f>'2025-2029 Category Electric'!T17</f>
        <v>1601600</v>
      </c>
      <c r="F60" s="188">
        <f>'2025-2029 Category Electric'!AA17</f>
        <v>1625700</v>
      </c>
      <c r="G60" s="188">
        <f>'2025-2029 Category Electric'!AH17</f>
        <v>1740250</v>
      </c>
      <c r="H60" s="188">
        <f>SUM(C60:G60)</f>
        <v>8025112.5</v>
      </c>
    </row>
    <row r="61" spans="1:9" ht="15.75" hidden="1" x14ac:dyDescent="0.25">
      <c r="A61" s="182" t="s">
        <v>475</v>
      </c>
      <c r="B61" s="330">
        <v>0.35899149733671354</v>
      </c>
      <c r="C61" s="186">
        <f>$C$60*B61</f>
        <v>530024.02145535732</v>
      </c>
      <c r="D61" s="186">
        <f>$D$60*B61</f>
        <v>567614.91862022795</v>
      </c>
      <c r="E61" s="186">
        <f>$E$60*B61</f>
        <v>574960.78213448043</v>
      </c>
      <c r="F61" s="186">
        <f>$F$60*B61</f>
        <v>583612.47722029523</v>
      </c>
      <c r="G61" s="186">
        <f>$G$60*B61</f>
        <v>624734.95324021578</v>
      </c>
      <c r="H61" s="186">
        <f>SUM(C61:G61)</f>
        <v>2880947.1526705762</v>
      </c>
    </row>
    <row r="62" spans="1:9" ht="15.75" hidden="1" x14ac:dyDescent="0.25">
      <c r="A62" s="182" t="s">
        <v>468</v>
      </c>
      <c r="B62" s="331">
        <v>0.19711228570204631</v>
      </c>
      <c r="C62" s="186">
        <f t="shared" ref="C62:C75" si="25">$C$60*B62</f>
        <v>291021.50641764374</v>
      </c>
      <c r="D62" s="186">
        <f t="shared" ref="D62:D75" si="26">$D$60*B62</f>
        <v>311661.62663421925</v>
      </c>
      <c r="E62" s="186">
        <f t="shared" ref="E62:E75" si="27">$E$60*B62</f>
        <v>315695.03678039735</v>
      </c>
      <c r="F62" s="186">
        <f t="shared" ref="F62:F75" si="28">$F$60*B62</f>
        <v>320445.4428658167</v>
      </c>
      <c r="G62" s="186">
        <f t="shared" ref="G62:G75" si="29">$G$60*B62</f>
        <v>343024.65519298607</v>
      </c>
      <c r="H62" s="186">
        <f t="shared" ref="H62:H75" si="30">SUM(C62:G62)</f>
        <v>1581848.2678910631</v>
      </c>
    </row>
    <row r="63" spans="1:9" ht="15.75" hidden="1" x14ac:dyDescent="0.25">
      <c r="A63" s="182" t="s">
        <v>469</v>
      </c>
      <c r="B63" s="331">
        <v>0.13662523872570415</v>
      </c>
      <c r="C63" s="186">
        <f t="shared" si="25"/>
        <v>201716.91808559775</v>
      </c>
      <c r="D63" s="186">
        <f t="shared" si="26"/>
        <v>216023.28839566302</v>
      </c>
      <c r="E63" s="186">
        <f t="shared" si="27"/>
        <v>218818.98234308776</v>
      </c>
      <c r="F63" s="186">
        <f t="shared" si="28"/>
        <v>222111.65059637724</v>
      </c>
      <c r="G63" s="186">
        <f t="shared" si="29"/>
        <v>237762.07169240664</v>
      </c>
      <c r="H63" s="186">
        <f t="shared" si="30"/>
        <v>1096432.9111131323</v>
      </c>
    </row>
    <row r="64" spans="1:9" ht="15.75" hidden="1" x14ac:dyDescent="0.25">
      <c r="A64" s="182" t="s">
        <v>476</v>
      </c>
      <c r="B64" s="331">
        <v>9.013519805849346E-2</v>
      </c>
      <c r="C64" s="186">
        <f t="shared" si="25"/>
        <v>133077.85979351122</v>
      </c>
      <c r="D64" s="186">
        <f t="shared" si="26"/>
        <v>142516.14172021119</v>
      </c>
      <c r="E64" s="186">
        <f t="shared" si="27"/>
        <v>144360.53321048312</v>
      </c>
      <c r="F64" s="186">
        <f t="shared" si="28"/>
        <v>146532.79148369282</v>
      </c>
      <c r="G64" s="186">
        <f t="shared" si="29"/>
        <v>156857.77842129325</v>
      </c>
      <c r="H64" s="186">
        <f t="shared" si="30"/>
        <v>723345.10462919157</v>
      </c>
    </row>
    <row r="65" spans="1:8" ht="15.75" hidden="1" x14ac:dyDescent="0.25">
      <c r="A65" s="182" t="s">
        <v>477</v>
      </c>
      <c r="B65" s="331">
        <v>5.5165798783344683E-2</v>
      </c>
      <c r="C65" s="186">
        <f t="shared" si="25"/>
        <v>81448.164468699673</v>
      </c>
      <c r="D65" s="186">
        <f t="shared" si="26"/>
        <v>87224.713173800657</v>
      </c>
      <c r="E65" s="186">
        <f t="shared" si="27"/>
        <v>88353.543331404842</v>
      </c>
      <c r="F65" s="186">
        <f t="shared" si="28"/>
        <v>89683.039082083444</v>
      </c>
      <c r="G65" s="186">
        <f t="shared" si="29"/>
        <v>96002.281332715589</v>
      </c>
      <c r="H65" s="186">
        <f t="shared" si="30"/>
        <v>442711.74138870422</v>
      </c>
    </row>
    <row r="66" spans="1:8" ht="15.75" hidden="1" x14ac:dyDescent="0.25">
      <c r="A66" s="182" t="s">
        <v>478</v>
      </c>
      <c r="B66" s="331">
        <v>2.4924529827047504E-2</v>
      </c>
      <c r="C66" s="186">
        <f t="shared" si="25"/>
        <v>36799.198949898615</v>
      </c>
      <c r="D66" s="186">
        <f t="shared" si="26"/>
        <v>39409.10877941332</v>
      </c>
      <c r="E66" s="186">
        <f t="shared" si="27"/>
        <v>39919.126970999285</v>
      </c>
      <c r="F66" s="186">
        <f t="shared" si="28"/>
        <v>40519.808139831126</v>
      </c>
      <c r="G66" s="186">
        <f t="shared" si="29"/>
        <v>43374.91303151942</v>
      </c>
      <c r="H66" s="186">
        <f t="shared" si="30"/>
        <v>200022.15587166176</v>
      </c>
    </row>
    <row r="67" spans="1:8" ht="15.75" hidden="1" x14ac:dyDescent="0.25">
      <c r="A67" s="182" t="s">
        <v>479</v>
      </c>
      <c r="B67" s="331">
        <v>2.1246246944047836E-2</v>
      </c>
      <c r="C67" s="186">
        <f t="shared" si="25"/>
        <v>31368.490144365827</v>
      </c>
      <c r="D67" s="186">
        <f t="shared" si="26"/>
        <v>33593.237777494433</v>
      </c>
      <c r="E67" s="186">
        <f t="shared" si="27"/>
        <v>34027.989105587018</v>
      </c>
      <c r="F67" s="186">
        <f t="shared" si="28"/>
        <v>34540.023656938567</v>
      </c>
      <c r="G67" s="186">
        <f t="shared" si="29"/>
        <v>36973.78124437925</v>
      </c>
      <c r="H67" s="186">
        <f t="shared" si="30"/>
        <v>170503.52192876511</v>
      </c>
    </row>
    <row r="68" spans="1:8" ht="15.75" hidden="1" x14ac:dyDescent="0.25">
      <c r="A68" s="183" t="s">
        <v>480</v>
      </c>
      <c r="B68" s="331">
        <v>3.9943197142977116E-2</v>
      </c>
      <c r="C68" s="186">
        <f t="shared" si="25"/>
        <v>58973.134841819985</v>
      </c>
      <c r="D68" s="186">
        <f t="shared" si="26"/>
        <v>63155.686872653983</v>
      </c>
      <c r="E68" s="186">
        <f t="shared" si="27"/>
        <v>63973.024544192151</v>
      </c>
      <c r="F68" s="186">
        <f t="shared" si="28"/>
        <v>64935.655595337899</v>
      </c>
      <c r="G68" s="186">
        <f t="shared" si="29"/>
        <v>69511.148828065925</v>
      </c>
      <c r="H68" s="186">
        <f t="shared" si="30"/>
        <v>320548.65068206994</v>
      </c>
    </row>
    <row r="69" spans="1:8" ht="15.75" hidden="1" x14ac:dyDescent="0.25">
      <c r="A69" s="182" t="s">
        <v>481</v>
      </c>
      <c r="B69" s="331">
        <v>3.4239396386116096E-2</v>
      </c>
      <c r="C69" s="186">
        <f t="shared" si="25"/>
        <v>50551.900809371458</v>
      </c>
      <c r="D69" s="186">
        <f t="shared" si="26"/>
        <v>54137.193603452637</v>
      </c>
      <c r="E69" s="186">
        <f t="shared" si="27"/>
        <v>54837.817252003537</v>
      </c>
      <c r="F69" s="186">
        <f t="shared" si="28"/>
        <v>55662.986704908937</v>
      </c>
      <c r="G69" s="186">
        <f t="shared" si="29"/>
        <v>59585.109560938537</v>
      </c>
      <c r="H69" s="186">
        <f t="shared" si="30"/>
        <v>274775.00793067511</v>
      </c>
    </row>
    <row r="70" spans="1:8" ht="15.75" hidden="1" x14ac:dyDescent="0.25">
      <c r="A70" s="182" t="s">
        <v>482</v>
      </c>
      <c r="B70" s="331">
        <v>1.224220499668215E-2</v>
      </c>
      <c r="C70" s="186">
        <f t="shared" si="25"/>
        <v>18074.697512226441</v>
      </c>
      <c r="D70" s="186">
        <f t="shared" si="26"/>
        <v>19356.609402941522</v>
      </c>
      <c r="E70" s="186">
        <f t="shared" si="27"/>
        <v>19607.11552268613</v>
      </c>
      <c r="F70" s="186">
        <f t="shared" si="28"/>
        <v>19902.152663106172</v>
      </c>
      <c r="G70" s="186">
        <f t="shared" si="29"/>
        <v>21304.497245476112</v>
      </c>
      <c r="H70" s="186">
        <f t="shared" si="30"/>
        <v>98245.072346436384</v>
      </c>
    </row>
    <row r="71" spans="1:8" ht="15.75" hidden="1" x14ac:dyDescent="0.25">
      <c r="A71" s="182" t="s">
        <v>483</v>
      </c>
      <c r="B71" s="331">
        <v>9.2527936060338035E-3</v>
      </c>
      <c r="C71" s="186">
        <f t="shared" si="25"/>
        <v>13661.055799788459</v>
      </c>
      <c r="D71" s="186">
        <f t="shared" si="26"/>
        <v>14629.938950260273</v>
      </c>
      <c r="E71" s="186">
        <f t="shared" si="27"/>
        <v>14819.274239423739</v>
      </c>
      <c r="F71" s="186">
        <f t="shared" si="28"/>
        <v>15042.266565329155</v>
      </c>
      <c r="G71" s="186">
        <f t="shared" si="29"/>
        <v>16102.174072900327</v>
      </c>
      <c r="H71" s="186">
        <f t="shared" si="30"/>
        <v>74254.709627701959</v>
      </c>
    </row>
    <row r="72" spans="1:8" ht="15.75" hidden="1" x14ac:dyDescent="0.25">
      <c r="A72" s="182" t="s">
        <v>484</v>
      </c>
      <c r="B72" s="331">
        <v>6.4978549072425684E-3</v>
      </c>
      <c r="C72" s="186">
        <f t="shared" si="25"/>
        <v>9593.5954314256087</v>
      </c>
      <c r="D72" s="186">
        <f t="shared" si="26"/>
        <v>10274.002063400247</v>
      </c>
      <c r="E72" s="186">
        <f t="shared" si="27"/>
        <v>10406.964419439697</v>
      </c>
      <c r="F72" s="186">
        <f t="shared" si="28"/>
        <v>10563.562722704244</v>
      </c>
      <c r="G72" s="186">
        <f t="shared" si="29"/>
        <v>11307.892002328879</v>
      </c>
      <c r="H72" s="186">
        <f t="shared" si="30"/>
        <v>52146.016639298679</v>
      </c>
    </row>
    <row r="73" spans="1:8" ht="15.75" hidden="1" x14ac:dyDescent="0.25">
      <c r="A73" s="182" t="s">
        <v>488</v>
      </c>
      <c r="B73" s="331">
        <v>2.0883323536661485E-3</v>
      </c>
      <c r="C73" s="186">
        <f t="shared" si="25"/>
        <v>3083.2660952615433</v>
      </c>
      <c r="D73" s="186">
        <f t="shared" si="26"/>
        <v>3301.94059684481</v>
      </c>
      <c r="E73" s="186">
        <f t="shared" si="27"/>
        <v>3344.6730976317035</v>
      </c>
      <c r="F73" s="186">
        <f t="shared" si="28"/>
        <v>3395.0019073550575</v>
      </c>
      <c r="G73" s="186">
        <f t="shared" si="29"/>
        <v>3634.2203784675148</v>
      </c>
      <c r="H73" s="186">
        <f t="shared" si="30"/>
        <v>16759.10207556063</v>
      </c>
    </row>
    <row r="74" spans="1:8" ht="15.75" hidden="1" x14ac:dyDescent="0.25">
      <c r="A74" s="182" t="s">
        <v>485</v>
      </c>
      <c r="B74" s="331">
        <v>9.7026904862079384E-3</v>
      </c>
      <c r="C74" s="186">
        <f t="shared" si="25"/>
        <v>14325.294801099555</v>
      </c>
      <c r="D74" s="186">
        <f t="shared" si="26"/>
        <v>15341.287778636604</v>
      </c>
      <c r="E74" s="186">
        <f t="shared" si="27"/>
        <v>15539.829082710634</v>
      </c>
      <c r="F74" s="186">
        <f t="shared" si="28"/>
        <v>15773.663923428245</v>
      </c>
      <c r="G74" s="186">
        <f t="shared" si="29"/>
        <v>16885.107118623364</v>
      </c>
      <c r="H74" s="186">
        <f t="shared" si="30"/>
        <v>77865.182704498395</v>
      </c>
    </row>
    <row r="75" spans="1:8" ht="16.5" hidden="1" thickBot="1" x14ac:dyDescent="0.3">
      <c r="A75" s="182" t="s">
        <v>486</v>
      </c>
      <c r="B75" s="332">
        <v>1.8327347436766783E-3</v>
      </c>
      <c r="C75" s="186">
        <f t="shared" si="25"/>
        <v>2705.8953939328399</v>
      </c>
      <c r="D75" s="186">
        <f t="shared" si="26"/>
        <v>2897.8056307800839</v>
      </c>
      <c r="E75" s="186">
        <f t="shared" si="27"/>
        <v>2935.307965472568</v>
      </c>
      <c r="F75" s="186">
        <f t="shared" si="28"/>
        <v>2979.476872795176</v>
      </c>
      <c r="G75" s="186">
        <f t="shared" si="29"/>
        <v>3189.4166376833396</v>
      </c>
      <c r="H75" s="193">
        <f t="shared" si="30"/>
        <v>14707.902500664008</v>
      </c>
    </row>
    <row r="76" spans="1:8" ht="16.5" hidden="1" thickBot="1" x14ac:dyDescent="0.3">
      <c r="A76" s="190" t="s">
        <v>473</v>
      </c>
      <c r="B76" s="194">
        <f>SUM(B61:B75)</f>
        <v>1</v>
      </c>
      <c r="C76" s="195">
        <f>SUM(C61:C75)</f>
        <v>1476425</v>
      </c>
      <c r="D76" s="195">
        <f t="shared" ref="D76" si="31">SUM(D61:D75)</f>
        <v>1581137.4999999998</v>
      </c>
      <c r="E76" s="195">
        <f t="shared" ref="E76" si="32">SUM(E61:E75)</f>
        <v>1601600</v>
      </c>
      <c r="F76" s="195">
        <f t="shared" ref="F76" si="33">SUM(F61:F75)</f>
        <v>1625699.9999999998</v>
      </c>
      <c r="G76" s="195">
        <f t="shared" ref="G76" si="34">SUM(G61:G75)</f>
        <v>1740250</v>
      </c>
      <c r="H76" s="195">
        <f>SUM(H61:H75)</f>
        <v>8025112.5</v>
      </c>
    </row>
    <row r="77" spans="1:8" hidden="1" x14ac:dyDescent="0.25">
      <c r="A77" s="184" t="s">
        <v>487</v>
      </c>
    </row>
    <row r="79" spans="1:8" ht="16.5" thickBot="1" x14ac:dyDescent="0.3">
      <c r="A79" s="64" t="s">
        <v>489</v>
      </c>
    </row>
    <row r="80" spans="1:8" x14ac:dyDescent="0.25">
      <c r="A80" s="363" t="s">
        <v>465</v>
      </c>
      <c r="B80" s="363" t="s">
        <v>466</v>
      </c>
      <c r="C80" s="366" t="s">
        <v>467</v>
      </c>
      <c r="D80" s="366"/>
      <c r="E80" s="366"/>
      <c r="F80" s="366"/>
      <c r="G80" s="366"/>
      <c r="H80" s="366"/>
    </row>
    <row r="81" spans="1:8" x14ac:dyDescent="0.25">
      <c r="A81" s="364"/>
      <c r="B81" s="364"/>
      <c r="C81" s="187">
        <v>2025</v>
      </c>
      <c r="D81" s="187">
        <v>2026</v>
      </c>
      <c r="E81" s="187">
        <v>2027</v>
      </c>
      <c r="F81" s="187">
        <v>2028</v>
      </c>
      <c r="G81" s="187">
        <v>2029</v>
      </c>
      <c r="H81" s="187" t="s">
        <v>473</v>
      </c>
    </row>
    <row r="82" spans="1:8" ht="15.75" thickBot="1" x14ac:dyDescent="0.3">
      <c r="A82" s="365"/>
      <c r="B82" s="365"/>
      <c r="C82" s="188">
        <f>ROUND(($C$7*(1+0.025)^C11)*$Q$18,-2)</f>
        <v>122900</v>
      </c>
      <c r="D82" s="188">
        <f>ROUND(($C$7*(1+0.025)^D11)*$Q$18,-2)</f>
        <v>126000</v>
      </c>
      <c r="E82" s="188">
        <f>ROUND(($C$7*(1+0.025)^E11)*$Q$18,-2)</f>
        <v>129100</v>
      </c>
      <c r="F82" s="188">
        <f>ROUND(($C$7*(1+0.025)^F11)*$Q$18,-2)</f>
        <v>132400</v>
      </c>
      <c r="G82" s="188">
        <f>ROUND(($C$7*(1+0.025)^G11)*$Q$18,-2)</f>
        <v>135700</v>
      </c>
      <c r="H82" s="188">
        <f>ROUND(SUM('2025-2029 Category DR'!C24:G24),-2)</f>
        <v>646100</v>
      </c>
    </row>
    <row r="83" spans="1:8" ht="15.75" x14ac:dyDescent="0.25">
      <c r="A83" s="197" t="s">
        <v>475</v>
      </c>
      <c r="B83" s="330">
        <v>0.3662013585450421</v>
      </c>
      <c r="C83" s="186">
        <f>ROUND($C$82*B83,-2)</f>
        <v>45000</v>
      </c>
      <c r="D83" s="186">
        <f>ROUND($D$82*B83,-2)</f>
        <v>46100</v>
      </c>
      <c r="E83" s="256">
        <f>ROUND($E$82*B83,-2)</f>
        <v>47300</v>
      </c>
      <c r="F83" s="186">
        <f t="shared" ref="F83:F89" si="35">ROUND($F$82*B83,-2)</f>
        <v>48500</v>
      </c>
      <c r="G83" s="253">
        <f>ROUND($G$82*B83,-2)+100</f>
        <v>49800</v>
      </c>
      <c r="H83" s="186">
        <f>SUM(C83:G83)</f>
        <v>236700</v>
      </c>
    </row>
    <row r="84" spans="1:8" ht="15.75" x14ac:dyDescent="0.25">
      <c r="A84" s="198" t="s">
        <v>493</v>
      </c>
      <c r="B84" s="331">
        <f>B40*57%</f>
        <v>0.11461273732647614</v>
      </c>
      <c r="C84" s="186">
        <f t="shared" ref="C84:C98" si="36">ROUND($C$82*B84,-2)</f>
        <v>14100</v>
      </c>
      <c r="D84" s="186">
        <f t="shared" ref="D84:D98" si="37">ROUND($D$82*B84,-2)</f>
        <v>14400</v>
      </c>
      <c r="E84" s="186">
        <f>ROUND($E$82*B84,-2)</f>
        <v>14800</v>
      </c>
      <c r="F84" s="186">
        <f t="shared" si="35"/>
        <v>15200</v>
      </c>
      <c r="G84" s="186">
        <f t="shared" ref="G84:G98" si="38">ROUND($G$82*B84,-2)</f>
        <v>15600</v>
      </c>
      <c r="H84" s="186">
        <f t="shared" ref="H84:H98" si="39">SUM(C84:G84)</f>
        <v>74100</v>
      </c>
    </row>
    <row r="85" spans="1:8" ht="15.75" x14ac:dyDescent="0.25">
      <c r="A85" s="198" t="s">
        <v>585</v>
      </c>
      <c r="B85" s="331">
        <f>B40*43%</f>
        <v>8.646224043927149E-2</v>
      </c>
      <c r="C85" s="186">
        <f t="shared" si="36"/>
        <v>10600</v>
      </c>
      <c r="D85" s="186">
        <f t="shared" si="37"/>
        <v>10900</v>
      </c>
      <c r="E85" s="253">
        <f>ROUND($E$82*B85,-2)-100</f>
        <v>11100</v>
      </c>
      <c r="F85" s="186">
        <f t="shared" si="35"/>
        <v>11400</v>
      </c>
      <c r="G85" s="186">
        <f t="shared" si="38"/>
        <v>11700</v>
      </c>
      <c r="H85" s="186">
        <f t="shared" si="39"/>
        <v>55700</v>
      </c>
    </row>
    <row r="86" spans="1:8" ht="15.75" x14ac:dyDescent="0.25">
      <c r="A86" s="198" t="s">
        <v>469</v>
      </c>
      <c r="B86" s="331">
        <v>0.13934753747599346</v>
      </c>
      <c r="C86" s="186">
        <f t="shared" si="36"/>
        <v>17100</v>
      </c>
      <c r="D86" s="186">
        <f t="shared" si="37"/>
        <v>17600</v>
      </c>
      <c r="E86" s="253">
        <f>ROUND($E$82*B86,-2)-100</f>
        <v>17900</v>
      </c>
      <c r="F86" s="186">
        <f t="shared" si="35"/>
        <v>18400</v>
      </c>
      <c r="G86" s="186">
        <f t="shared" si="38"/>
        <v>18900</v>
      </c>
      <c r="H86" s="186">
        <f t="shared" si="39"/>
        <v>89900</v>
      </c>
    </row>
    <row r="87" spans="1:8" ht="15.75" x14ac:dyDescent="0.25">
      <c r="A87" s="198" t="s">
        <v>476</v>
      </c>
      <c r="B87" s="331">
        <v>9.1940244641222954E-2</v>
      </c>
      <c r="C87" s="186">
        <f t="shared" si="36"/>
        <v>11300</v>
      </c>
      <c r="D87" s="186">
        <f t="shared" si="37"/>
        <v>11600</v>
      </c>
      <c r="E87" s="186">
        <f t="shared" ref="E87:E91" si="40">ROUND($E$82*B87,-2)</f>
        <v>11900</v>
      </c>
      <c r="F87" s="186">
        <f t="shared" si="35"/>
        <v>12200</v>
      </c>
      <c r="G87" s="186">
        <f t="shared" si="38"/>
        <v>12500</v>
      </c>
      <c r="H87" s="186">
        <f t="shared" si="39"/>
        <v>59500</v>
      </c>
    </row>
    <row r="88" spans="1:8" ht="15.75" x14ac:dyDescent="0.25">
      <c r="A88" s="198" t="s">
        <v>477</v>
      </c>
      <c r="B88" s="331">
        <v>5.626232550945439E-2</v>
      </c>
      <c r="C88" s="186">
        <f t="shared" si="36"/>
        <v>6900</v>
      </c>
      <c r="D88" s="186">
        <f t="shared" si="37"/>
        <v>7100</v>
      </c>
      <c r="E88" s="186">
        <f t="shared" si="40"/>
        <v>7300</v>
      </c>
      <c r="F88" s="186">
        <f t="shared" si="35"/>
        <v>7400</v>
      </c>
      <c r="G88" s="186">
        <f t="shared" si="38"/>
        <v>7600</v>
      </c>
      <c r="H88" s="186">
        <f t="shared" si="39"/>
        <v>36300</v>
      </c>
    </row>
    <row r="89" spans="1:8" ht="15.75" x14ac:dyDescent="0.25">
      <c r="A89" s="198" t="s">
        <v>478</v>
      </c>
      <c r="B89" s="331">
        <v>2.5417939497054766E-2</v>
      </c>
      <c r="C89" s="186">
        <f t="shared" si="36"/>
        <v>3100</v>
      </c>
      <c r="D89" s="186">
        <f t="shared" si="37"/>
        <v>3200</v>
      </c>
      <c r="E89" s="186">
        <f t="shared" si="40"/>
        <v>3300</v>
      </c>
      <c r="F89" s="186">
        <f t="shared" si="35"/>
        <v>3400</v>
      </c>
      <c r="G89" s="186">
        <f t="shared" si="38"/>
        <v>3400</v>
      </c>
      <c r="H89" s="186">
        <f t="shared" si="39"/>
        <v>16400</v>
      </c>
    </row>
    <row r="90" spans="1:8" ht="15.75" x14ac:dyDescent="0.25">
      <c r="A90" s="198" t="s">
        <v>479</v>
      </c>
      <c r="B90" s="331">
        <v>2.1680007218076124E-2</v>
      </c>
      <c r="C90" s="186">
        <f t="shared" si="36"/>
        <v>2700</v>
      </c>
      <c r="D90" s="186">
        <f t="shared" si="37"/>
        <v>2700</v>
      </c>
      <c r="E90" s="256">
        <f t="shared" si="40"/>
        <v>2800</v>
      </c>
      <c r="F90" s="186">
        <f>ROUND($F$82*B90,-2)</f>
        <v>2900</v>
      </c>
      <c r="G90" s="186">
        <f t="shared" si="38"/>
        <v>2900</v>
      </c>
      <c r="H90" s="186">
        <f t="shared" si="39"/>
        <v>14000</v>
      </c>
    </row>
    <row r="91" spans="1:8" ht="15.75" x14ac:dyDescent="0.25">
      <c r="A91" s="199" t="s">
        <v>480</v>
      </c>
      <c r="B91" s="331">
        <v>2.075196885915729E-2</v>
      </c>
      <c r="C91" s="186">
        <f t="shared" si="36"/>
        <v>2600</v>
      </c>
      <c r="D91" s="253">
        <f>ROUND($D$82*B91,-2)+100</f>
        <v>2700</v>
      </c>
      <c r="E91" s="186">
        <f t="shared" si="40"/>
        <v>2700</v>
      </c>
      <c r="F91" s="253">
        <f>ROUND($F$82*B91,-2)+100</f>
        <v>2800</v>
      </c>
      <c r="G91" s="186">
        <f t="shared" si="38"/>
        <v>2800</v>
      </c>
      <c r="H91" s="186">
        <f t="shared" si="39"/>
        <v>13600</v>
      </c>
    </row>
    <row r="92" spans="1:8" ht="15.75" x14ac:dyDescent="0.25">
      <c r="A92" s="198" t="s">
        <v>481</v>
      </c>
      <c r="B92" s="331">
        <v>3.4904553832669528E-2</v>
      </c>
      <c r="C92" s="186">
        <f t="shared" si="36"/>
        <v>4300</v>
      </c>
      <c r="D92" s="186">
        <f t="shared" si="37"/>
        <v>4400</v>
      </c>
      <c r="E92" s="256">
        <f>ROUND($E$82*B92,-2)</f>
        <v>4500</v>
      </c>
      <c r="F92" s="186">
        <f t="shared" ref="F92:F98" si="41">ROUND($F$82*B92,-2)</f>
        <v>4600</v>
      </c>
      <c r="G92" s="186">
        <f t="shared" si="38"/>
        <v>4700</v>
      </c>
      <c r="H92" s="186">
        <f t="shared" si="39"/>
        <v>22500</v>
      </c>
    </row>
    <row r="93" spans="1:8" ht="15.75" x14ac:dyDescent="0.25">
      <c r="A93" s="198" t="s">
        <v>482</v>
      </c>
      <c r="B93" s="331">
        <v>1.2476960158797675E-2</v>
      </c>
      <c r="C93" s="186">
        <f t="shared" si="36"/>
        <v>1500</v>
      </c>
      <c r="D93" s="186">
        <f t="shared" si="37"/>
        <v>1600</v>
      </c>
      <c r="E93" s="186">
        <f t="shared" ref="E93:E98" si="42">ROUND($E$82*B93,-2)</f>
        <v>1600</v>
      </c>
      <c r="F93" s="186">
        <f t="shared" si="41"/>
        <v>1700</v>
      </c>
      <c r="G93" s="186">
        <f t="shared" si="38"/>
        <v>1700</v>
      </c>
      <c r="H93" s="186">
        <f t="shared" si="39"/>
        <v>8100</v>
      </c>
    </row>
    <row r="94" spans="1:8" ht="15.75" x14ac:dyDescent="0.25">
      <c r="A94" s="198" t="s">
        <v>483</v>
      </c>
      <c r="B94" s="331">
        <v>9.4350566490081587E-3</v>
      </c>
      <c r="C94" s="186">
        <f t="shared" si="36"/>
        <v>1200</v>
      </c>
      <c r="D94" s="186">
        <f t="shared" si="37"/>
        <v>1200</v>
      </c>
      <c r="E94" s="186">
        <f t="shared" si="42"/>
        <v>1200</v>
      </c>
      <c r="F94" s="186">
        <f t="shared" si="41"/>
        <v>1200</v>
      </c>
      <c r="G94" s="186">
        <f t="shared" si="38"/>
        <v>1300</v>
      </c>
      <c r="H94" s="186">
        <f t="shared" si="39"/>
        <v>6100</v>
      </c>
    </row>
    <row r="95" spans="1:8" ht="15.75" x14ac:dyDescent="0.25">
      <c r="A95" s="198" t="s">
        <v>484</v>
      </c>
      <c r="B95" s="331">
        <v>6.6251627289483517E-3</v>
      </c>
      <c r="C95" s="186">
        <f t="shared" si="36"/>
        <v>800</v>
      </c>
      <c r="D95" s="186">
        <f t="shared" si="37"/>
        <v>800</v>
      </c>
      <c r="E95" s="186">
        <f t="shared" si="42"/>
        <v>900</v>
      </c>
      <c r="F95" s="186">
        <f t="shared" si="41"/>
        <v>900</v>
      </c>
      <c r="G95" s="186">
        <f t="shared" si="38"/>
        <v>900</v>
      </c>
      <c r="H95" s="186">
        <f t="shared" si="39"/>
        <v>4300</v>
      </c>
    </row>
    <row r="96" spans="1:8" ht="15.75" x14ac:dyDescent="0.25">
      <c r="A96" s="198" t="s">
        <v>488</v>
      </c>
      <c r="B96" s="331">
        <v>2.126754572522331E-3</v>
      </c>
      <c r="C96" s="186">
        <f t="shared" si="36"/>
        <v>300</v>
      </c>
      <c r="D96" s="186">
        <f t="shared" si="37"/>
        <v>300</v>
      </c>
      <c r="E96" s="186">
        <f t="shared" si="42"/>
        <v>300</v>
      </c>
      <c r="F96" s="186">
        <f t="shared" si="41"/>
        <v>300</v>
      </c>
      <c r="G96" s="186">
        <f t="shared" si="38"/>
        <v>300</v>
      </c>
      <c r="H96" s="186">
        <f t="shared" si="39"/>
        <v>1500</v>
      </c>
    </row>
    <row r="97" spans="1:8" ht="15.75" x14ac:dyDescent="0.25">
      <c r="A97" s="198" t="s">
        <v>485</v>
      </c>
      <c r="B97" s="331">
        <v>9.8861864068159264E-3</v>
      </c>
      <c r="C97" s="186">
        <f t="shared" si="36"/>
        <v>1200</v>
      </c>
      <c r="D97" s="256">
        <f>ROUND($D$82*B97,-2)</f>
        <v>1200</v>
      </c>
      <c r="E97" s="186">
        <f t="shared" si="42"/>
        <v>1300</v>
      </c>
      <c r="F97" s="186">
        <f t="shared" si="41"/>
        <v>1300</v>
      </c>
      <c r="G97" s="186">
        <f t="shared" si="38"/>
        <v>1300</v>
      </c>
      <c r="H97" s="186">
        <f t="shared" si="39"/>
        <v>6300</v>
      </c>
    </row>
    <row r="98" spans="1:8" ht="16.5" thickBot="1" x14ac:dyDescent="0.3">
      <c r="A98" s="200" t="s">
        <v>486</v>
      </c>
      <c r="B98" s="332">
        <v>1.868966139489321E-3</v>
      </c>
      <c r="C98" s="186">
        <f t="shared" si="36"/>
        <v>200</v>
      </c>
      <c r="D98" s="186">
        <f t="shared" si="37"/>
        <v>200</v>
      </c>
      <c r="E98" s="186">
        <f t="shared" si="42"/>
        <v>200</v>
      </c>
      <c r="F98" s="186">
        <f t="shared" si="41"/>
        <v>200</v>
      </c>
      <c r="G98" s="186">
        <f t="shared" si="38"/>
        <v>300</v>
      </c>
      <c r="H98" s="186">
        <f t="shared" si="39"/>
        <v>1100</v>
      </c>
    </row>
    <row r="99" spans="1:8" ht="16.5" thickBot="1" x14ac:dyDescent="0.3">
      <c r="A99" s="190" t="s">
        <v>473</v>
      </c>
      <c r="B99" s="194">
        <f t="shared" ref="B99:H99" si="43">SUM(B83:B98)</f>
        <v>1</v>
      </c>
      <c r="C99" s="195">
        <f>SUM(C83:C98)</f>
        <v>122900</v>
      </c>
      <c r="D99" s="195">
        <f t="shared" si="43"/>
        <v>126000</v>
      </c>
      <c r="E99" s="195">
        <f t="shared" si="43"/>
        <v>129100</v>
      </c>
      <c r="F99" s="195">
        <f t="shared" si="43"/>
        <v>132400</v>
      </c>
      <c r="G99" s="195">
        <f>SUM(G83:G98)</f>
        <v>135700</v>
      </c>
      <c r="H99" s="195">
        <f t="shared" si="43"/>
        <v>646100</v>
      </c>
    </row>
    <row r="100" spans="1:8" x14ac:dyDescent="0.25">
      <c r="A100" s="184" t="s">
        <v>487</v>
      </c>
      <c r="E100" s="247"/>
    </row>
    <row r="102" spans="1:8" ht="16.5" hidden="1" thickBot="1" x14ac:dyDescent="0.3">
      <c r="A102" s="196" t="s">
        <v>494</v>
      </c>
    </row>
    <row r="103" spans="1:8" hidden="1" x14ac:dyDescent="0.25">
      <c r="A103" s="363" t="s">
        <v>465</v>
      </c>
      <c r="B103" s="363" t="s">
        <v>466</v>
      </c>
      <c r="C103" s="366" t="s">
        <v>467</v>
      </c>
      <c r="D103" s="366"/>
      <c r="E103" s="366"/>
      <c r="F103" s="366"/>
      <c r="G103" s="366"/>
      <c r="H103" s="366"/>
    </row>
    <row r="104" spans="1:8" hidden="1" x14ac:dyDescent="0.25">
      <c r="A104" s="364"/>
      <c r="B104" s="364"/>
      <c r="C104" s="187">
        <v>2025</v>
      </c>
      <c r="D104" s="187">
        <v>2026</v>
      </c>
      <c r="E104" s="187">
        <v>2027</v>
      </c>
      <c r="F104" s="187">
        <v>2028</v>
      </c>
      <c r="G104" s="187">
        <v>2029</v>
      </c>
      <c r="H104" s="187" t="s">
        <v>473</v>
      </c>
    </row>
    <row r="105" spans="1:8" ht="15.75" hidden="1" thickBot="1" x14ac:dyDescent="0.3">
      <c r="A105" s="365"/>
      <c r="B105" s="365"/>
      <c r="C105" s="188">
        <f>'2025-2029 Category DR'!F17</f>
        <v>143875</v>
      </c>
      <c r="D105" s="188">
        <f>'2025-2029 Category DR'!M17</f>
        <v>136850</v>
      </c>
      <c r="E105" s="188">
        <f>'2025-2029 Category DR'!T17</f>
        <v>123825</v>
      </c>
      <c r="F105" s="188">
        <f>'2025-2029 Category DR'!AA17</f>
        <v>121475</v>
      </c>
      <c r="G105" s="188">
        <f>'2025-2029 Category DR'!AH17</f>
        <v>120100</v>
      </c>
      <c r="H105" s="188">
        <f>SUM(C105:G105)</f>
        <v>646125</v>
      </c>
    </row>
    <row r="106" spans="1:8" ht="15.75" hidden="1" x14ac:dyDescent="0.25">
      <c r="A106" s="182" t="s">
        <v>475</v>
      </c>
      <c r="B106" s="189">
        <v>0.35899149733671354</v>
      </c>
      <c r="C106" s="186">
        <f>$C$105*B106</f>
        <v>51649.901679319657</v>
      </c>
      <c r="D106" s="186">
        <f>$D$105*B106</f>
        <v>49127.986410529251</v>
      </c>
      <c r="E106" s="186">
        <f>$E$105*B106</f>
        <v>44452.122157718557</v>
      </c>
      <c r="F106" s="186">
        <f>$F$105*B106</f>
        <v>43608.492138977279</v>
      </c>
      <c r="G106" s="186">
        <f>$G$105*B106</f>
        <v>43114.878830139292</v>
      </c>
      <c r="H106" s="186">
        <f>SUM(C106:G106)</f>
        <v>231953.38121668404</v>
      </c>
    </row>
    <row r="107" spans="1:8" ht="15.75" hidden="1" x14ac:dyDescent="0.25">
      <c r="A107" s="182" t="s">
        <v>493</v>
      </c>
      <c r="B107" s="181">
        <v>0.11235400285016621</v>
      </c>
      <c r="C107" s="186">
        <f t="shared" ref="C107:C121" si="44">$C$105*B107</f>
        <v>16164.932160067663</v>
      </c>
      <c r="D107" s="186">
        <f t="shared" ref="D107:D121" si="45">$D$105*B107</f>
        <v>15375.645290045246</v>
      </c>
      <c r="E107" s="186">
        <f t="shared" ref="E107:E121" si="46">$E$105*B107</f>
        <v>13912.234402921831</v>
      </c>
      <c r="F107" s="186">
        <f t="shared" ref="F107:F121" si="47">$F$105*B107</f>
        <v>13648.202496223941</v>
      </c>
      <c r="G107" s="186">
        <f t="shared" ref="G107:G121" si="48">$G$105*B107</f>
        <v>13493.715742304961</v>
      </c>
      <c r="H107" s="186">
        <f t="shared" ref="H107:H121" si="49">SUM(C107:G107)</f>
        <v>72594.730091563644</v>
      </c>
    </row>
    <row r="108" spans="1:8" ht="15.75" hidden="1" x14ac:dyDescent="0.25">
      <c r="A108" s="182" t="s">
        <v>492</v>
      </c>
      <c r="B108" s="181">
        <v>8.4758282851879779E-2</v>
      </c>
      <c r="C108" s="186">
        <f t="shared" si="44"/>
        <v>12194.597945314203</v>
      </c>
      <c r="D108" s="186">
        <f t="shared" si="45"/>
        <v>11599.171008279747</v>
      </c>
      <c r="E108" s="186">
        <f t="shared" si="46"/>
        <v>10495.194374134013</v>
      </c>
      <c r="F108" s="186">
        <f t="shared" si="47"/>
        <v>10296.012409432096</v>
      </c>
      <c r="G108" s="186">
        <f t="shared" si="48"/>
        <v>10179.469770510761</v>
      </c>
      <c r="H108" s="186">
        <f t="shared" si="49"/>
        <v>54764.445507670818</v>
      </c>
    </row>
    <row r="109" spans="1:8" ht="15.75" hidden="1" x14ac:dyDescent="0.25">
      <c r="A109" s="182" t="s">
        <v>469</v>
      </c>
      <c r="B109" s="181">
        <v>0.13662523872570415</v>
      </c>
      <c r="C109" s="186">
        <f t="shared" si="44"/>
        <v>19656.956221660683</v>
      </c>
      <c r="D109" s="186">
        <f t="shared" si="45"/>
        <v>18697.163919612613</v>
      </c>
      <c r="E109" s="186">
        <f t="shared" si="46"/>
        <v>16917.620185210315</v>
      </c>
      <c r="F109" s="186">
        <f t="shared" si="47"/>
        <v>16596.55087420491</v>
      </c>
      <c r="G109" s="186">
        <f t="shared" si="48"/>
        <v>16408.691170957067</v>
      </c>
      <c r="H109" s="186">
        <f t="shared" si="49"/>
        <v>88276.982371645587</v>
      </c>
    </row>
    <row r="110" spans="1:8" ht="15.75" hidden="1" x14ac:dyDescent="0.25">
      <c r="A110" s="182" t="s">
        <v>476</v>
      </c>
      <c r="B110" s="181">
        <v>9.013519805849346E-2</v>
      </c>
      <c r="C110" s="186">
        <f t="shared" si="44"/>
        <v>12968.201620665746</v>
      </c>
      <c r="D110" s="186">
        <f t="shared" si="45"/>
        <v>12335.00185430483</v>
      </c>
      <c r="E110" s="186">
        <f t="shared" si="46"/>
        <v>11160.990899592953</v>
      </c>
      <c r="F110" s="186">
        <f t="shared" si="47"/>
        <v>10949.173184155494</v>
      </c>
      <c r="G110" s="186">
        <f t="shared" si="48"/>
        <v>10825.237286825064</v>
      </c>
      <c r="H110" s="186">
        <f t="shared" si="49"/>
        <v>58238.60484554409</v>
      </c>
    </row>
    <row r="111" spans="1:8" ht="15.75" hidden="1" x14ac:dyDescent="0.25">
      <c r="A111" s="182" t="s">
        <v>477</v>
      </c>
      <c r="B111" s="181">
        <v>5.5165798783344683E-2</v>
      </c>
      <c r="C111" s="186">
        <f t="shared" si="44"/>
        <v>7936.9792999537167</v>
      </c>
      <c r="D111" s="186">
        <f t="shared" si="45"/>
        <v>7549.4395635007195</v>
      </c>
      <c r="E111" s="186">
        <f t="shared" si="46"/>
        <v>6830.9050343476556</v>
      </c>
      <c r="F111" s="186">
        <f t="shared" si="47"/>
        <v>6701.2654072067953</v>
      </c>
      <c r="G111" s="186">
        <f t="shared" si="48"/>
        <v>6625.4124338796964</v>
      </c>
      <c r="H111" s="186">
        <f t="shared" si="49"/>
        <v>35644.001738888583</v>
      </c>
    </row>
    <row r="112" spans="1:8" ht="15.75" hidden="1" x14ac:dyDescent="0.25">
      <c r="A112" s="182" t="s">
        <v>478</v>
      </c>
      <c r="B112" s="181">
        <v>2.4924529827047504E-2</v>
      </c>
      <c r="C112" s="186">
        <f t="shared" si="44"/>
        <v>3586.0167288664597</v>
      </c>
      <c r="D112" s="186">
        <f t="shared" si="45"/>
        <v>3410.921906831451</v>
      </c>
      <c r="E112" s="186">
        <f t="shared" si="46"/>
        <v>3086.279905834157</v>
      </c>
      <c r="F112" s="186">
        <f t="shared" si="47"/>
        <v>3027.7072607405958</v>
      </c>
      <c r="G112" s="186">
        <f t="shared" si="48"/>
        <v>2993.4360322284051</v>
      </c>
      <c r="H112" s="186">
        <f t="shared" si="49"/>
        <v>16104.361834501067</v>
      </c>
    </row>
    <row r="113" spans="1:8" ht="15.75" hidden="1" x14ac:dyDescent="0.25">
      <c r="A113" s="182" t="s">
        <v>479</v>
      </c>
      <c r="B113" s="181">
        <v>2.1246246944047836E-2</v>
      </c>
      <c r="C113" s="186">
        <f t="shared" si="44"/>
        <v>3056.8037790748826</v>
      </c>
      <c r="D113" s="186">
        <f t="shared" si="45"/>
        <v>2907.5488942929464</v>
      </c>
      <c r="E113" s="186">
        <f t="shared" si="46"/>
        <v>2630.8165278467231</v>
      </c>
      <c r="F113" s="186">
        <f t="shared" si="47"/>
        <v>2580.8878475282108</v>
      </c>
      <c r="G113" s="186">
        <f t="shared" si="48"/>
        <v>2551.6742579801453</v>
      </c>
      <c r="H113" s="186">
        <f t="shared" si="49"/>
        <v>13727.731306722908</v>
      </c>
    </row>
    <row r="114" spans="1:8" ht="15.75" hidden="1" x14ac:dyDescent="0.25">
      <c r="A114" s="183" t="s">
        <v>480</v>
      </c>
      <c r="B114" s="181">
        <v>3.9943197142977116E-2</v>
      </c>
      <c r="C114" s="186">
        <f t="shared" si="44"/>
        <v>5746.8274889458326</v>
      </c>
      <c r="D114" s="186">
        <f t="shared" si="45"/>
        <v>5466.2265290164187</v>
      </c>
      <c r="E114" s="186">
        <f t="shared" si="46"/>
        <v>4945.9663862291418</v>
      </c>
      <c r="F114" s="186">
        <f t="shared" si="47"/>
        <v>4852.0998729431449</v>
      </c>
      <c r="G114" s="186">
        <f t="shared" si="48"/>
        <v>4797.1779768715514</v>
      </c>
      <c r="H114" s="186">
        <f t="shared" si="49"/>
        <v>25808.298254006091</v>
      </c>
    </row>
    <row r="115" spans="1:8" ht="15.75" hidden="1" x14ac:dyDescent="0.25">
      <c r="A115" s="182" t="s">
        <v>481</v>
      </c>
      <c r="B115" s="181">
        <v>3.4239396386116096E-2</v>
      </c>
      <c r="C115" s="186">
        <f t="shared" si="44"/>
        <v>4926.1931550524532</v>
      </c>
      <c r="D115" s="186">
        <f t="shared" si="45"/>
        <v>4685.6613954399882</v>
      </c>
      <c r="E115" s="186">
        <f t="shared" si="46"/>
        <v>4239.6932575108258</v>
      </c>
      <c r="F115" s="186">
        <f t="shared" si="47"/>
        <v>4159.2306760034526</v>
      </c>
      <c r="G115" s="186">
        <f t="shared" si="48"/>
        <v>4112.1515059725434</v>
      </c>
      <c r="H115" s="186">
        <f t="shared" si="49"/>
        <v>22122.92998997926</v>
      </c>
    </row>
    <row r="116" spans="1:8" ht="15.75" hidden="1" x14ac:dyDescent="0.25">
      <c r="A116" s="182" t="s">
        <v>482</v>
      </c>
      <c r="B116" s="181">
        <v>1.224220499668215E-2</v>
      </c>
      <c r="C116" s="186">
        <f t="shared" si="44"/>
        <v>1761.3472438976444</v>
      </c>
      <c r="D116" s="186">
        <f t="shared" si="45"/>
        <v>1675.3457537959521</v>
      </c>
      <c r="E116" s="186">
        <f t="shared" si="46"/>
        <v>1515.8910337141672</v>
      </c>
      <c r="F116" s="186">
        <f t="shared" si="47"/>
        <v>1487.1218519719641</v>
      </c>
      <c r="G116" s="186">
        <f t="shared" si="48"/>
        <v>1470.2888201015262</v>
      </c>
      <c r="H116" s="186">
        <f t="shared" si="49"/>
        <v>7909.994703481254</v>
      </c>
    </row>
    <row r="117" spans="1:8" ht="15.75" hidden="1" x14ac:dyDescent="0.25">
      <c r="A117" s="182" t="s">
        <v>483</v>
      </c>
      <c r="B117" s="181">
        <v>9.2527936060338035E-3</v>
      </c>
      <c r="C117" s="186">
        <f t="shared" si="44"/>
        <v>1331.2456800681134</v>
      </c>
      <c r="D117" s="186">
        <f t="shared" si="45"/>
        <v>1266.244804985726</v>
      </c>
      <c r="E117" s="186">
        <f t="shared" si="46"/>
        <v>1145.7271682671358</v>
      </c>
      <c r="F117" s="186">
        <f t="shared" si="47"/>
        <v>1123.9831032929562</v>
      </c>
      <c r="G117" s="186">
        <f t="shared" si="48"/>
        <v>1111.2605120846597</v>
      </c>
      <c r="H117" s="186">
        <f t="shared" si="49"/>
        <v>5978.4612686985911</v>
      </c>
    </row>
    <row r="118" spans="1:8" ht="15.75" hidden="1" x14ac:dyDescent="0.25">
      <c r="A118" s="182" t="s">
        <v>484</v>
      </c>
      <c r="B118" s="181">
        <v>6.4978549072425684E-3</v>
      </c>
      <c r="C118" s="186">
        <f t="shared" si="44"/>
        <v>934.87887477952449</v>
      </c>
      <c r="D118" s="186">
        <f t="shared" si="45"/>
        <v>889.23144405614551</v>
      </c>
      <c r="E118" s="186">
        <f t="shared" si="46"/>
        <v>804.59688388931102</v>
      </c>
      <c r="F118" s="186">
        <f t="shared" si="47"/>
        <v>789.32692485729103</v>
      </c>
      <c r="G118" s="186">
        <f t="shared" si="48"/>
        <v>780.3923743598325</v>
      </c>
      <c r="H118" s="186">
        <f t="shared" si="49"/>
        <v>4198.4265019421046</v>
      </c>
    </row>
    <row r="119" spans="1:8" ht="15.75" hidden="1" x14ac:dyDescent="0.25">
      <c r="A119" s="182" t="s">
        <v>488</v>
      </c>
      <c r="B119" s="181">
        <v>2.0883323536661485E-3</v>
      </c>
      <c r="C119" s="186">
        <f t="shared" si="44"/>
        <v>300.45881738371713</v>
      </c>
      <c r="D119" s="186">
        <f t="shared" si="45"/>
        <v>285.78828259921244</v>
      </c>
      <c r="E119" s="186">
        <f t="shared" si="46"/>
        <v>258.58775369271086</v>
      </c>
      <c r="F119" s="186">
        <f t="shared" si="47"/>
        <v>253.68017266159538</v>
      </c>
      <c r="G119" s="186">
        <f t="shared" si="48"/>
        <v>250.80871567530443</v>
      </c>
      <c r="H119" s="186">
        <f t="shared" si="49"/>
        <v>1349.3237420125402</v>
      </c>
    </row>
    <row r="120" spans="1:8" ht="15.75" hidden="1" x14ac:dyDescent="0.25">
      <c r="A120" s="182" t="s">
        <v>485</v>
      </c>
      <c r="B120" s="181">
        <v>9.7026904862079384E-3</v>
      </c>
      <c r="C120" s="186">
        <f t="shared" si="44"/>
        <v>1395.9745937031671</v>
      </c>
      <c r="D120" s="186">
        <f t="shared" si="45"/>
        <v>1327.8131930375564</v>
      </c>
      <c r="E120" s="186">
        <f t="shared" si="46"/>
        <v>1201.435649454698</v>
      </c>
      <c r="F120" s="186">
        <f t="shared" si="47"/>
        <v>1178.6343268121093</v>
      </c>
      <c r="G120" s="186">
        <f t="shared" si="48"/>
        <v>1165.2931273935735</v>
      </c>
      <c r="H120" s="186">
        <f t="shared" si="49"/>
        <v>6269.1508904011043</v>
      </c>
    </row>
    <row r="121" spans="1:8" ht="16.5" hidden="1" thickBot="1" x14ac:dyDescent="0.3">
      <c r="A121" s="182" t="s">
        <v>486</v>
      </c>
      <c r="B121" s="192">
        <v>1.8327347436766783E-3</v>
      </c>
      <c r="C121" s="186">
        <f t="shared" si="44"/>
        <v>263.6847112464821</v>
      </c>
      <c r="D121" s="186">
        <f t="shared" si="45"/>
        <v>250.80974967215343</v>
      </c>
      <c r="E121" s="186">
        <f t="shared" si="46"/>
        <v>226.9383796357647</v>
      </c>
      <c r="F121" s="186">
        <f t="shared" si="47"/>
        <v>222.63145298812449</v>
      </c>
      <c r="G121" s="186">
        <f t="shared" si="48"/>
        <v>220.11144271556907</v>
      </c>
      <c r="H121" s="186">
        <f t="shared" si="49"/>
        <v>1184.1757362580938</v>
      </c>
    </row>
    <row r="122" spans="1:8" ht="16.5" hidden="1" thickBot="1" x14ac:dyDescent="0.3">
      <c r="A122" s="190" t="s">
        <v>473</v>
      </c>
      <c r="B122" s="194">
        <f t="shared" ref="B122:H122" si="50">SUM(B106:B121)</f>
        <v>0.99999999999999978</v>
      </c>
      <c r="C122" s="195">
        <f t="shared" si="50"/>
        <v>143874.99999999997</v>
      </c>
      <c r="D122" s="195">
        <f t="shared" si="50"/>
        <v>136850</v>
      </c>
      <c r="E122" s="195">
        <f t="shared" si="50"/>
        <v>123824.99999999996</v>
      </c>
      <c r="F122" s="195">
        <f t="shared" si="50"/>
        <v>121474.99999999997</v>
      </c>
      <c r="G122" s="195">
        <f t="shared" si="50"/>
        <v>120099.99999999996</v>
      </c>
      <c r="H122" s="195">
        <f t="shared" si="50"/>
        <v>646124.99999999942</v>
      </c>
    </row>
    <row r="123" spans="1:8" hidden="1" x14ac:dyDescent="0.25">
      <c r="A123" s="184" t="s">
        <v>487</v>
      </c>
    </row>
    <row r="124" spans="1:8" hidden="1" x14ac:dyDescent="0.25"/>
    <row r="125" spans="1:8" hidden="1" x14ac:dyDescent="0.25"/>
    <row r="126" spans="1:8" ht="16.5" thickBot="1" x14ac:dyDescent="0.3">
      <c r="A126" s="64" t="s">
        <v>495</v>
      </c>
      <c r="D126" s="247"/>
      <c r="E126" s="247"/>
      <c r="F126" s="247"/>
      <c r="G126" s="247"/>
    </row>
    <row r="127" spans="1:8" ht="14.25" customHeight="1" x14ac:dyDescent="0.25">
      <c r="A127" s="363" t="s">
        <v>465</v>
      </c>
      <c r="B127" s="363" t="s">
        <v>496</v>
      </c>
      <c r="C127" s="366" t="s">
        <v>467</v>
      </c>
      <c r="D127" s="366"/>
      <c r="E127" s="366"/>
      <c r="F127" s="366"/>
      <c r="G127" s="366"/>
      <c r="H127" s="366"/>
    </row>
    <row r="128" spans="1:8" x14ac:dyDescent="0.25">
      <c r="A128" s="364"/>
      <c r="B128" s="364"/>
      <c r="C128" s="187">
        <v>2025</v>
      </c>
      <c r="D128" s="187">
        <v>2026</v>
      </c>
      <c r="E128" s="187">
        <v>2027</v>
      </c>
      <c r="F128" s="187">
        <v>2028</v>
      </c>
      <c r="G128" s="187">
        <v>2029</v>
      </c>
      <c r="H128" s="187" t="s">
        <v>473</v>
      </c>
    </row>
    <row r="129" spans="1:9" ht="15.75" thickBot="1" x14ac:dyDescent="0.3">
      <c r="A129" s="365"/>
      <c r="B129" s="365"/>
      <c r="C129" s="188">
        <f>SUM(C82,C38,C16)</f>
        <v>2036500</v>
      </c>
      <c r="D129" s="188">
        <f t="shared" ref="D129" si="51">SUM(D82,D38,D16)</f>
        <v>2087400</v>
      </c>
      <c r="E129" s="188">
        <f>SUM(E82,E38,E16)</f>
        <v>2139600</v>
      </c>
      <c r="F129" s="188">
        <f>SUM(F82,F38,F16)</f>
        <v>2193100</v>
      </c>
      <c r="G129" s="188">
        <f>SUM(G82,G38,G16)</f>
        <v>2247900</v>
      </c>
      <c r="H129" s="188">
        <f t="shared" ref="H129:H147" si="52">SUM(C129:G129)</f>
        <v>10704500</v>
      </c>
    </row>
    <row r="130" spans="1:9" ht="15.75" x14ac:dyDescent="0.25">
      <c r="A130" s="197" t="s">
        <v>475</v>
      </c>
      <c r="B130" s="330">
        <f t="shared" ref="B130:B147" si="53">H130/$H$129</f>
        <v>0.29664159932738565</v>
      </c>
      <c r="C130" s="186">
        <f>C39+C83</f>
        <v>604100</v>
      </c>
      <c r="D130" s="186">
        <f>D39+D83</f>
        <v>619200</v>
      </c>
      <c r="E130" s="186">
        <f>E39+E83</f>
        <v>634700</v>
      </c>
      <c r="F130" s="186">
        <f>F39+F83</f>
        <v>650500</v>
      </c>
      <c r="G130" s="186">
        <f>G39+G83</f>
        <v>666900</v>
      </c>
      <c r="H130" s="186">
        <f t="shared" si="52"/>
        <v>3175400</v>
      </c>
      <c r="I130" s="248"/>
    </row>
    <row r="131" spans="1:9" ht="15.75" x14ac:dyDescent="0.25">
      <c r="A131" s="198" t="s">
        <v>468</v>
      </c>
      <c r="B131" s="330">
        <f t="shared" si="53"/>
        <v>0.21462936148348824</v>
      </c>
      <c r="C131" s="186">
        <f>C17+C40</f>
        <v>437100</v>
      </c>
      <c r="D131" s="186">
        <f>D17+D40</f>
        <v>448000</v>
      </c>
      <c r="E131" s="186">
        <f>E17+E40</f>
        <v>459200</v>
      </c>
      <c r="F131" s="186">
        <f>F17+F40</f>
        <v>470700</v>
      </c>
      <c r="G131" s="186">
        <f>G17+G40</f>
        <v>482500</v>
      </c>
      <c r="H131" s="186">
        <f t="shared" si="52"/>
        <v>2297500</v>
      </c>
      <c r="I131" s="248"/>
    </row>
    <row r="132" spans="1:9" ht="15.75" x14ac:dyDescent="0.25">
      <c r="A132" s="198" t="s">
        <v>469</v>
      </c>
      <c r="B132" s="330">
        <f t="shared" si="53"/>
        <v>0.19266663552711477</v>
      </c>
      <c r="C132" s="186">
        <f>C18+C41+C86</f>
        <v>392400</v>
      </c>
      <c r="D132" s="186">
        <f>D18+D41+D86</f>
        <v>402300</v>
      </c>
      <c r="E132" s="186">
        <f>E18+E41+E86</f>
        <v>412100</v>
      </c>
      <c r="F132" s="186">
        <f>F18+F41+F86</f>
        <v>422500</v>
      </c>
      <c r="G132" s="186">
        <f>G18+G41+G86</f>
        <v>433100</v>
      </c>
      <c r="H132" s="186">
        <f t="shared" si="52"/>
        <v>2062400</v>
      </c>
      <c r="I132" s="248"/>
    </row>
    <row r="133" spans="1:9" ht="15.75" x14ac:dyDescent="0.25">
      <c r="A133" s="198" t="s">
        <v>476</v>
      </c>
      <c r="B133" s="330">
        <f t="shared" si="53"/>
        <v>7.4492036059601099E-2</v>
      </c>
      <c r="C133" s="186">
        <f>C42+C87</f>
        <v>151700</v>
      </c>
      <c r="D133" s="186">
        <f>D42+D87</f>
        <v>155500</v>
      </c>
      <c r="E133" s="186">
        <f>E42+E87</f>
        <v>159400</v>
      </c>
      <c r="F133" s="186">
        <f>F42+F87</f>
        <v>163400</v>
      </c>
      <c r="G133" s="186">
        <f>G42+G87</f>
        <v>167400</v>
      </c>
      <c r="H133" s="186">
        <f t="shared" si="52"/>
        <v>797400</v>
      </c>
      <c r="I133" s="248"/>
    </row>
    <row r="134" spans="1:9" ht="15.75" x14ac:dyDescent="0.25">
      <c r="A134" s="198" t="s">
        <v>477</v>
      </c>
      <c r="B134" s="330">
        <f t="shared" si="53"/>
        <v>6.8429165304311271E-2</v>
      </c>
      <c r="C134" s="186">
        <f>C19+C43+C88</f>
        <v>139400</v>
      </c>
      <c r="D134" s="186">
        <f>D19+D43+D88</f>
        <v>142800</v>
      </c>
      <c r="E134" s="186">
        <f>E19+E43+E88</f>
        <v>146500</v>
      </c>
      <c r="F134" s="186">
        <f>F19+F43+F88</f>
        <v>150000</v>
      </c>
      <c r="G134" s="186">
        <f>G19+G43+G88</f>
        <v>153800</v>
      </c>
      <c r="H134" s="186">
        <f t="shared" si="52"/>
        <v>732500</v>
      </c>
      <c r="I134" s="248"/>
    </row>
    <row r="135" spans="1:9" ht="15.75" x14ac:dyDescent="0.25">
      <c r="A135" s="198" t="s">
        <v>481</v>
      </c>
      <c r="B135" s="330">
        <f t="shared" si="53"/>
        <v>2.8277827082068288E-2</v>
      </c>
      <c r="C135" s="186">
        <f>C47+C92</f>
        <v>57600</v>
      </c>
      <c r="D135" s="186">
        <f>D47+D92</f>
        <v>59000</v>
      </c>
      <c r="E135" s="186">
        <f>E47+E92</f>
        <v>60500</v>
      </c>
      <c r="F135" s="186">
        <f>F47+F92</f>
        <v>62000</v>
      </c>
      <c r="G135" s="186">
        <f>G47+G92</f>
        <v>63600</v>
      </c>
      <c r="H135" s="186">
        <f t="shared" si="52"/>
        <v>302700</v>
      </c>
      <c r="I135" s="248"/>
    </row>
    <row r="136" spans="1:9" ht="15.75" x14ac:dyDescent="0.25">
      <c r="A136" s="198" t="s">
        <v>478</v>
      </c>
      <c r="B136" s="330">
        <f t="shared" si="53"/>
        <v>2.5792890840300807E-2</v>
      </c>
      <c r="C136" s="186">
        <f>C44+C89+C85</f>
        <v>52500</v>
      </c>
      <c r="D136" s="186">
        <f>D44+D89+D85</f>
        <v>53900</v>
      </c>
      <c r="E136" s="186">
        <f>E44+E89+E85</f>
        <v>55200</v>
      </c>
      <c r="F136" s="186">
        <f>F44+F89+F85</f>
        <v>56600</v>
      </c>
      <c r="G136" s="186">
        <f>G44+G89+G85</f>
        <v>57900</v>
      </c>
      <c r="H136" s="186">
        <f t="shared" si="52"/>
        <v>276100</v>
      </c>
      <c r="I136" s="248"/>
    </row>
    <row r="137" spans="1:9" ht="15.75" x14ac:dyDescent="0.25">
      <c r="A137" s="198" t="s">
        <v>479</v>
      </c>
      <c r="B137" s="330">
        <f t="shared" si="53"/>
        <v>1.7553365407071791E-2</v>
      </c>
      <c r="C137" s="186">
        <f>C45+C90</f>
        <v>35800</v>
      </c>
      <c r="D137" s="186">
        <f>D45+D90</f>
        <v>36600</v>
      </c>
      <c r="E137" s="186">
        <f>E45+E90</f>
        <v>37600</v>
      </c>
      <c r="F137" s="186">
        <f>F45+F90</f>
        <v>38500</v>
      </c>
      <c r="G137" s="186">
        <f>G45+G90</f>
        <v>39400</v>
      </c>
      <c r="H137" s="186">
        <f t="shared" si="52"/>
        <v>187900</v>
      </c>
      <c r="I137" s="248"/>
    </row>
    <row r="138" spans="1:9" ht="15.75" x14ac:dyDescent="0.25">
      <c r="A138" s="201" t="s">
        <v>471</v>
      </c>
      <c r="B138" s="330">
        <f t="shared" si="53"/>
        <v>1.7506656079219019E-2</v>
      </c>
      <c r="C138" s="176">
        <f>C20</f>
        <v>35600</v>
      </c>
      <c r="D138" s="176">
        <f>D20</f>
        <v>36500</v>
      </c>
      <c r="E138" s="176">
        <f>E20</f>
        <v>37500</v>
      </c>
      <c r="F138" s="176">
        <f>F20</f>
        <v>38500</v>
      </c>
      <c r="G138" s="176">
        <f>G20</f>
        <v>39300</v>
      </c>
      <c r="H138" s="176">
        <f t="shared" si="52"/>
        <v>187400</v>
      </c>
      <c r="I138" s="248"/>
    </row>
    <row r="139" spans="1:9" ht="15.75" x14ac:dyDescent="0.25">
      <c r="A139" s="199" t="s">
        <v>480</v>
      </c>
      <c r="B139" s="330">
        <f t="shared" si="53"/>
        <v>1.6834041758139101E-2</v>
      </c>
      <c r="C139" s="186">
        <f>C46+C91</f>
        <v>34300</v>
      </c>
      <c r="D139" s="186">
        <f>D46+D91</f>
        <v>35200</v>
      </c>
      <c r="E139" s="186">
        <f>E46+E91</f>
        <v>36000</v>
      </c>
      <c r="F139" s="186">
        <f>F46+F91</f>
        <v>36900</v>
      </c>
      <c r="G139" s="186">
        <f>G46+G91</f>
        <v>37800</v>
      </c>
      <c r="H139" s="186">
        <f t="shared" si="52"/>
        <v>180200</v>
      </c>
      <c r="I139" s="248"/>
    </row>
    <row r="140" spans="1:9" ht="15.75" x14ac:dyDescent="0.25">
      <c r="A140" s="198" t="s">
        <v>482</v>
      </c>
      <c r="B140" s="330">
        <f t="shared" si="53"/>
        <v>1.0098556681769349E-2</v>
      </c>
      <c r="C140" s="186">
        <f>C48+C93</f>
        <v>20500</v>
      </c>
      <c r="D140" s="186">
        <f>D48+D93</f>
        <v>21100</v>
      </c>
      <c r="E140" s="186">
        <f>E48+E93</f>
        <v>21600</v>
      </c>
      <c r="F140" s="186">
        <f>F48+F93</f>
        <v>22200</v>
      </c>
      <c r="G140" s="186">
        <f>G48+G93</f>
        <v>22700</v>
      </c>
      <c r="H140" s="186">
        <f t="shared" si="52"/>
        <v>108100</v>
      </c>
      <c r="I140" s="248"/>
    </row>
    <row r="141" spans="1:9" ht="15.75" x14ac:dyDescent="0.25">
      <c r="A141" s="198" t="s">
        <v>485</v>
      </c>
      <c r="B141" s="330">
        <f t="shared" si="53"/>
        <v>8.0059787939651544E-3</v>
      </c>
      <c r="C141" s="186">
        <f>C52+C97</f>
        <v>16300</v>
      </c>
      <c r="D141" s="186">
        <f>D52+D97</f>
        <v>16600</v>
      </c>
      <c r="E141" s="186">
        <f>E52+E97</f>
        <v>17200</v>
      </c>
      <c r="F141" s="186">
        <f>F52+F97</f>
        <v>17600</v>
      </c>
      <c r="G141" s="186">
        <f>G52+G97</f>
        <v>18000</v>
      </c>
      <c r="H141" s="186">
        <f t="shared" si="52"/>
        <v>85700</v>
      </c>
      <c r="I141" s="248"/>
    </row>
    <row r="142" spans="1:9" ht="15.75" x14ac:dyDescent="0.25">
      <c r="A142" s="198" t="s">
        <v>483</v>
      </c>
      <c r="B142" s="330">
        <f t="shared" si="53"/>
        <v>7.6416460367135317E-3</v>
      </c>
      <c r="C142" s="186">
        <f>C49+C94</f>
        <v>15600</v>
      </c>
      <c r="D142" s="186">
        <f>D49+D94</f>
        <v>16000</v>
      </c>
      <c r="E142" s="186">
        <f>E49+E94</f>
        <v>16300</v>
      </c>
      <c r="F142" s="186">
        <f>F49+F94</f>
        <v>16700</v>
      </c>
      <c r="G142" s="186">
        <f>G49+G94</f>
        <v>17200</v>
      </c>
      <c r="H142" s="186">
        <f t="shared" si="52"/>
        <v>81800</v>
      </c>
      <c r="I142" s="248"/>
    </row>
    <row r="143" spans="1:9" ht="15.75" x14ac:dyDescent="0.25">
      <c r="A143" s="198" t="s">
        <v>493</v>
      </c>
      <c r="B143" s="330">
        <f t="shared" si="53"/>
        <v>6.9223223877808394E-3</v>
      </c>
      <c r="C143" s="186">
        <f>C84</f>
        <v>14100</v>
      </c>
      <c r="D143" s="186">
        <f>D84</f>
        <v>14400</v>
      </c>
      <c r="E143" s="186">
        <f>E84</f>
        <v>14800</v>
      </c>
      <c r="F143" s="186">
        <f>F84</f>
        <v>15200</v>
      </c>
      <c r="G143" s="186">
        <f>G84</f>
        <v>15600</v>
      </c>
      <c r="H143" s="186">
        <f t="shared" si="52"/>
        <v>74100</v>
      </c>
      <c r="I143" s="248"/>
    </row>
    <row r="144" spans="1:9" ht="15.75" x14ac:dyDescent="0.25">
      <c r="A144" s="201" t="s">
        <v>472</v>
      </c>
      <c r="B144" s="330">
        <f t="shared" si="53"/>
        <v>5.9040590405904057E-3</v>
      </c>
      <c r="C144" s="176">
        <f>C21</f>
        <v>12000</v>
      </c>
      <c r="D144" s="250">
        <f>D21</f>
        <v>12400</v>
      </c>
      <c r="E144" s="250">
        <f>E21</f>
        <v>12600</v>
      </c>
      <c r="F144" s="176">
        <f>F21</f>
        <v>12900</v>
      </c>
      <c r="G144" s="250">
        <f>G21</f>
        <v>13300</v>
      </c>
      <c r="H144" s="176">
        <f t="shared" si="52"/>
        <v>63200</v>
      </c>
      <c r="I144" s="248"/>
    </row>
    <row r="145" spans="1:9" ht="15.75" x14ac:dyDescent="0.25">
      <c r="A145" s="337" t="s">
        <v>484</v>
      </c>
      <c r="B145" s="330">
        <f t="shared" si="53"/>
        <v>5.3715727030688026E-3</v>
      </c>
      <c r="C145" s="186">
        <f t="shared" ref="C145:G146" si="54">C50+C95</f>
        <v>10900</v>
      </c>
      <c r="D145" s="186">
        <f t="shared" si="54"/>
        <v>11200</v>
      </c>
      <c r="E145" s="186">
        <f t="shared" si="54"/>
        <v>11500</v>
      </c>
      <c r="F145" s="186">
        <f t="shared" si="54"/>
        <v>11800</v>
      </c>
      <c r="G145" s="186">
        <f t="shared" si="54"/>
        <v>12100</v>
      </c>
      <c r="H145" s="186">
        <f t="shared" si="52"/>
        <v>57500</v>
      </c>
      <c r="I145" s="248"/>
    </row>
    <row r="146" spans="1:9" ht="15.75" x14ac:dyDescent="0.25">
      <c r="A146" s="198" t="s">
        <v>488</v>
      </c>
      <c r="B146" s="330">
        <f t="shared" si="53"/>
        <v>1.7282451305525714E-3</v>
      </c>
      <c r="C146" s="186">
        <f t="shared" si="54"/>
        <v>3500</v>
      </c>
      <c r="D146" s="186">
        <f t="shared" si="54"/>
        <v>3600</v>
      </c>
      <c r="E146" s="186">
        <f t="shared" si="54"/>
        <v>3700</v>
      </c>
      <c r="F146" s="186">
        <f t="shared" si="54"/>
        <v>3800</v>
      </c>
      <c r="G146" s="186">
        <f t="shared" si="54"/>
        <v>3900</v>
      </c>
      <c r="H146" s="186">
        <f t="shared" si="52"/>
        <v>18500</v>
      </c>
      <c r="I146" s="248"/>
    </row>
    <row r="147" spans="1:9" ht="16.5" thickBot="1" x14ac:dyDescent="0.3">
      <c r="A147" s="201" t="s">
        <v>486</v>
      </c>
      <c r="B147" s="330">
        <f t="shared" si="53"/>
        <v>1.5040403568592649E-3</v>
      </c>
      <c r="C147" s="176">
        <f>C53+C98</f>
        <v>3100</v>
      </c>
      <c r="D147" s="176">
        <f>D53+D98</f>
        <v>3100</v>
      </c>
      <c r="E147" s="176">
        <f>E53+E98</f>
        <v>3200</v>
      </c>
      <c r="F147" s="176">
        <f>F53+F98</f>
        <v>3300</v>
      </c>
      <c r="G147" s="176">
        <f>G53+G98</f>
        <v>3400</v>
      </c>
      <c r="H147" s="176">
        <f t="shared" si="52"/>
        <v>16100</v>
      </c>
      <c r="I147" s="248"/>
    </row>
    <row r="148" spans="1:9" ht="16.5" thickBot="1" x14ac:dyDescent="0.3">
      <c r="A148" s="190" t="s">
        <v>473</v>
      </c>
      <c r="B148" s="194">
        <f t="shared" ref="B148:H148" si="55">SUM(B130:B147)</f>
        <v>0.99999999999999978</v>
      </c>
      <c r="C148" s="195">
        <f t="shared" si="55"/>
        <v>2036500</v>
      </c>
      <c r="D148" s="195">
        <f t="shared" si="55"/>
        <v>2087400</v>
      </c>
      <c r="E148" s="195">
        <f t="shared" si="55"/>
        <v>2139600</v>
      </c>
      <c r="F148" s="195">
        <f t="shared" si="55"/>
        <v>2193100</v>
      </c>
      <c r="G148" s="195">
        <f t="shared" si="55"/>
        <v>2247900</v>
      </c>
      <c r="H148" s="195">
        <f t="shared" si="55"/>
        <v>10704500</v>
      </c>
    </row>
    <row r="149" spans="1:9" x14ac:dyDescent="0.25">
      <c r="A149" s="184" t="s">
        <v>487</v>
      </c>
      <c r="C149" s="248"/>
      <c r="D149" s="248"/>
      <c r="E149" s="248"/>
      <c r="F149" s="248"/>
      <c r="G149" s="248"/>
      <c r="H149" s="248"/>
    </row>
    <row r="150" spans="1:9" x14ac:dyDescent="0.25">
      <c r="C150" s="248"/>
      <c r="D150" s="248"/>
      <c r="E150" s="248"/>
      <c r="F150" s="248"/>
      <c r="G150" s="248"/>
      <c r="H150" s="248"/>
    </row>
    <row r="152" spans="1:9" ht="16.5" hidden="1" thickBot="1" x14ac:dyDescent="0.3">
      <c r="A152" s="196" t="s">
        <v>527</v>
      </c>
    </row>
    <row r="153" spans="1:9" ht="14.25" hidden="1" customHeight="1" x14ac:dyDescent="0.25">
      <c r="A153" s="363" t="s">
        <v>465</v>
      </c>
      <c r="B153" s="363" t="s">
        <v>496</v>
      </c>
      <c r="C153" s="366" t="s">
        <v>467</v>
      </c>
      <c r="D153" s="366"/>
      <c r="E153" s="366"/>
      <c r="F153" s="366"/>
      <c r="G153" s="366"/>
      <c r="H153" s="366"/>
    </row>
    <row r="154" spans="1:9" hidden="1" x14ac:dyDescent="0.25">
      <c r="A154" s="364"/>
      <c r="B154" s="364"/>
      <c r="C154" s="187">
        <v>2025</v>
      </c>
      <c r="D154" s="187">
        <v>2026</v>
      </c>
      <c r="E154" s="187">
        <v>2027</v>
      </c>
      <c r="F154" s="187">
        <v>2028</v>
      </c>
      <c r="G154" s="187">
        <v>2029</v>
      </c>
      <c r="H154" s="187" t="s">
        <v>473</v>
      </c>
    </row>
    <row r="155" spans="1:9" ht="15.75" hidden="1" thickBot="1" x14ac:dyDescent="0.3">
      <c r="A155" s="365"/>
      <c r="B155" s="365"/>
      <c r="C155" s="188">
        <f>C7</f>
        <v>2036500</v>
      </c>
      <c r="D155" s="188">
        <f>D7</f>
        <v>2087400</v>
      </c>
      <c r="E155" s="188">
        <f>E7</f>
        <v>2139600</v>
      </c>
      <c r="F155" s="188">
        <f>F7</f>
        <v>2193100</v>
      </c>
      <c r="G155" s="188">
        <f>G7</f>
        <v>2247900</v>
      </c>
      <c r="H155" s="188">
        <f>SUM(C155:G155)</f>
        <v>10704500</v>
      </c>
    </row>
    <row r="156" spans="1:9" ht="15.75" hidden="1" x14ac:dyDescent="0.25">
      <c r="A156" s="197" t="s">
        <v>475</v>
      </c>
      <c r="B156" s="189">
        <f>H156/$H$129</f>
        <v>0.29080298322081932</v>
      </c>
      <c r="C156" s="186">
        <f>C106+C61</f>
        <v>581673.923134677</v>
      </c>
      <c r="D156" s="186">
        <f>D106+D61</f>
        <v>616742.90503075719</v>
      </c>
      <c r="E156" s="186">
        <f>E106+E61</f>
        <v>619412.90429219895</v>
      </c>
      <c r="F156" s="186">
        <f>F106+F61</f>
        <v>627220.96935927251</v>
      </c>
      <c r="G156" s="186">
        <f>G106+G61</f>
        <v>667849.83207035507</v>
      </c>
      <c r="H156" s="186">
        <f>SUM(C156:G156)</f>
        <v>3112900.5338872606</v>
      </c>
      <c r="I156" s="247"/>
    </row>
    <row r="157" spans="1:9" ht="15.75" hidden="1" x14ac:dyDescent="0.25">
      <c r="A157" s="198" t="s">
        <v>468</v>
      </c>
      <c r="B157" s="189">
        <f t="shared" ref="B157" si="56">H157/$H$129</f>
        <v>0.21165530488979398</v>
      </c>
      <c r="C157" s="186">
        <f>C62+C28</f>
        <v>430995.65909206867</v>
      </c>
      <c r="D157" s="186">
        <f>D62+D28</f>
        <v>435900.45814512984</v>
      </c>
      <c r="E157" s="186">
        <f>E62+E28</f>
        <v>454988.15231122368</v>
      </c>
      <c r="F157" s="186">
        <f>F62+F28</f>
        <v>470416.54817899049</v>
      </c>
      <c r="G157" s="186">
        <f>G62+G28</f>
        <v>473363.39346538723</v>
      </c>
      <c r="H157" s="186">
        <f t="shared" ref="H157" si="57">SUM(C157:G157)</f>
        <v>2265664.2111927997</v>
      </c>
      <c r="I157" s="247"/>
    </row>
    <row r="158" spans="1:9" ht="15.75" hidden="1" x14ac:dyDescent="0.25">
      <c r="A158" s="198" t="s">
        <v>469</v>
      </c>
      <c r="B158" s="189">
        <f>H158/$H$129</f>
        <v>0.19046510958718416</v>
      </c>
      <c r="C158" s="186">
        <f>C109+C63+C29</f>
        <v>396209.32008190488</v>
      </c>
      <c r="D158" s="186">
        <f>D109+D63+D29</f>
        <v>389901.61308468116</v>
      </c>
      <c r="E158" s="186">
        <f>E109+E63+E29</f>
        <v>409721.39530512213</v>
      </c>
      <c r="F158" s="186">
        <f>F109+F63+F29</f>
        <v>426030.39310215157</v>
      </c>
      <c r="G158" s="186">
        <f>G109+G63+G29</f>
        <v>416971.04400215333</v>
      </c>
      <c r="H158" s="186">
        <f>SUM(C158:G158)</f>
        <v>2038833.7655760129</v>
      </c>
      <c r="I158" s="247"/>
    </row>
    <row r="159" spans="1:9" ht="15.75" hidden="1" x14ac:dyDescent="0.25">
      <c r="A159" s="198" t="s">
        <v>476</v>
      </c>
      <c r="B159" s="189">
        <f t="shared" ref="B159:B161" si="58">H159/$H$129</f>
        <v>7.3014499460482579E-2</v>
      </c>
      <c r="C159" s="186">
        <f>C110+C64</f>
        <v>146046.06141417698</v>
      </c>
      <c r="D159" s="186">
        <f>D110+D64</f>
        <v>154851.14357451603</v>
      </c>
      <c r="E159" s="186">
        <f>E110+E64</f>
        <v>155521.52411007608</v>
      </c>
      <c r="F159" s="186">
        <f>F110+F64</f>
        <v>157481.96466784831</v>
      </c>
      <c r="G159" s="186">
        <f>G110+G64</f>
        <v>167683.0157081183</v>
      </c>
      <c r="H159" s="186">
        <f t="shared" ref="H159:H161" si="59">SUM(C159:G159)</f>
        <v>781583.70947473578</v>
      </c>
      <c r="I159" s="247"/>
    </row>
    <row r="160" spans="1:9" ht="15.75" hidden="1" x14ac:dyDescent="0.25">
      <c r="A160" s="198" t="s">
        <v>477</v>
      </c>
      <c r="B160" s="189">
        <f t="shared" si="58"/>
        <v>6.7550002478341198E-2</v>
      </c>
      <c r="C160" s="186">
        <f>C111+C65+C30</f>
        <v>139480.9784908467</v>
      </c>
      <c r="D160" s="186">
        <f>D111+D65+D30</f>
        <v>139238.41882166523</v>
      </c>
      <c r="E160" s="186">
        <f>E111+E65+E30</f>
        <v>145036.5443438025</v>
      </c>
      <c r="F160" s="186">
        <f>F111+F65+F30</f>
        <v>150057.98324588334</v>
      </c>
      <c r="G160" s="186">
        <f>G111+G65+G30</f>
        <v>149275.07662720562</v>
      </c>
      <c r="H160" s="186">
        <f t="shared" si="59"/>
        <v>723089.00152940338</v>
      </c>
      <c r="I160" s="247"/>
    </row>
    <row r="161" spans="1:9" ht="15.75" hidden="1" x14ac:dyDescent="0.25">
      <c r="A161" s="198" t="s">
        <v>478</v>
      </c>
      <c r="B161" s="189">
        <f t="shared" si="58"/>
        <v>2.0190248746430269E-2</v>
      </c>
      <c r="C161" s="186">
        <f>C112+C66</f>
        <v>40385.215678765075</v>
      </c>
      <c r="D161" s="186">
        <f>D112+D66</f>
        <v>42820.030686244769</v>
      </c>
      <c r="E161" s="186">
        <f>E112+E66</f>
        <v>43005.40687683344</v>
      </c>
      <c r="F161" s="186">
        <f>F112+F66</f>
        <v>43547.51540057172</v>
      </c>
      <c r="G161" s="186">
        <f>G112+G66</f>
        <v>46368.349063747824</v>
      </c>
      <c r="H161" s="186">
        <f t="shared" si="59"/>
        <v>216126.51770616282</v>
      </c>
      <c r="I161" s="247"/>
    </row>
    <row r="162" spans="1:9" ht="15.75" hidden="1" x14ac:dyDescent="0.25">
      <c r="A162" s="201" t="s">
        <v>471</v>
      </c>
      <c r="B162" s="189">
        <f>H162/$H$129</f>
        <v>1.750668324995542E-2</v>
      </c>
      <c r="C162" s="176">
        <f>C31</f>
        <v>38360.025354038298</v>
      </c>
      <c r="D162" s="176">
        <f>D31</f>
        <v>34047.748356796423</v>
      </c>
      <c r="E162" s="176">
        <f>E31</f>
        <v>38173.386595408003</v>
      </c>
      <c r="F162" s="176">
        <f>F31</f>
        <v>41099.697996154558</v>
      </c>
      <c r="G162" s="176">
        <f>G31</f>
        <v>35719.43254675046</v>
      </c>
      <c r="H162" s="176">
        <f>SUM(C162:G162)</f>
        <v>187400.29084914777</v>
      </c>
      <c r="I162" s="247"/>
    </row>
    <row r="163" spans="1:9" ht="15.75" hidden="1" x14ac:dyDescent="0.25">
      <c r="A163" s="198" t="s">
        <v>479</v>
      </c>
      <c r="B163" s="189">
        <f t="shared" ref="B163:B171" si="60">H163/$H$129</f>
        <v>1.7210636016207016E-2</v>
      </c>
      <c r="C163" s="186">
        <f t="shared" ref="C163:G171" si="61">C113+C67</f>
        <v>34425.293923440709</v>
      </c>
      <c r="D163" s="186">
        <f t="shared" si="61"/>
        <v>36500.786671787377</v>
      </c>
      <c r="E163" s="186">
        <f t="shared" si="61"/>
        <v>36658.805633433738</v>
      </c>
      <c r="F163" s="186">
        <f t="shared" si="61"/>
        <v>37120.911504466778</v>
      </c>
      <c r="G163" s="186">
        <f t="shared" si="61"/>
        <v>39525.455502359393</v>
      </c>
      <c r="H163" s="186">
        <f t="shared" ref="H163:H171" si="62">SUM(C163:G163)</f>
        <v>184231.25323548802</v>
      </c>
      <c r="I163" s="247"/>
    </row>
    <row r="164" spans="1:9" ht="15.75" hidden="1" x14ac:dyDescent="0.25">
      <c r="A164" s="199" t="s">
        <v>480</v>
      </c>
      <c r="B164" s="189">
        <f t="shared" si="60"/>
        <v>3.2356200563882109E-2</v>
      </c>
      <c r="C164" s="186">
        <f t="shared" si="61"/>
        <v>64719.962330765818</v>
      </c>
      <c r="D164" s="186">
        <f t="shared" si="61"/>
        <v>68621.913401670405</v>
      </c>
      <c r="E164" s="186">
        <f t="shared" si="61"/>
        <v>68918.990930421292</v>
      </c>
      <c r="F164" s="186">
        <f t="shared" si="61"/>
        <v>69787.755468281044</v>
      </c>
      <c r="G164" s="186">
        <f t="shared" si="61"/>
        <v>74308.326804937475</v>
      </c>
      <c r="H164" s="186">
        <f t="shared" si="62"/>
        <v>346356.94893607602</v>
      </c>
      <c r="I164" s="247"/>
    </row>
    <row r="165" spans="1:9" ht="15.75" hidden="1" x14ac:dyDescent="0.25">
      <c r="A165" s="198" t="s">
        <v>481</v>
      </c>
      <c r="B165" s="189">
        <f t="shared" si="60"/>
        <v>2.7735806242295706E-2</v>
      </c>
      <c r="C165" s="186">
        <f t="shared" si="61"/>
        <v>55478.093964423912</v>
      </c>
      <c r="D165" s="186">
        <f t="shared" si="61"/>
        <v>58822.854998892624</v>
      </c>
      <c r="E165" s="186">
        <f t="shared" si="61"/>
        <v>59077.510509514366</v>
      </c>
      <c r="F165" s="186">
        <f t="shared" si="61"/>
        <v>59822.217380912392</v>
      </c>
      <c r="G165" s="186">
        <f t="shared" si="61"/>
        <v>63697.26106691108</v>
      </c>
      <c r="H165" s="186">
        <f t="shared" si="62"/>
        <v>296897.93792065437</v>
      </c>
      <c r="I165" s="247"/>
    </row>
    <row r="166" spans="1:9" ht="15.75" hidden="1" x14ac:dyDescent="0.25">
      <c r="A166" s="198" t="s">
        <v>482</v>
      </c>
      <c r="B166" s="189">
        <f t="shared" si="60"/>
        <v>9.9168636601352379E-3</v>
      </c>
      <c r="C166" s="186">
        <f t="shared" si="61"/>
        <v>19836.044756124087</v>
      </c>
      <c r="D166" s="186">
        <f t="shared" si="61"/>
        <v>21031.955156737473</v>
      </c>
      <c r="E166" s="186">
        <f t="shared" si="61"/>
        <v>21123.006556400298</v>
      </c>
      <c r="F166" s="186">
        <f t="shared" si="61"/>
        <v>21389.274515078134</v>
      </c>
      <c r="G166" s="186">
        <f t="shared" si="61"/>
        <v>22774.786065577639</v>
      </c>
      <c r="H166" s="186">
        <f t="shared" si="62"/>
        <v>106155.06704991765</v>
      </c>
      <c r="I166" s="247"/>
    </row>
    <row r="167" spans="1:9" ht="15.75" hidden="1" x14ac:dyDescent="0.25">
      <c r="A167" s="198" t="s">
        <v>483</v>
      </c>
      <c r="B167" s="189">
        <f t="shared" si="60"/>
        <v>7.4952749681349478E-3</v>
      </c>
      <c r="C167" s="186">
        <f t="shared" si="61"/>
        <v>14992.301479856573</v>
      </c>
      <c r="D167" s="186">
        <f t="shared" si="61"/>
        <v>15896.183755246</v>
      </c>
      <c r="E167" s="186">
        <f t="shared" si="61"/>
        <v>15965.001407690876</v>
      </c>
      <c r="F167" s="186">
        <f t="shared" si="61"/>
        <v>16166.249668622111</v>
      </c>
      <c r="G167" s="186">
        <f t="shared" si="61"/>
        <v>17213.434584984985</v>
      </c>
      <c r="H167" s="186">
        <f t="shared" si="62"/>
        <v>80233.170896400552</v>
      </c>
      <c r="I167" s="247"/>
    </row>
    <row r="168" spans="1:9" ht="15.75" hidden="1" x14ac:dyDescent="0.25">
      <c r="A168" s="198" t="s">
        <v>484</v>
      </c>
      <c r="B168" s="189">
        <f t="shared" si="60"/>
        <v>5.2636221347321941E-3</v>
      </c>
      <c r="C168" s="186">
        <f t="shared" si="61"/>
        <v>10528.474306205133</v>
      </c>
      <c r="D168" s="186">
        <f t="shared" si="61"/>
        <v>11163.233507456393</v>
      </c>
      <c r="E168" s="186">
        <f t="shared" si="61"/>
        <v>11211.561303329008</v>
      </c>
      <c r="F168" s="186">
        <f t="shared" si="61"/>
        <v>11352.889647561535</v>
      </c>
      <c r="G168" s="186">
        <f t="shared" si="61"/>
        <v>12088.284376688713</v>
      </c>
      <c r="H168" s="186">
        <f t="shared" si="62"/>
        <v>56344.443141240772</v>
      </c>
      <c r="I168" s="247"/>
    </row>
    <row r="169" spans="1:9" ht="15.75" hidden="1" x14ac:dyDescent="0.25">
      <c r="A169" s="198" t="s">
        <v>488</v>
      </c>
      <c r="B169" s="189">
        <f t="shared" si="60"/>
        <v>1.6916647968212592E-3</v>
      </c>
      <c r="C169" s="186">
        <f t="shared" si="61"/>
        <v>3383.7249126452607</v>
      </c>
      <c r="D169" s="186">
        <f t="shared" si="61"/>
        <v>3587.7288794440224</v>
      </c>
      <c r="E169" s="186">
        <f t="shared" si="61"/>
        <v>3603.2608513244145</v>
      </c>
      <c r="F169" s="186">
        <f t="shared" si="61"/>
        <v>3648.6820800166529</v>
      </c>
      <c r="G169" s="186">
        <f t="shared" si="61"/>
        <v>3885.0290941428193</v>
      </c>
      <c r="H169" s="186">
        <f t="shared" si="62"/>
        <v>18108.42581757317</v>
      </c>
      <c r="I169" s="247"/>
    </row>
    <row r="170" spans="1:9" ht="15.75" hidden="1" x14ac:dyDescent="0.25">
      <c r="A170" s="198" t="s">
        <v>485</v>
      </c>
      <c r="B170" s="189">
        <f t="shared" si="60"/>
        <v>7.8597163431173341E-3</v>
      </c>
      <c r="C170" s="186">
        <f t="shared" si="61"/>
        <v>15721.269394802723</v>
      </c>
      <c r="D170" s="186">
        <f t="shared" si="61"/>
        <v>16669.100971674161</v>
      </c>
      <c r="E170" s="186">
        <f t="shared" si="61"/>
        <v>16741.264732165331</v>
      </c>
      <c r="F170" s="186">
        <f t="shared" si="61"/>
        <v>16952.298250240354</v>
      </c>
      <c r="G170" s="186">
        <f t="shared" si="61"/>
        <v>18050.400246016936</v>
      </c>
      <c r="H170" s="186">
        <f t="shared" si="62"/>
        <v>84134.333594899508</v>
      </c>
      <c r="I170" s="247"/>
    </row>
    <row r="171" spans="1:9" ht="15.75" hidden="1" x14ac:dyDescent="0.25">
      <c r="A171" s="201" t="s">
        <v>486</v>
      </c>
      <c r="B171" s="189">
        <f t="shared" si="60"/>
        <v>1.4846165852606009E-3</v>
      </c>
      <c r="C171" s="176">
        <f t="shared" si="61"/>
        <v>2969.5801051793219</v>
      </c>
      <c r="D171" s="176">
        <f t="shared" si="61"/>
        <v>3148.6153804522373</v>
      </c>
      <c r="E171" s="176">
        <f t="shared" si="61"/>
        <v>3162.2463451083327</v>
      </c>
      <c r="F171" s="176">
        <f t="shared" si="61"/>
        <v>3202.1083257833006</v>
      </c>
      <c r="G171" s="176">
        <f t="shared" si="61"/>
        <v>3409.5280803989085</v>
      </c>
      <c r="H171" s="176">
        <f t="shared" si="62"/>
        <v>15892.078236922101</v>
      </c>
      <c r="I171" s="247"/>
    </row>
    <row r="172" spans="1:9" ht="15.75" hidden="1" x14ac:dyDescent="0.25">
      <c r="A172" s="198" t="s">
        <v>493</v>
      </c>
      <c r="B172" s="189">
        <f>H172/$H$129</f>
        <v>6.7817020964607072E-3</v>
      </c>
      <c r="C172" s="186">
        <f>C107</f>
        <v>16164.932160067663</v>
      </c>
      <c r="D172" s="186">
        <f>D107</f>
        <v>15375.645290045246</v>
      </c>
      <c r="E172" s="186">
        <f>E107</f>
        <v>13912.234402921831</v>
      </c>
      <c r="F172" s="186">
        <f>F107</f>
        <v>13648.202496223941</v>
      </c>
      <c r="G172" s="186">
        <f>G107</f>
        <v>13493.715742304961</v>
      </c>
      <c r="H172" s="186">
        <f>SUM(C172:G172)</f>
        <v>72594.730091563644</v>
      </c>
      <c r="I172" s="247"/>
    </row>
    <row r="173" spans="1:9" ht="16.5" hidden="1" thickBot="1" x14ac:dyDescent="0.3">
      <c r="A173" s="202" t="s">
        <v>472</v>
      </c>
      <c r="B173" s="189">
        <f>H173/$H$129</f>
        <v>5.9030440801597145E-3</v>
      </c>
      <c r="C173" s="176">
        <f>C32</f>
        <v>12934.54147469704</v>
      </c>
      <c r="D173" s="176">
        <f>D32</f>
        <v>11480.493278523594</v>
      </c>
      <c r="E173" s="176">
        <f>E32</f>
        <v>12871.609118891511</v>
      </c>
      <c r="F173" s="176">
        <f>F32</f>
        <v>13858.326302509076</v>
      </c>
      <c r="G173" s="176">
        <f>G32</f>
        <v>12044.165181448432</v>
      </c>
      <c r="H173" s="176">
        <f>SUM(C173:G173)</f>
        <v>63189.135356069659</v>
      </c>
      <c r="I173" s="247"/>
    </row>
    <row r="174" spans="1:9" ht="16.5" hidden="1" thickBot="1" x14ac:dyDescent="0.3">
      <c r="A174" s="198" t="s">
        <v>492</v>
      </c>
      <c r="B174" s="189">
        <f>H174/$H$129</f>
        <v>5.1160208797861473E-3</v>
      </c>
      <c r="C174" s="186">
        <f>C108</f>
        <v>12194.597945314203</v>
      </c>
      <c r="D174" s="186">
        <f>D108</f>
        <v>11599.171008279747</v>
      </c>
      <c r="E174" s="186">
        <f>E108</f>
        <v>10495.194374134013</v>
      </c>
      <c r="F174" s="186">
        <f>F108</f>
        <v>10296.012409432096</v>
      </c>
      <c r="G174" s="186">
        <f>G108</f>
        <v>10179.469770510761</v>
      </c>
      <c r="H174" s="186">
        <f>SUM(C174:G174)</f>
        <v>54764.445507670818</v>
      </c>
      <c r="I174" s="247"/>
    </row>
    <row r="175" spans="1:9" ht="16.5" hidden="1" thickBot="1" x14ac:dyDescent="0.3">
      <c r="A175" s="190" t="s">
        <v>473</v>
      </c>
      <c r="B175" s="194">
        <f t="shared" ref="B175:H175" si="63">SUM(B156:B174)</f>
        <v>0.99999999999999978</v>
      </c>
      <c r="C175" s="195">
        <f t="shared" si="63"/>
        <v>2036499.9999999993</v>
      </c>
      <c r="D175" s="195">
        <f t="shared" si="63"/>
        <v>2087400</v>
      </c>
      <c r="E175" s="195">
        <f t="shared" si="63"/>
        <v>2139599.9999999995</v>
      </c>
      <c r="F175" s="195">
        <f t="shared" si="63"/>
        <v>2193100</v>
      </c>
      <c r="G175" s="195">
        <f t="shared" si="63"/>
        <v>2247899.9999999995</v>
      </c>
      <c r="H175" s="195">
        <f t="shared" si="63"/>
        <v>10704500.000000002</v>
      </c>
    </row>
    <row r="176" spans="1:9" hidden="1" x14ac:dyDescent="0.25">
      <c r="A176" s="184" t="s">
        <v>487</v>
      </c>
    </row>
  </sheetData>
  <mergeCells count="28">
    <mergeCell ref="C14:H14"/>
    <mergeCell ref="A14:A16"/>
    <mergeCell ref="B14:B16"/>
    <mergeCell ref="A25:A27"/>
    <mergeCell ref="B25:B27"/>
    <mergeCell ref="C25:H25"/>
    <mergeCell ref="A80:A82"/>
    <mergeCell ref="B80:B82"/>
    <mergeCell ref="C80:H80"/>
    <mergeCell ref="A58:A60"/>
    <mergeCell ref="B58:B60"/>
    <mergeCell ref="C58:H58"/>
    <mergeCell ref="A153:A155"/>
    <mergeCell ref="B153:B155"/>
    <mergeCell ref="C153:H153"/>
    <mergeCell ref="A8:B8"/>
    <mergeCell ref="A7:B7"/>
    <mergeCell ref="A9:B9"/>
    <mergeCell ref="A10:B10"/>
    <mergeCell ref="A103:A105"/>
    <mergeCell ref="B103:B105"/>
    <mergeCell ref="C103:H103"/>
    <mergeCell ref="A127:A129"/>
    <mergeCell ref="B127:B129"/>
    <mergeCell ref="C127:H127"/>
    <mergeCell ref="A36:A38"/>
    <mergeCell ref="B36:B38"/>
    <mergeCell ref="C36:H36"/>
  </mergeCells>
  <conditionalFormatting sqref="C22">
    <cfRule type="cellIs" dxfId="41" priority="26" operator="equal">
      <formula>$C$16</formula>
    </cfRule>
  </conditionalFormatting>
  <conditionalFormatting sqref="C54">
    <cfRule type="cellIs" dxfId="40" priority="32" operator="equal">
      <formula>$C$38</formula>
    </cfRule>
  </conditionalFormatting>
  <conditionalFormatting sqref="C99">
    <cfRule type="cellIs" dxfId="39" priority="20" operator="equal">
      <formula>$C$82</formula>
    </cfRule>
    <cfRule type="cellIs" dxfId="38" priority="38" operator="equal">
      <formula>" =$C$77"</formula>
    </cfRule>
  </conditionalFormatting>
  <conditionalFormatting sqref="C129 C175">
    <cfRule type="cellIs" dxfId="37" priority="66" operator="equal">
      <formula>$C$7</formula>
    </cfRule>
  </conditionalFormatting>
  <conditionalFormatting sqref="C148">
    <cfRule type="cellIs" dxfId="36" priority="14" operator="equal">
      <formula>$C$7</formula>
    </cfRule>
    <cfRule type="cellIs" dxfId="35" priority="15" operator="greaterThan">
      <formula>$C$7</formula>
    </cfRule>
  </conditionalFormatting>
  <conditionalFormatting sqref="D22">
    <cfRule type="cellIs" dxfId="34" priority="25" operator="equal">
      <formula>$D$16</formula>
    </cfRule>
  </conditionalFormatting>
  <conditionalFormatting sqref="D54">
    <cfRule type="cellIs" dxfId="33" priority="31" operator="equal">
      <formula>$D$38</formula>
    </cfRule>
  </conditionalFormatting>
  <conditionalFormatting sqref="D99">
    <cfRule type="cellIs" dxfId="32" priority="37" operator="equal">
      <formula>$D$82</formula>
    </cfRule>
  </conditionalFormatting>
  <conditionalFormatting sqref="D129">
    <cfRule type="cellIs" dxfId="31" priority="86" operator="equal">
      <formula>$D$7</formula>
    </cfRule>
    <cfRule type="cellIs" dxfId="30" priority="87" operator="equal">
      <formula>"$2,139,500 =$C$5"</formula>
    </cfRule>
  </conditionalFormatting>
  <conditionalFormatting sqref="D148">
    <cfRule type="cellIs" dxfId="29" priority="4" operator="equal">
      <formula>$D$7</formula>
    </cfRule>
    <cfRule type="cellIs" dxfId="28" priority="13" operator="greaterThan">
      <formula>$D$7</formula>
    </cfRule>
  </conditionalFormatting>
  <conditionalFormatting sqref="D175">
    <cfRule type="cellIs" dxfId="27" priority="65" operator="equal">
      <formula>$D$7</formula>
    </cfRule>
  </conditionalFormatting>
  <conditionalFormatting sqref="E22">
    <cfRule type="cellIs" dxfId="26" priority="24" operator="equal">
      <formula>$E$16</formula>
    </cfRule>
  </conditionalFormatting>
  <conditionalFormatting sqref="E54">
    <cfRule type="cellIs" dxfId="25" priority="30" operator="equal">
      <formula>$E$38</formula>
    </cfRule>
  </conditionalFormatting>
  <conditionalFormatting sqref="E99">
    <cfRule type="cellIs" dxfId="24" priority="36" operator="equal">
      <formula>$E$82</formula>
    </cfRule>
  </conditionalFormatting>
  <conditionalFormatting sqref="E129">
    <cfRule type="cellIs" dxfId="23" priority="3" operator="equal">
      <formula>$E$7</formula>
    </cfRule>
  </conditionalFormatting>
  <conditionalFormatting sqref="E148">
    <cfRule type="cellIs" dxfId="22" priority="6" operator="lessThan">
      <formula>$E$7</formula>
    </cfRule>
    <cfRule type="cellIs" dxfId="21" priority="9" operator="equal">
      <formula>$E$7</formula>
    </cfRule>
    <cfRule type="cellIs" dxfId="20" priority="12" operator="greaterThan">
      <formula>$E$7</formula>
    </cfRule>
  </conditionalFormatting>
  <conditionalFormatting sqref="E175">
    <cfRule type="cellIs" dxfId="19" priority="64" operator="equal">
      <formula>$E$7</formula>
    </cfRule>
  </conditionalFormatting>
  <conditionalFormatting sqref="F22">
    <cfRule type="cellIs" dxfId="18" priority="23" operator="equal">
      <formula>$F$16</formula>
    </cfRule>
  </conditionalFormatting>
  <conditionalFormatting sqref="F54">
    <cfRule type="cellIs" dxfId="17" priority="29" operator="equal">
      <formula>$F$38</formula>
    </cfRule>
  </conditionalFormatting>
  <conditionalFormatting sqref="F99">
    <cfRule type="cellIs" dxfId="16" priority="35" operator="equal">
      <formula>$F$82</formula>
    </cfRule>
  </conditionalFormatting>
  <conditionalFormatting sqref="F129 F175">
    <cfRule type="cellIs" dxfId="15" priority="63" operator="equal">
      <formula>$F$7</formula>
    </cfRule>
  </conditionalFormatting>
  <conditionalFormatting sqref="F148">
    <cfRule type="cellIs" dxfId="14" priority="5" operator="lessThan">
      <formula>$F$7</formula>
    </cfRule>
    <cfRule type="cellIs" dxfId="13" priority="8" operator="equal">
      <formula>$F$7</formula>
    </cfRule>
    <cfRule type="cellIs" dxfId="12" priority="11" operator="greaterThan">
      <formula>$F$7</formula>
    </cfRule>
  </conditionalFormatting>
  <conditionalFormatting sqref="G22">
    <cfRule type="cellIs" dxfId="11" priority="22" operator="equal">
      <formula>$G$16</formula>
    </cfRule>
  </conditionalFormatting>
  <conditionalFormatting sqref="G54">
    <cfRule type="cellIs" dxfId="10" priority="28" operator="equal">
      <formula>$G$38</formula>
    </cfRule>
  </conditionalFormatting>
  <conditionalFormatting sqref="G99">
    <cfRule type="cellIs" dxfId="9" priority="34" operator="equal">
      <formula>$G$82</formula>
    </cfRule>
  </conditionalFormatting>
  <conditionalFormatting sqref="G129">
    <cfRule type="cellIs" dxfId="8" priority="16" operator="equal">
      <formula>$G$7</formula>
    </cfRule>
  </conditionalFormatting>
  <conditionalFormatting sqref="G148">
    <cfRule type="cellIs" dxfId="7" priority="7" operator="equal">
      <formula>$G$7</formula>
    </cfRule>
    <cfRule type="cellIs" dxfId="6" priority="10" operator="greaterThan">
      <formula>$G$7</formula>
    </cfRule>
  </conditionalFormatting>
  <conditionalFormatting sqref="G175">
    <cfRule type="cellIs" dxfId="5" priority="84" operator="equal">
      <formula>$G$7</formula>
    </cfRule>
  </conditionalFormatting>
  <conditionalFormatting sqref="H22">
    <cfRule type="cellIs" dxfId="4" priority="21" operator="equal">
      <formula>$H$16</formula>
    </cfRule>
  </conditionalFormatting>
  <conditionalFormatting sqref="H54">
    <cfRule type="cellIs" dxfId="3" priority="27" operator="equal">
      <formula>$H$38</formula>
    </cfRule>
  </conditionalFormatting>
  <conditionalFormatting sqref="H99">
    <cfRule type="cellIs" dxfId="2" priority="33" operator="equal">
      <formula>$H$82</formula>
    </cfRule>
  </conditionalFormatting>
  <conditionalFormatting sqref="H129">
    <cfRule type="cellIs" dxfId="1" priority="39" operator="equal">
      <formula>10704500</formula>
    </cfRule>
  </conditionalFormatting>
  <conditionalFormatting sqref="H148">
    <cfRule type="cellIs" dxfId="0" priority="1" operator="equal">
      <formula>$H$7</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42FF0-D97E-47DC-AB77-125F2DE8B196}">
  <dimension ref="B1:AJ81"/>
  <sheetViews>
    <sheetView workbookViewId="0">
      <selection activeCell="C32" sqref="C32:G32"/>
    </sheetView>
  </sheetViews>
  <sheetFormatPr defaultRowHeight="12.75" x14ac:dyDescent="0.2"/>
  <cols>
    <col min="2" max="2" width="59.140625" customWidth="1"/>
    <col min="3" max="8" width="14.140625" customWidth="1"/>
    <col min="10" max="14" width="14.140625" customWidth="1"/>
    <col min="15" max="15" width="8.140625" bestFit="1" customWidth="1"/>
    <col min="17" max="21" width="14.7109375" customWidth="1"/>
    <col min="22" max="22" width="8.140625" bestFit="1" customWidth="1"/>
    <col min="24" max="28" width="14.7109375" customWidth="1"/>
    <col min="29" max="29" width="8.140625" bestFit="1" customWidth="1"/>
    <col min="31" max="35" width="14.7109375" customWidth="1"/>
    <col min="36" max="36" width="8.140625" bestFit="1" customWidth="1"/>
  </cols>
  <sheetData>
    <row r="1" spans="2:36" ht="18.75" x14ac:dyDescent="0.3">
      <c r="B1" s="4" t="s">
        <v>450</v>
      </c>
    </row>
    <row r="2" spans="2:36" ht="15" x14ac:dyDescent="0.25">
      <c r="B2" s="7" t="str">
        <f>'Table of Contents'!$B$2</f>
        <v>DRAFT Proposed 5-Year Funding Levels (2025-2029) for discussion at March 26, 2024 RTF Policy Advisory Committee Meeting</v>
      </c>
    </row>
    <row r="3" spans="2:36" ht="15" x14ac:dyDescent="0.25">
      <c r="B3" s="138" t="s">
        <v>449</v>
      </c>
    </row>
    <row r="5" spans="2:36" ht="26.25" customHeight="1" x14ac:dyDescent="0.25">
      <c r="B5" s="10"/>
      <c r="C5" s="357" t="s">
        <v>255</v>
      </c>
      <c r="D5" s="358"/>
      <c r="E5" s="358"/>
      <c r="F5" s="358"/>
      <c r="G5" s="359"/>
      <c r="H5" s="10"/>
      <c r="J5" s="357" t="s">
        <v>425</v>
      </c>
      <c r="K5" s="358"/>
      <c r="L5" s="358"/>
      <c r="M5" s="358"/>
      <c r="N5" s="359"/>
      <c r="Q5" s="357" t="s">
        <v>426</v>
      </c>
      <c r="R5" s="358"/>
      <c r="S5" s="358"/>
      <c r="T5" s="358"/>
      <c r="U5" s="359"/>
      <c r="X5" s="357" t="s">
        <v>427</v>
      </c>
      <c r="Y5" s="358"/>
      <c r="Z5" s="358"/>
      <c r="AA5" s="358"/>
      <c r="AB5" s="359"/>
      <c r="AE5" s="357" t="s">
        <v>428</v>
      </c>
      <c r="AF5" s="358"/>
      <c r="AG5" s="358"/>
      <c r="AH5" s="358"/>
      <c r="AI5" s="359"/>
    </row>
    <row r="6" spans="2:36" ht="63" x14ac:dyDescent="0.25">
      <c r="B6" s="51" t="s">
        <v>237</v>
      </c>
      <c r="C6" s="52" t="s">
        <v>257</v>
      </c>
      <c r="D6" s="52" t="s">
        <v>258</v>
      </c>
      <c r="E6" s="53" t="s">
        <v>259</v>
      </c>
      <c r="F6" s="53" t="s">
        <v>260</v>
      </c>
      <c r="G6" s="54" t="s">
        <v>261</v>
      </c>
      <c r="H6" s="52" t="s">
        <v>243</v>
      </c>
      <c r="I6" s="10"/>
      <c r="J6" s="52" t="s">
        <v>429</v>
      </c>
      <c r="K6" s="52" t="s">
        <v>430</v>
      </c>
      <c r="L6" s="53" t="s">
        <v>431</v>
      </c>
      <c r="M6" s="53" t="s">
        <v>432</v>
      </c>
      <c r="N6" s="54" t="s">
        <v>433</v>
      </c>
      <c r="O6" s="52" t="s">
        <v>243</v>
      </c>
      <c r="P6" s="10"/>
      <c r="Q6" s="52" t="s">
        <v>434</v>
      </c>
      <c r="R6" s="52" t="s">
        <v>435</v>
      </c>
      <c r="S6" s="53" t="s">
        <v>436</v>
      </c>
      <c r="T6" s="53" t="s">
        <v>437</v>
      </c>
      <c r="U6" s="54" t="s">
        <v>438</v>
      </c>
      <c r="V6" s="52" t="s">
        <v>243</v>
      </c>
      <c r="X6" s="52" t="s">
        <v>439</v>
      </c>
      <c r="Y6" s="52" t="s">
        <v>440</v>
      </c>
      <c r="Z6" s="53" t="s">
        <v>441</v>
      </c>
      <c r="AA6" s="53" t="s">
        <v>442</v>
      </c>
      <c r="AB6" s="54" t="s">
        <v>443</v>
      </c>
      <c r="AC6" s="52" t="s">
        <v>243</v>
      </c>
      <c r="AE6" s="52" t="s">
        <v>444</v>
      </c>
      <c r="AF6" s="52" t="s">
        <v>445</v>
      </c>
      <c r="AG6" s="53" t="s">
        <v>446</v>
      </c>
      <c r="AH6" s="53" t="s">
        <v>447</v>
      </c>
      <c r="AI6" s="54" t="s">
        <v>448</v>
      </c>
      <c r="AJ6" s="52" t="s">
        <v>243</v>
      </c>
    </row>
    <row r="7" spans="2:36" ht="31.5" customHeight="1" x14ac:dyDescent="0.25">
      <c r="B7" s="46" t="s">
        <v>244</v>
      </c>
      <c r="C7" s="139">
        <f>'2025-2029 Category Detail'!B7</f>
        <v>104500</v>
      </c>
      <c r="D7" s="47">
        <f>'2025-2029 Category Detail'!C7</f>
        <v>313500</v>
      </c>
      <c r="E7" s="47">
        <f>'2025-2029 Category Detail'!D7</f>
        <v>0</v>
      </c>
      <c r="F7" s="47">
        <f>'2025-2029 Category Detail'!E7</f>
        <v>418000</v>
      </c>
      <c r="G7" s="48">
        <f>'2025-2029 Category Detail'!F7</f>
        <v>15200</v>
      </c>
      <c r="H7" s="49">
        <f t="shared" ref="H7:H16" si="0">F7/$F$17</f>
        <v>0.20525411244782715</v>
      </c>
      <c r="I7" s="26"/>
      <c r="J7" s="139">
        <f>'2025-2029 Category Detail'!L7</f>
        <v>107350</v>
      </c>
      <c r="K7" s="47">
        <f>'2025-2029 Category Detail'!M7</f>
        <v>321100</v>
      </c>
      <c r="L7" s="50">
        <f>'2025-2029 Category Detail'!N7</f>
        <v>0</v>
      </c>
      <c r="M7" s="50">
        <f>'2025-2029 Category Detail'!O7</f>
        <v>428450</v>
      </c>
      <c r="N7" s="48">
        <f>'2025-2029 Category Detail'!P7</f>
        <v>15580</v>
      </c>
      <c r="O7" s="49">
        <f t="shared" ref="O7:O16" si="1">M7/$M$17</f>
        <v>0.20525534157324901</v>
      </c>
      <c r="P7" s="10"/>
      <c r="Q7" s="139">
        <f>'2025-2029 Category Detail'!V7</f>
        <v>179800</v>
      </c>
      <c r="R7" s="47">
        <f>'2025-2029 Category Detail'!W7</f>
        <v>536300</v>
      </c>
      <c r="S7" s="50">
        <f>'2025-2029 Category Detail'!X7</f>
        <v>0</v>
      </c>
      <c r="T7" s="50">
        <f>'2025-2029 Category Detail'!Y7</f>
        <v>716100</v>
      </c>
      <c r="U7" s="48">
        <f>'2025-2029 Category Detail'!Z7</f>
        <v>26040</v>
      </c>
      <c r="V7" s="49">
        <f t="shared" ref="V7:V16" si="2">T7/$T$17</f>
        <v>0.33468872686483453</v>
      </c>
      <c r="X7" s="139">
        <f>'2025-2029 Category Detail'!AF7</f>
        <v>200600</v>
      </c>
      <c r="Y7" s="47">
        <f>'2025-2029 Category Detail'!AG7</f>
        <v>605200</v>
      </c>
      <c r="Z7" s="50">
        <f>'2025-2029 Category Detail'!AH7</f>
        <v>0</v>
      </c>
      <c r="AA7" s="50">
        <f>'2025-2029 Category Detail'!AI7</f>
        <v>805800</v>
      </c>
      <c r="AB7" s="48">
        <f>'2025-2029 Category Detail'!AJ7</f>
        <v>29240</v>
      </c>
      <c r="AC7" s="49">
        <f t="shared" ref="AC7:AC16" si="3">AA7/$AA$17</f>
        <v>0.36742510601431766</v>
      </c>
      <c r="AE7" s="139">
        <f>'2025-2029 Category Detail'!AP7</f>
        <v>146400</v>
      </c>
      <c r="AF7" s="47">
        <f>'2025-2029 Category Detail'!AQ7</f>
        <v>436800</v>
      </c>
      <c r="AG7" s="50">
        <f>'2025-2029 Category Detail'!AR7</f>
        <v>0</v>
      </c>
      <c r="AH7" s="50">
        <f>'2025-2029 Category Detail'!AS7</f>
        <v>583200</v>
      </c>
      <c r="AI7" s="48">
        <f>'2025-2029 Category Detail'!AT7</f>
        <v>21120</v>
      </c>
      <c r="AJ7" s="49">
        <f t="shared" ref="AJ7:AJ16" si="4">AH7/$AH$17</f>
        <v>0.25944214600293608</v>
      </c>
    </row>
    <row r="8" spans="2:36" ht="31.5" customHeight="1" x14ac:dyDescent="0.25">
      <c r="B8" s="46" t="s">
        <v>246</v>
      </c>
      <c r="C8" s="139">
        <f>'2025-2029 Category Detail'!B16</f>
        <v>60500</v>
      </c>
      <c r="D8" s="47">
        <f>'2025-2029 Category Detail'!C16</f>
        <v>440000</v>
      </c>
      <c r="E8" s="47">
        <f>'2025-2029 Category Detail'!D16</f>
        <v>0</v>
      </c>
      <c r="F8" s="50">
        <f>'2025-2029 Category Detail'!E16</f>
        <v>500500</v>
      </c>
      <c r="G8" s="48">
        <f>'2025-2029 Category Detail'!F16</f>
        <v>8800</v>
      </c>
      <c r="H8" s="49">
        <f t="shared" si="0"/>
        <v>0.24576479253621408</v>
      </c>
      <c r="I8" s="27"/>
      <c r="J8" s="139">
        <f>'2025-2029 Category Detail'!L16</f>
        <v>73450</v>
      </c>
      <c r="K8" s="47">
        <f>'2025-2029 Category Detail'!M16</f>
        <v>533000</v>
      </c>
      <c r="L8" s="47">
        <f>'2025-2029 Category Detail'!N16</f>
        <v>0</v>
      </c>
      <c r="M8" s="50">
        <f>'2025-2029 Category Detail'!O16</f>
        <v>606450</v>
      </c>
      <c r="N8" s="48">
        <f>'2025-2029 Category Detail'!P16</f>
        <v>10660</v>
      </c>
      <c r="O8" s="49">
        <f t="shared" si="1"/>
        <v>0.29052888761138257</v>
      </c>
      <c r="P8" s="10"/>
      <c r="Q8" s="139">
        <f>'2025-2029 Category Detail'!V16</f>
        <v>29000</v>
      </c>
      <c r="R8" s="47">
        <f>'2025-2029 Category Detail'!W16</f>
        <v>210000</v>
      </c>
      <c r="S8" s="47">
        <f>'2025-2029 Category Detail'!X16</f>
        <v>0</v>
      </c>
      <c r="T8" s="50">
        <f>'2025-2029 Category Detail'!Y16</f>
        <v>239000</v>
      </c>
      <c r="U8" s="48">
        <f>'2025-2029 Category Detail'!Z16</f>
        <v>4200</v>
      </c>
      <c r="V8" s="49">
        <f t="shared" si="2"/>
        <v>0.11170312207889325</v>
      </c>
      <c r="X8" s="139">
        <f>'2025-2029 Category Detail'!AF16</f>
        <v>0</v>
      </c>
      <c r="Y8" s="47">
        <f>'2025-2029 Category Detail'!AG16</f>
        <v>0</v>
      </c>
      <c r="Z8" s="47">
        <f>'2025-2029 Category Detail'!AH16</f>
        <v>0</v>
      </c>
      <c r="AA8" s="50">
        <f>'2025-2029 Category Detail'!AI16</f>
        <v>0</v>
      </c>
      <c r="AB8" s="48">
        <f>'2025-2029 Category Detail'!AJ16</f>
        <v>0</v>
      </c>
      <c r="AC8" s="49">
        <f t="shared" si="3"/>
        <v>0</v>
      </c>
      <c r="AE8" s="139">
        <f>'2025-2029 Category Detail'!AP16</f>
        <v>54900</v>
      </c>
      <c r="AF8" s="47">
        <f>'2025-2029 Category Detail'!AQ16</f>
        <v>397800</v>
      </c>
      <c r="AG8" s="47">
        <f>'2025-2029 Category Detail'!AR16</f>
        <v>0</v>
      </c>
      <c r="AH8" s="50">
        <f>'2025-2029 Category Detail'!AS16</f>
        <v>452700</v>
      </c>
      <c r="AI8" s="48">
        <f>'2025-2029 Category Detail'!AT16</f>
        <v>7920</v>
      </c>
      <c r="AJ8" s="49">
        <f t="shared" si="4"/>
        <v>0.20138796209795809</v>
      </c>
    </row>
    <row r="9" spans="2:36" ht="31.5" customHeight="1" x14ac:dyDescent="0.25">
      <c r="B9" s="46" t="s">
        <v>247</v>
      </c>
      <c r="C9" s="139">
        <f>'2025-2029 Category Detail'!B23</f>
        <v>30000</v>
      </c>
      <c r="D9" s="47">
        <f>'2025-2029 Category Detail'!C23</f>
        <v>189500</v>
      </c>
      <c r="E9" s="47">
        <f>'2025-2029 Category Detail'!D23</f>
        <v>0</v>
      </c>
      <c r="F9" s="50">
        <f>'2025-2029 Category Detail'!E23</f>
        <v>219500</v>
      </c>
      <c r="G9" s="48">
        <f>'2025-2029 Category Detail'!F23</f>
        <v>1000</v>
      </c>
      <c r="H9" s="49">
        <f t="shared" si="0"/>
        <v>0.10778296096243555</v>
      </c>
      <c r="I9" s="27"/>
      <c r="J9" s="139">
        <f>'2025-2029 Category Detail'!L23</f>
        <v>0</v>
      </c>
      <c r="K9" s="47">
        <f>'2025-2029 Category Detail'!M23</f>
        <v>191100</v>
      </c>
      <c r="L9" s="47">
        <f>'2025-2029 Category Detail'!N23</f>
        <v>0</v>
      </c>
      <c r="M9" s="50">
        <f>'2025-2029 Category Detail'!O23</f>
        <v>191100</v>
      </c>
      <c r="N9" s="48">
        <f>'2025-2029 Category Detail'!P23</f>
        <v>500</v>
      </c>
      <c r="O9" s="49">
        <f t="shared" si="1"/>
        <v>9.154929577464789E-2</v>
      </c>
      <c r="P9" s="10"/>
      <c r="Q9" s="139">
        <f>'2025-2029 Category Detail'!V23</f>
        <v>15000</v>
      </c>
      <c r="R9" s="47">
        <f>'2025-2029 Category Detail'!W23</f>
        <v>203800</v>
      </c>
      <c r="S9" s="47">
        <f>'2025-2029 Category Detail'!X23</f>
        <v>0</v>
      </c>
      <c r="T9" s="50">
        <f>'2025-2029 Category Detail'!Y23</f>
        <v>218800</v>
      </c>
      <c r="U9" s="48">
        <f>'2025-2029 Category Detail'!Z23</f>
        <v>0</v>
      </c>
      <c r="V9" s="49">
        <f t="shared" si="2"/>
        <v>0.10226210506636754</v>
      </c>
      <c r="X9" s="139">
        <f>'2025-2029 Category Detail'!AF23</f>
        <v>0</v>
      </c>
      <c r="Y9" s="47">
        <f>'2025-2029 Category Detail'!AG23</f>
        <v>198600</v>
      </c>
      <c r="Z9" s="47">
        <f>'2025-2029 Category Detail'!AH23</f>
        <v>0</v>
      </c>
      <c r="AA9" s="50">
        <f>'2025-2029 Category Detail'!AI23</f>
        <v>198600</v>
      </c>
      <c r="AB9" s="48">
        <f>'2025-2029 Category Detail'!AJ23</f>
        <v>0</v>
      </c>
      <c r="AC9" s="49">
        <f t="shared" si="3"/>
        <v>9.0556746158405907E-2</v>
      </c>
      <c r="AE9" s="139">
        <f>'2025-2029 Category Detail'!AP23</f>
        <v>0</v>
      </c>
      <c r="AF9" s="47">
        <f>'2025-2029 Category Detail'!AQ23</f>
        <v>212200</v>
      </c>
      <c r="AG9" s="47">
        <f>'2025-2029 Category Detail'!AR23</f>
        <v>0</v>
      </c>
      <c r="AH9" s="50">
        <f>'2025-2029 Category Detail'!AS23</f>
        <v>212200</v>
      </c>
      <c r="AI9" s="48">
        <f>'2025-2029 Category Detail'!AT23</f>
        <v>500</v>
      </c>
      <c r="AJ9" s="49">
        <f t="shared" si="4"/>
        <v>9.4399217047021658E-2</v>
      </c>
    </row>
    <row r="10" spans="2:36" ht="31.5" customHeight="1" x14ac:dyDescent="0.25">
      <c r="B10" s="28" t="s">
        <v>248</v>
      </c>
      <c r="C10" s="140">
        <f>'2025-2029 Category Detail'!B27</f>
        <v>60000</v>
      </c>
      <c r="D10" s="29">
        <f>'2025-2029 Category Detail'!C27</f>
        <v>45000</v>
      </c>
      <c r="E10" s="29">
        <f>'2025-2029 Category Detail'!D27</f>
        <v>0</v>
      </c>
      <c r="F10" s="30">
        <f>'2025-2029 Category Detail'!E27</f>
        <v>105000</v>
      </c>
      <c r="G10" s="31">
        <f>'2025-2029 Category Detail'!F27</f>
        <v>12000</v>
      </c>
      <c r="H10" s="32">
        <f t="shared" si="0"/>
        <v>5.1559047385219742E-2</v>
      </c>
      <c r="I10" s="26"/>
      <c r="J10" s="140">
        <f>'2025-2029 Category Detail'!L27</f>
        <v>30000</v>
      </c>
      <c r="K10" s="29">
        <f>'2025-2029 Category Detail'!M27</f>
        <v>30000</v>
      </c>
      <c r="L10" s="29">
        <f>'2025-2029 Category Detail'!N27</f>
        <v>0</v>
      </c>
      <c r="M10" s="30">
        <f>'2025-2029 Category Detail'!O27</f>
        <v>60000</v>
      </c>
      <c r="N10" s="31">
        <f>'2025-2029 Category Detail'!P27</f>
        <v>12000</v>
      </c>
      <c r="O10" s="32">
        <f t="shared" si="1"/>
        <v>2.8743891922966371E-2</v>
      </c>
      <c r="P10" s="10"/>
      <c r="Q10" s="140">
        <f>'2025-2029 Category Detail'!V27</f>
        <v>30000</v>
      </c>
      <c r="R10" s="29">
        <f>'2025-2029 Category Detail'!W27</f>
        <v>70000</v>
      </c>
      <c r="S10" s="29">
        <f>'2025-2029 Category Detail'!X27</f>
        <v>0</v>
      </c>
      <c r="T10" s="30">
        <f>'2025-2029 Category Detail'!Y27</f>
        <v>100000</v>
      </c>
      <c r="U10" s="31">
        <f>'2025-2029 Category Detail'!Z27</f>
        <v>4000</v>
      </c>
      <c r="V10" s="32">
        <f t="shared" si="2"/>
        <v>4.6737707982800525E-2</v>
      </c>
      <c r="X10" s="140">
        <f>'2025-2029 Category Detail'!AF27</f>
        <v>140000</v>
      </c>
      <c r="Y10" s="29">
        <f>'2025-2029 Category Detail'!AG27</f>
        <v>45000</v>
      </c>
      <c r="Z10" s="29">
        <f>'2025-2029 Category Detail'!AH27</f>
        <v>0</v>
      </c>
      <c r="AA10" s="30">
        <f>'2025-2029 Category Detail'!AI27</f>
        <v>185000</v>
      </c>
      <c r="AB10" s="31">
        <f>'2025-2029 Category Detail'!AJ27</f>
        <v>1500</v>
      </c>
      <c r="AC10" s="32">
        <f t="shared" si="3"/>
        <v>8.4355478546349921E-2</v>
      </c>
      <c r="AE10" s="140">
        <f>'2025-2029 Category Detail'!AP27</f>
        <v>30000</v>
      </c>
      <c r="AF10" s="29">
        <f>'2025-2029 Category Detail'!AQ27</f>
        <v>25000</v>
      </c>
      <c r="AG10" s="29">
        <f>'2025-2029 Category Detail'!AR27</f>
        <v>0</v>
      </c>
      <c r="AH10" s="30">
        <f>'2025-2029 Category Detail'!AS27</f>
        <v>55000</v>
      </c>
      <c r="AI10" s="31">
        <f>'2025-2029 Category Detail'!AT27</f>
        <v>5500</v>
      </c>
      <c r="AJ10" s="39">
        <f t="shared" si="4"/>
        <v>2.4467280572979224E-2</v>
      </c>
    </row>
    <row r="11" spans="2:36" ht="31.5" customHeight="1" x14ac:dyDescent="0.25">
      <c r="B11" s="28" t="s">
        <v>250</v>
      </c>
      <c r="C11" s="140">
        <f>'2025-2029 Category Detail'!B31</f>
        <v>50000</v>
      </c>
      <c r="D11" s="29">
        <f>'2025-2029 Category Detail'!C31</f>
        <v>122600</v>
      </c>
      <c r="E11" s="29">
        <f>'2025-2029 Category Detail'!D31</f>
        <v>0</v>
      </c>
      <c r="F11" s="30">
        <f>'2025-2029 Category Detail'!E31</f>
        <v>172600</v>
      </c>
      <c r="G11" s="31">
        <f>'2025-2029 Category Detail'!F31</f>
        <v>19000</v>
      </c>
      <c r="H11" s="32">
        <f t="shared" si="0"/>
        <v>8.4753253130370729E-2</v>
      </c>
      <c r="I11" s="27"/>
      <c r="J11" s="140">
        <f>'2025-2029 Category Detail'!L31</f>
        <v>43700</v>
      </c>
      <c r="K11" s="29">
        <f>'2025-2029 Category Detail'!M31</f>
        <v>120100</v>
      </c>
      <c r="L11" s="29">
        <f>'2025-2029 Category Detail'!N31</f>
        <v>0</v>
      </c>
      <c r="M11" s="30">
        <f>'2025-2029 Category Detail'!O31</f>
        <v>163800</v>
      </c>
      <c r="N11" s="31">
        <f>'2025-2029 Category Detail'!P31</f>
        <v>22000</v>
      </c>
      <c r="O11" s="32">
        <f t="shared" si="1"/>
        <v>7.847082494969819E-2</v>
      </c>
      <c r="P11" s="10"/>
      <c r="Q11" s="140">
        <f>'2025-2029 Category Detail'!V31</f>
        <v>150000</v>
      </c>
      <c r="R11" s="29">
        <f>'2025-2029 Category Detail'!W31</f>
        <v>102000</v>
      </c>
      <c r="S11" s="29">
        <f>'2025-2029 Category Detail'!X31</f>
        <v>0</v>
      </c>
      <c r="T11" s="30">
        <f>'2025-2029 Category Detail'!Y31</f>
        <v>252000</v>
      </c>
      <c r="U11" s="31">
        <f>'2025-2029 Category Detail'!Z31</f>
        <v>38240</v>
      </c>
      <c r="V11" s="32">
        <f t="shared" si="2"/>
        <v>0.11777902411665732</v>
      </c>
      <c r="X11" s="140">
        <f>'2025-2029 Category Detail'!AF31</f>
        <v>200000</v>
      </c>
      <c r="Y11" s="29">
        <f>'2025-2029 Category Detail'!AG31</f>
        <v>147100</v>
      </c>
      <c r="Z11" s="29">
        <f>'2025-2029 Category Detail'!AH31</f>
        <v>0</v>
      </c>
      <c r="AA11" s="30">
        <f>'2025-2029 Category Detail'!AI31</f>
        <v>347100</v>
      </c>
      <c r="AB11" s="31">
        <f>'2025-2029 Category Detail'!AJ31</f>
        <v>44000</v>
      </c>
      <c r="AC11" s="32">
        <f t="shared" si="3"/>
        <v>0.15826911677534083</v>
      </c>
      <c r="AE11" s="140">
        <f>'2025-2029 Category Detail'!AP31</f>
        <v>160000</v>
      </c>
      <c r="AF11" s="29">
        <f>'2025-2029 Category Detail'!AQ31</f>
        <v>134700</v>
      </c>
      <c r="AG11" s="29">
        <f>'2025-2029 Category Detail'!AR31</f>
        <v>0</v>
      </c>
      <c r="AH11" s="30">
        <f>'2025-2029 Category Detail'!AS31</f>
        <v>294700</v>
      </c>
      <c r="AI11" s="31">
        <f>'2025-2029 Category Detail'!AT31</f>
        <v>29000</v>
      </c>
      <c r="AJ11" s="39">
        <f t="shared" si="4"/>
        <v>0.1311001379064905</v>
      </c>
    </row>
    <row r="12" spans="2:36" ht="31.5" customHeight="1" x14ac:dyDescent="0.25">
      <c r="B12" s="34" t="s">
        <v>251</v>
      </c>
      <c r="C12" s="141">
        <f>'2025-2029 Category Detail'!B37</f>
        <v>55500</v>
      </c>
      <c r="D12" s="35">
        <f>'2025-2029 Category Detail'!C37</f>
        <v>55000</v>
      </c>
      <c r="E12" s="35">
        <f>'2025-2029 Category Detail'!D37</f>
        <v>0</v>
      </c>
      <c r="F12" s="36">
        <f>'2025-2029 Category Detail'!E37</f>
        <v>110500</v>
      </c>
      <c r="G12" s="37">
        <f>'2025-2029 Category Detail'!F37</f>
        <v>800</v>
      </c>
      <c r="H12" s="38">
        <f t="shared" si="0"/>
        <v>5.4259759391112203E-2</v>
      </c>
      <c r="I12" s="27"/>
      <c r="J12" s="141">
        <f>'2025-2029 Category Detail'!L37</f>
        <v>51300</v>
      </c>
      <c r="K12" s="35">
        <f>'2025-2029 Category Detail'!M37</f>
        <v>63000</v>
      </c>
      <c r="L12" s="35">
        <f>'2025-2029 Category Detail'!N37</f>
        <v>0</v>
      </c>
      <c r="M12" s="36">
        <f>'2025-2029 Category Detail'!O37</f>
        <v>114300</v>
      </c>
      <c r="N12" s="37">
        <f>'2025-2029 Category Detail'!P37</f>
        <v>1640</v>
      </c>
      <c r="O12" s="38">
        <f t="shared" si="1"/>
        <v>5.4757114113250932E-2</v>
      </c>
      <c r="P12" s="10"/>
      <c r="Q12" s="141">
        <f>'2025-2029 Category Detail'!V37</f>
        <v>75000</v>
      </c>
      <c r="R12" s="35">
        <f>'2025-2029 Category Detail'!W37</f>
        <v>8400</v>
      </c>
      <c r="S12" s="35">
        <f>'2025-2029 Category Detail'!X37</f>
        <v>0</v>
      </c>
      <c r="T12" s="36">
        <f>'2025-2029 Category Detail'!Y37</f>
        <v>83400</v>
      </c>
      <c r="U12" s="37">
        <f>'2025-2029 Category Detail'!Z37</f>
        <v>0</v>
      </c>
      <c r="V12" s="38">
        <f t="shared" si="2"/>
        <v>3.8979248457655637E-2</v>
      </c>
      <c r="X12" s="141">
        <f>'2025-2029 Category Detail'!AF37</f>
        <v>80900</v>
      </c>
      <c r="Y12" s="35">
        <f>'2025-2029 Category Detail'!AG37</f>
        <v>22800</v>
      </c>
      <c r="Z12" s="35">
        <f>'2025-2029 Category Detail'!AH37</f>
        <v>0</v>
      </c>
      <c r="AA12" s="36">
        <f>'2025-2029 Category Detail'!AI37</f>
        <v>103700</v>
      </c>
      <c r="AB12" s="37">
        <f>'2025-2029 Category Detail'!AJ37</f>
        <v>860</v>
      </c>
      <c r="AC12" s="38">
        <f t="shared" si="3"/>
        <v>4.7284665541926951E-2</v>
      </c>
      <c r="AE12" s="141">
        <f>'2025-2029 Category Detail'!AP37</f>
        <v>66100</v>
      </c>
      <c r="AF12" s="35">
        <f>'2025-2029 Category Detail'!AQ37</f>
        <v>23200</v>
      </c>
      <c r="AG12" s="35">
        <f>'2025-2029 Category Detail'!AR37</f>
        <v>0</v>
      </c>
      <c r="AH12" s="36">
        <f>'2025-2029 Category Detail'!AS37</f>
        <v>89300</v>
      </c>
      <c r="AI12" s="37">
        <f>'2025-2029 Category Detail'!AT37</f>
        <v>880</v>
      </c>
      <c r="AJ12" s="38">
        <f t="shared" si="4"/>
        <v>3.9725966457582633E-2</v>
      </c>
    </row>
    <row r="13" spans="2:36" ht="31.5" hidden="1" customHeight="1" x14ac:dyDescent="0.25">
      <c r="B13" s="34" t="s">
        <v>334</v>
      </c>
      <c r="C13" s="141">
        <f>'2025-2029 Category Detail'!B41</f>
        <v>0</v>
      </c>
      <c r="D13" s="35">
        <f>'2025-2029 Category Detail'!C41</f>
        <v>0</v>
      </c>
      <c r="E13" s="35">
        <f>'2025-2029 Category Detail'!D41</f>
        <v>0</v>
      </c>
      <c r="F13" s="36">
        <f>'2025-2029 Category Detail'!E41</f>
        <v>0</v>
      </c>
      <c r="G13" s="37">
        <f>'2025-2029 Category Detail'!F41</f>
        <v>0</v>
      </c>
      <c r="H13" s="38">
        <f t="shared" si="0"/>
        <v>0</v>
      </c>
      <c r="I13" s="27"/>
      <c r="J13" s="141">
        <f>'2025-2029 Category Detail'!L41</f>
        <v>0</v>
      </c>
      <c r="K13" s="35">
        <f>'2025-2029 Category Detail'!M41</f>
        <v>0</v>
      </c>
      <c r="L13" s="35">
        <f>'2025-2029 Category Detail'!N41</f>
        <v>0</v>
      </c>
      <c r="M13" s="35">
        <f>'2025-2029 Category Detail'!O41</f>
        <v>0</v>
      </c>
      <c r="N13" s="37">
        <f>'2025-2029 Category Detail'!P41</f>
        <v>0</v>
      </c>
      <c r="O13" s="38">
        <f t="shared" si="1"/>
        <v>0</v>
      </c>
      <c r="P13" s="10"/>
      <c r="Q13" s="141">
        <f>'2025-2029 Category Detail'!V41</f>
        <v>0</v>
      </c>
      <c r="R13" s="35">
        <f>'2025-2029 Category Detail'!W41</f>
        <v>0</v>
      </c>
      <c r="S13" s="35">
        <f>'2025-2029 Category Detail'!X41</f>
        <v>0</v>
      </c>
      <c r="T13" s="35">
        <f>'2025-2029 Category Detail'!Y41</f>
        <v>0</v>
      </c>
      <c r="U13" s="37">
        <f>'2025-2029 Category Detail'!Z41</f>
        <v>0</v>
      </c>
      <c r="V13" s="38">
        <f t="shared" si="2"/>
        <v>0</v>
      </c>
      <c r="X13" s="141">
        <f>'2025-2029 Category Detail'!AF41</f>
        <v>0</v>
      </c>
      <c r="Y13" s="35">
        <f>'2025-2029 Category Detail'!AG41</f>
        <v>0</v>
      </c>
      <c r="Z13" s="35">
        <f>'2025-2029 Category Detail'!AH41</f>
        <v>0</v>
      </c>
      <c r="AA13" s="35">
        <f>'2025-2029 Category Detail'!AI41</f>
        <v>0</v>
      </c>
      <c r="AB13" s="37">
        <f>'2025-2029 Category Detail'!AJ41</f>
        <v>0</v>
      </c>
      <c r="AC13" s="38">
        <f t="shared" si="3"/>
        <v>0</v>
      </c>
      <c r="AE13" s="141">
        <f>'2025-2029 Category Detail'!AP41</f>
        <v>0</v>
      </c>
      <c r="AF13" s="35">
        <f>'2025-2029 Category Detail'!AQ41</f>
        <v>0</v>
      </c>
      <c r="AG13" s="35">
        <f>'2025-2029 Category Detail'!AR41</f>
        <v>0</v>
      </c>
      <c r="AH13" s="35">
        <f>'2025-2029 Category Detail'!AS41</f>
        <v>0</v>
      </c>
      <c r="AI13" s="37">
        <f>'2025-2029 Category Detail'!AT41</f>
        <v>0</v>
      </c>
      <c r="AJ13" s="38">
        <f t="shared" si="4"/>
        <v>0</v>
      </c>
    </row>
    <row r="14" spans="2:36" ht="31.5" customHeight="1" x14ac:dyDescent="0.25">
      <c r="B14" s="58" t="s">
        <v>253</v>
      </c>
      <c r="C14" s="142">
        <f>'2025-2029 Category Detail'!B44</f>
        <v>168200</v>
      </c>
      <c r="D14" s="59">
        <f>'2025-2029 Category Detail'!C44</f>
        <v>110000</v>
      </c>
      <c r="E14" s="59">
        <f>'2025-2029 Category Detail'!D44</f>
        <v>0</v>
      </c>
      <c r="F14" s="60">
        <f>'2025-2029 Category Detail'!E44</f>
        <v>278200</v>
      </c>
      <c r="G14" s="61">
        <f>'2025-2029 Category Detail'!F44</f>
        <v>10000</v>
      </c>
      <c r="H14" s="62">
        <f t="shared" si="0"/>
        <v>0.13660692364350602</v>
      </c>
      <c r="I14" s="27"/>
      <c r="J14" s="142">
        <f>'2025-2029 Category Detail'!L44</f>
        <v>169300</v>
      </c>
      <c r="K14" s="59">
        <f>'2025-2029 Category Detail'!M44</f>
        <v>112800</v>
      </c>
      <c r="L14" s="59">
        <f>'2025-2029 Category Detail'!N44</f>
        <v>0</v>
      </c>
      <c r="M14" s="60">
        <f>'2025-2029 Category Detail'!O44</f>
        <v>282100</v>
      </c>
      <c r="N14" s="61">
        <f>'2025-2029 Category Detail'!P44</f>
        <v>11000</v>
      </c>
      <c r="O14" s="62">
        <f t="shared" si="1"/>
        <v>0.1351441985244802</v>
      </c>
      <c r="P14" s="10"/>
      <c r="Q14" s="142">
        <f>'2025-2029 Category Detail'!V44</f>
        <v>170400</v>
      </c>
      <c r="R14" s="59">
        <f>'2025-2029 Category Detail'!W44</f>
        <v>115600</v>
      </c>
      <c r="S14" s="59">
        <f>'2025-2029 Category Detail'!X44</f>
        <v>0</v>
      </c>
      <c r="T14" s="60">
        <f>'2025-2029 Category Detail'!Y44</f>
        <v>286000</v>
      </c>
      <c r="U14" s="61">
        <f>'2025-2029 Category Detail'!Z44</f>
        <v>11000</v>
      </c>
      <c r="V14" s="62">
        <f t="shared" si="2"/>
        <v>0.13366984483080949</v>
      </c>
      <c r="X14" s="142">
        <f>'2025-2029 Category Detail'!AF44</f>
        <v>181000</v>
      </c>
      <c r="Y14" s="59">
        <f>'2025-2029 Category Detail'!AG44</f>
        <v>118500</v>
      </c>
      <c r="Z14" s="59">
        <f>'2025-2029 Category Detail'!AH44</f>
        <v>0</v>
      </c>
      <c r="AA14" s="60">
        <f>'2025-2029 Category Detail'!AI44</f>
        <v>299500</v>
      </c>
      <c r="AB14" s="61">
        <f>'2025-2029 Category Detail'!AJ44</f>
        <v>11000</v>
      </c>
      <c r="AC14" s="62">
        <f t="shared" si="3"/>
        <v>0.13656468013314485</v>
      </c>
      <c r="AE14" s="142">
        <f>'2025-2029 Category Detail'!AP44</f>
        <v>182700</v>
      </c>
      <c r="AF14" s="59">
        <f>'2025-2029 Category Detail'!AQ44</f>
        <v>121500</v>
      </c>
      <c r="AG14" s="59">
        <f>'2025-2029 Category Detail'!AR44</f>
        <v>0</v>
      </c>
      <c r="AH14" s="60">
        <f>'2025-2029 Category Detail'!AS44</f>
        <v>304200</v>
      </c>
      <c r="AI14" s="61">
        <f>'2025-2029 Category Detail'!AT44</f>
        <v>11000</v>
      </c>
      <c r="AJ14" s="62">
        <f t="shared" si="4"/>
        <v>0.13532630455091418</v>
      </c>
    </row>
    <row r="15" spans="2:36" ht="31.5" customHeight="1" x14ac:dyDescent="0.25">
      <c r="B15" s="58" t="s">
        <v>252</v>
      </c>
      <c r="C15" s="142">
        <f>'2025-2029 Category Detail'!B47</f>
        <v>61700</v>
      </c>
      <c r="D15" s="59">
        <f>'2025-2029 Category Detail'!C47</f>
        <v>0</v>
      </c>
      <c r="E15" s="59">
        <f>'2025-2029 Category Detail'!D47</f>
        <v>0</v>
      </c>
      <c r="F15" s="60">
        <f>'2025-2029 Category Detail'!E47</f>
        <v>61700</v>
      </c>
      <c r="G15" s="61">
        <f>'2025-2029 Category Detail'!F47</f>
        <v>45000</v>
      </c>
      <c r="H15" s="62">
        <f t="shared" si="0"/>
        <v>3.0297078320648169E-2</v>
      </c>
      <c r="I15" s="26"/>
      <c r="J15" s="142">
        <f>'2025-2029 Category Detail'!L47</f>
        <v>63200</v>
      </c>
      <c r="K15" s="59">
        <f>'2025-2029 Category Detail'!M47</f>
        <v>0</v>
      </c>
      <c r="L15" s="59">
        <f>'2025-2029 Category Detail'!N47</f>
        <v>0</v>
      </c>
      <c r="M15" s="60">
        <f>'2025-2029 Category Detail'!O47</f>
        <v>63200</v>
      </c>
      <c r="N15" s="61">
        <f>'2025-2029 Category Detail'!P47</f>
        <v>46000</v>
      </c>
      <c r="O15" s="62">
        <f t="shared" si="1"/>
        <v>3.0276899492191242E-2</v>
      </c>
      <c r="P15" s="10"/>
      <c r="Q15" s="142">
        <f>'2025-2029 Category Detail'!V47</f>
        <v>64800</v>
      </c>
      <c r="R15" s="59">
        <f>'2025-2029 Category Detail'!W47</f>
        <v>0</v>
      </c>
      <c r="S15" s="59">
        <f>'2025-2029 Category Detail'!X47</f>
        <v>0</v>
      </c>
      <c r="T15" s="60">
        <f>'2025-2029 Category Detail'!Y47</f>
        <v>64800</v>
      </c>
      <c r="U15" s="61">
        <f>'2025-2029 Category Detail'!Z47</f>
        <v>46000</v>
      </c>
      <c r="V15" s="62">
        <f t="shared" si="2"/>
        <v>3.0286034772854738E-2</v>
      </c>
      <c r="X15" s="142">
        <f>'2025-2029 Category Detail'!AF47</f>
        <v>66400</v>
      </c>
      <c r="Y15" s="59">
        <f>'2025-2029 Category Detail'!AG47</f>
        <v>0</v>
      </c>
      <c r="Z15" s="59">
        <f>'2025-2029 Category Detail'!AH47</f>
        <v>0</v>
      </c>
      <c r="AA15" s="60">
        <f>'2025-2029 Category Detail'!AI47</f>
        <v>66400</v>
      </c>
      <c r="AB15" s="61">
        <f>'2025-2029 Category Detail'!AJ47</f>
        <v>47500</v>
      </c>
      <c r="AC15" s="62">
        <f t="shared" si="3"/>
        <v>3.027677716474397E-2</v>
      </c>
      <c r="AE15" s="142">
        <f>'2025-2029 Category Detail'!AP47</f>
        <v>68100</v>
      </c>
      <c r="AF15" s="59">
        <f>'2025-2029 Category Detail'!AQ47</f>
        <v>0</v>
      </c>
      <c r="AG15" s="59">
        <f>'2025-2029 Category Detail'!AR47</f>
        <v>0</v>
      </c>
      <c r="AH15" s="60">
        <f>'2025-2029 Category Detail'!AS47</f>
        <v>68100</v>
      </c>
      <c r="AI15" s="61">
        <f>'2025-2029 Category Detail'!AT47</f>
        <v>47500</v>
      </c>
      <c r="AJ15" s="62">
        <f t="shared" si="4"/>
        <v>3.0294941945816094E-2</v>
      </c>
    </row>
    <row r="16" spans="2:36" ht="31.5" customHeight="1" x14ac:dyDescent="0.25">
      <c r="B16" s="58" t="s">
        <v>254</v>
      </c>
      <c r="C16" s="142">
        <f>'2025-2029 Category Detail'!B50</f>
        <v>7000</v>
      </c>
      <c r="D16" s="59">
        <f>'2025-2029 Category Detail'!C50</f>
        <v>5000</v>
      </c>
      <c r="E16" s="59">
        <f>'2025-2029 Category Detail'!D50</f>
        <v>158500</v>
      </c>
      <c r="F16" s="60">
        <f>'2025-2029 Category Detail'!E50</f>
        <v>170500</v>
      </c>
      <c r="G16" s="61">
        <f>'2025-2029 Category Detail'!F50</f>
        <v>64200</v>
      </c>
      <c r="H16" s="62">
        <f t="shared" si="0"/>
        <v>8.3722072182666335E-2</v>
      </c>
      <c r="I16" s="27"/>
      <c r="J16" s="142">
        <f>'2025-2029 Category Detail'!L50</f>
        <v>7000</v>
      </c>
      <c r="K16" s="59">
        <f>'2025-2029 Category Detail'!M50</f>
        <v>5000</v>
      </c>
      <c r="L16" s="59">
        <f>'2025-2029 Category Detail'!N50</f>
        <v>166000</v>
      </c>
      <c r="M16" s="60">
        <f>'2025-2029 Category Detail'!O50</f>
        <v>178000</v>
      </c>
      <c r="N16" s="61">
        <f>'2025-2029 Category Detail'!P50</f>
        <v>61020</v>
      </c>
      <c r="O16" s="62">
        <f t="shared" si="1"/>
        <v>8.5273546038133557E-2</v>
      </c>
      <c r="P16" s="10"/>
      <c r="Q16" s="142">
        <f>'2025-2029 Category Detail'!V50</f>
        <v>7000</v>
      </c>
      <c r="R16" s="59">
        <f>'2025-2029 Category Detail'!W50</f>
        <v>5000</v>
      </c>
      <c r="S16" s="59">
        <f>'2025-2029 Category Detail'!X50</f>
        <v>167500</v>
      </c>
      <c r="T16" s="60">
        <f>'2025-2029 Category Detail'!Y50</f>
        <v>179500</v>
      </c>
      <c r="U16" s="61">
        <f>'2025-2029 Category Detail'!Z50</f>
        <v>55430</v>
      </c>
      <c r="V16" s="62">
        <f t="shared" si="2"/>
        <v>8.3894185829126944E-2</v>
      </c>
      <c r="X16" s="142">
        <f>'2025-2029 Category Detail'!AF50</f>
        <v>7000</v>
      </c>
      <c r="Y16" s="59">
        <f>'2025-2029 Category Detail'!AG50</f>
        <v>5000</v>
      </c>
      <c r="Z16" s="59">
        <f>'2025-2029 Category Detail'!AH50</f>
        <v>175000</v>
      </c>
      <c r="AA16" s="60">
        <f>'2025-2029 Category Detail'!AI50</f>
        <v>187000</v>
      </c>
      <c r="AB16" s="61">
        <f>'2025-2029 Category Detail'!AJ50</f>
        <v>55430</v>
      </c>
      <c r="AC16" s="62">
        <f t="shared" si="3"/>
        <v>8.5267429665769917E-2</v>
      </c>
      <c r="AE16" s="142">
        <f>'2025-2029 Category Detail'!AP50</f>
        <v>7000</v>
      </c>
      <c r="AF16" s="59">
        <f>'2025-2029 Category Detail'!AQ50</f>
        <v>5000</v>
      </c>
      <c r="AG16" s="59">
        <f>'2025-2029 Category Detail'!AR50</f>
        <v>176500</v>
      </c>
      <c r="AH16" s="60">
        <f>'2025-2029 Category Detail'!AS50</f>
        <v>188500</v>
      </c>
      <c r="AI16" s="61">
        <f>'2025-2029 Category Detail'!AT50</f>
        <v>70850</v>
      </c>
      <c r="AJ16" s="62">
        <f t="shared" si="4"/>
        <v>8.3856043418301524E-2</v>
      </c>
    </row>
    <row r="17" spans="2:36" ht="38.25" customHeight="1" x14ac:dyDescent="0.25">
      <c r="B17" s="40" t="s">
        <v>249</v>
      </c>
      <c r="C17" s="33">
        <f t="shared" ref="C17:H17" si="5">SUM(C7:C16)</f>
        <v>597400</v>
      </c>
      <c r="D17" s="33">
        <f t="shared" si="5"/>
        <v>1280600</v>
      </c>
      <c r="E17" s="33">
        <f t="shared" si="5"/>
        <v>158500</v>
      </c>
      <c r="F17" s="41">
        <f t="shared" si="5"/>
        <v>2036500</v>
      </c>
      <c r="G17" s="42">
        <f t="shared" si="5"/>
        <v>176000</v>
      </c>
      <c r="H17" s="43">
        <f t="shared" si="5"/>
        <v>1</v>
      </c>
      <c r="I17" s="27"/>
      <c r="J17" s="33">
        <f t="shared" ref="J17:O17" si="6">SUM(J7:J16)</f>
        <v>545300</v>
      </c>
      <c r="K17" s="33">
        <f t="shared" si="6"/>
        <v>1376100</v>
      </c>
      <c r="L17" s="33">
        <f t="shared" si="6"/>
        <v>166000</v>
      </c>
      <c r="M17" s="41">
        <f t="shared" si="6"/>
        <v>2087400</v>
      </c>
      <c r="N17" s="42">
        <f t="shared" si="6"/>
        <v>180400</v>
      </c>
      <c r="O17" s="43">
        <f t="shared" si="6"/>
        <v>0.99999999999999989</v>
      </c>
      <c r="P17" s="10"/>
      <c r="Q17" s="33">
        <f t="shared" ref="Q17:V17" si="7">SUM(Q7:Q16)</f>
        <v>721000</v>
      </c>
      <c r="R17" s="33">
        <f t="shared" si="7"/>
        <v>1251100</v>
      </c>
      <c r="S17" s="33">
        <f t="shared" si="7"/>
        <v>167500</v>
      </c>
      <c r="T17" s="44">
        <f t="shared" si="7"/>
        <v>2139600</v>
      </c>
      <c r="U17" s="45">
        <f t="shared" si="7"/>
        <v>184910</v>
      </c>
      <c r="V17" s="43">
        <f t="shared" si="7"/>
        <v>1</v>
      </c>
      <c r="X17" s="33">
        <f t="shared" ref="X17:AC17" si="8">SUM(X7:X16)</f>
        <v>875900</v>
      </c>
      <c r="Y17" s="33">
        <f t="shared" si="8"/>
        <v>1142200</v>
      </c>
      <c r="Z17" s="33">
        <f t="shared" si="8"/>
        <v>175000</v>
      </c>
      <c r="AA17" s="44">
        <f t="shared" si="8"/>
        <v>2193100</v>
      </c>
      <c r="AB17" s="45">
        <f t="shared" si="8"/>
        <v>189530</v>
      </c>
      <c r="AC17" s="43">
        <f t="shared" si="8"/>
        <v>1</v>
      </c>
      <c r="AE17" s="33">
        <f t="shared" ref="AE17:AJ17" si="9">SUM(AE7:AE16)</f>
        <v>715200</v>
      </c>
      <c r="AF17" s="33">
        <f t="shared" si="9"/>
        <v>1356200</v>
      </c>
      <c r="AG17" s="33">
        <f t="shared" si="9"/>
        <v>176500</v>
      </c>
      <c r="AH17" s="44">
        <f t="shared" si="9"/>
        <v>2247900</v>
      </c>
      <c r="AI17" s="45">
        <f t="shared" si="9"/>
        <v>194270</v>
      </c>
      <c r="AJ17" s="43">
        <f t="shared" si="9"/>
        <v>1</v>
      </c>
    </row>
    <row r="20" spans="2:36" x14ac:dyDescent="0.2">
      <c r="M20" t="s">
        <v>289</v>
      </c>
      <c r="N20" s="56" t="s">
        <v>255</v>
      </c>
      <c r="O20" s="56" t="s">
        <v>425</v>
      </c>
      <c r="P20" s="56" t="s">
        <v>426</v>
      </c>
      <c r="Q20" s="56" t="s">
        <v>427</v>
      </c>
      <c r="R20" s="56" t="s">
        <v>428</v>
      </c>
      <c r="S20" s="56"/>
    </row>
    <row r="21" spans="2:36" x14ac:dyDescent="0.2">
      <c r="B21" t="s">
        <v>286</v>
      </c>
      <c r="C21" s="56" t="s">
        <v>255</v>
      </c>
      <c r="D21" s="56" t="s">
        <v>425</v>
      </c>
      <c r="E21" s="56" t="s">
        <v>426</v>
      </c>
      <c r="F21" s="56" t="s">
        <v>427</v>
      </c>
      <c r="G21" s="56" t="s">
        <v>428</v>
      </c>
      <c r="H21" s="56"/>
      <c r="M21" t="str">
        <f>$B$7</f>
        <v>Existing Measure Review &amp; Updates</v>
      </c>
      <c r="N21" s="57">
        <f>H7</f>
        <v>0.20525411244782715</v>
      </c>
      <c r="O21" s="57">
        <f>O7</f>
        <v>0.20525534157324901</v>
      </c>
      <c r="P21" s="57">
        <f>V7</f>
        <v>0.33468872686483453</v>
      </c>
      <c r="Q21" s="57">
        <f>AC7</f>
        <v>0.36742510601431766</v>
      </c>
      <c r="R21" s="57">
        <f>AJ7</f>
        <v>0.25944214600293608</v>
      </c>
      <c r="S21" s="57"/>
    </row>
    <row r="22" spans="2:36" x14ac:dyDescent="0.2">
      <c r="B22" t="str">
        <f>$B$7</f>
        <v>Existing Measure Review &amp; Updates</v>
      </c>
      <c r="C22" s="55">
        <f>F7</f>
        <v>418000</v>
      </c>
      <c r="D22" s="55">
        <f>M7</f>
        <v>428450</v>
      </c>
      <c r="E22" s="55">
        <f>T7</f>
        <v>716100</v>
      </c>
      <c r="F22" s="55">
        <f>AA7</f>
        <v>805800</v>
      </c>
      <c r="G22" s="55">
        <f>AH7</f>
        <v>583200</v>
      </c>
      <c r="H22" s="55"/>
      <c r="M22" t="str">
        <f>$B$8</f>
        <v>New Measure Development &amp; Review of Unsolicited Proposals</v>
      </c>
      <c r="N22" s="57">
        <f t="shared" ref="N22:N30" si="10">H8</f>
        <v>0.24576479253621408</v>
      </c>
      <c r="O22" s="57">
        <f t="shared" ref="O22:O30" si="11">O8</f>
        <v>0.29052888761138257</v>
      </c>
      <c r="P22" s="57">
        <f t="shared" ref="P22:P30" si="12">V8</f>
        <v>0.11170312207889325</v>
      </c>
      <c r="Q22" s="57">
        <f t="shared" ref="Q22:Q30" si="13">AC8</f>
        <v>0</v>
      </c>
      <c r="R22" s="57">
        <f t="shared" ref="R22:R30" si="14">AJ8</f>
        <v>0.20138796209795809</v>
      </c>
      <c r="S22" s="57"/>
    </row>
    <row r="23" spans="2:36" x14ac:dyDescent="0.2">
      <c r="B23" t="str">
        <f>$B$8</f>
        <v>New Measure Development &amp; Review of Unsolicited Proposals</v>
      </c>
      <c r="C23" s="55">
        <f t="shared" ref="C23:C31" si="15">F8</f>
        <v>500500</v>
      </c>
      <c r="D23" s="55">
        <f t="shared" ref="D23:D31" si="16">M8</f>
        <v>606450</v>
      </c>
      <c r="E23" s="55">
        <f t="shared" ref="E23:E31" si="17">T8</f>
        <v>239000</v>
      </c>
      <c r="F23" s="55">
        <f t="shared" ref="F23:F31" si="18">AA8</f>
        <v>0</v>
      </c>
      <c r="G23" s="55">
        <f t="shared" ref="G23:G31" si="19">AH8</f>
        <v>452700</v>
      </c>
      <c r="H23" s="55"/>
      <c r="M23" t="str">
        <f>$B$9</f>
        <v>Standardization of Technical Analysis</v>
      </c>
      <c r="N23" s="57">
        <f t="shared" si="10"/>
        <v>0.10778296096243555</v>
      </c>
      <c r="O23" s="57">
        <f t="shared" si="11"/>
        <v>9.154929577464789E-2</v>
      </c>
      <c r="P23" s="57">
        <f t="shared" si="12"/>
        <v>0.10226210506636754</v>
      </c>
      <c r="Q23" s="57">
        <f t="shared" si="13"/>
        <v>9.0556746158405907E-2</v>
      </c>
      <c r="R23" s="57">
        <f t="shared" si="14"/>
        <v>9.4399217047021658E-2</v>
      </c>
      <c r="S23" s="57"/>
    </row>
    <row r="24" spans="2:36" x14ac:dyDescent="0.2">
      <c r="B24" t="str">
        <f>$B$9</f>
        <v>Standardization of Technical Analysis</v>
      </c>
      <c r="C24" s="55">
        <f t="shared" si="15"/>
        <v>219500</v>
      </c>
      <c r="D24" s="55">
        <f t="shared" si="16"/>
        <v>191100</v>
      </c>
      <c r="E24" s="55">
        <f t="shared" si="17"/>
        <v>218800</v>
      </c>
      <c r="F24" s="55">
        <f t="shared" si="18"/>
        <v>198600</v>
      </c>
      <c r="G24" s="55">
        <f t="shared" si="19"/>
        <v>212200</v>
      </c>
      <c r="H24" s="55"/>
      <c r="M24" t="str">
        <f>$B$10</f>
        <v>Tool Development</v>
      </c>
      <c r="N24" s="57">
        <f t="shared" si="10"/>
        <v>5.1559047385219742E-2</v>
      </c>
      <c r="O24" s="57">
        <f t="shared" si="11"/>
        <v>2.8743891922966371E-2</v>
      </c>
      <c r="P24" s="57">
        <f t="shared" si="12"/>
        <v>4.6737707982800525E-2</v>
      </c>
      <c r="Q24" s="57">
        <f t="shared" si="13"/>
        <v>8.4355478546349921E-2</v>
      </c>
      <c r="R24" s="57">
        <f t="shared" si="14"/>
        <v>2.4467280572979224E-2</v>
      </c>
      <c r="S24" s="57"/>
    </row>
    <row r="25" spans="2:36" x14ac:dyDescent="0.2">
      <c r="B25" t="str">
        <f>$B$10</f>
        <v>Tool Development</v>
      </c>
      <c r="C25" s="55">
        <f t="shared" si="15"/>
        <v>105000</v>
      </c>
      <c r="D25" s="55">
        <f t="shared" si="16"/>
        <v>60000</v>
      </c>
      <c r="E25" s="55">
        <f t="shared" si="17"/>
        <v>100000</v>
      </c>
      <c r="F25" s="55">
        <f t="shared" si="18"/>
        <v>185000</v>
      </c>
      <c r="G25" s="55">
        <f t="shared" si="19"/>
        <v>55000</v>
      </c>
      <c r="H25" s="55"/>
      <c r="M25" t="str">
        <f>$B$11</f>
        <v>Regional Coordination</v>
      </c>
      <c r="N25" s="57">
        <f t="shared" si="10"/>
        <v>8.4753253130370729E-2</v>
      </c>
      <c r="O25" s="57">
        <f t="shared" si="11"/>
        <v>7.847082494969819E-2</v>
      </c>
      <c r="P25" s="57">
        <f t="shared" si="12"/>
        <v>0.11777902411665732</v>
      </c>
      <c r="Q25" s="57">
        <f t="shared" si="13"/>
        <v>0.15826911677534083</v>
      </c>
      <c r="R25" s="57">
        <f t="shared" si="14"/>
        <v>0.1311001379064905</v>
      </c>
      <c r="S25" s="57"/>
    </row>
    <row r="26" spans="2:36" x14ac:dyDescent="0.2">
      <c r="B26" t="str">
        <f>$B$11</f>
        <v>Regional Coordination</v>
      </c>
      <c r="C26" s="55">
        <f t="shared" si="15"/>
        <v>172600</v>
      </c>
      <c r="D26" s="55">
        <f t="shared" si="16"/>
        <v>163800</v>
      </c>
      <c r="E26" s="55">
        <f t="shared" si="17"/>
        <v>252000</v>
      </c>
      <c r="F26" s="55">
        <f t="shared" si="18"/>
        <v>347100</v>
      </c>
      <c r="G26" s="55">
        <f t="shared" si="19"/>
        <v>294700</v>
      </c>
      <c r="H26" s="55"/>
      <c r="M26" t="str">
        <f>$B$12</f>
        <v>Demand Response</v>
      </c>
      <c r="N26" s="57">
        <f t="shared" si="10"/>
        <v>5.4259759391112203E-2</v>
      </c>
      <c r="O26" s="57">
        <f t="shared" si="11"/>
        <v>5.4757114113250932E-2</v>
      </c>
      <c r="P26" s="57">
        <f t="shared" si="12"/>
        <v>3.8979248457655637E-2</v>
      </c>
      <c r="Q26" s="57">
        <f t="shared" si="13"/>
        <v>4.7284665541926951E-2</v>
      </c>
      <c r="R26" s="57">
        <f t="shared" si="14"/>
        <v>3.9725966457582633E-2</v>
      </c>
      <c r="S26" s="57"/>
    </row>
    <row r="27" spans="2:36" x14ac:dyDescent="0.2">
      <c r="B27" t="str">
        <f>$B$12</f>
        <v>Demand Response</v>
      </c>
      <c r="C27" s="55">
        <f t="shared" si="15"/>
        <v>110500</v>
      </c>
      <c r="D27" s="55">
        <f t="shared" si="16"/>
        <v>114300</v>
      </c>
      <c r="E27" s="55">
        <f t="shared" si="17"/>
        <v>83400</v>
      </c>
      <c r="F27" s="55">
        <f t="shared" si="18"/>
        <v>103700</v>
      </c>
      <c r="G27" s="55">
        <f t="shared" si="19"/>
        <v>89300</v>
      </c>
      <c r="H27" s="55"/>
      <c r="M27" t="str">
        <f>$B$13</f>
        <v>Primary Research</v>
      </c>
      <c r="N27" s="57">
        <f t="shared" si="10"/>
        <v>0</v>
      </c>
      <c r="O27" s="57">
        <f t="shared" si="11"/>
        <v>0</v>
      </c>
      <c r="P27" s="57">
        <f t="shared" si="12"/>
        <v>0</v>
      </c>
      <c r="Q27" s="57">
        <f t="shared" si="13"/>
        <v>0</v>
      </c>
      <c r="R27" s="57">
        <f t="shared" si="14"/>
        <v>0</v>
      </c>
      <c r="S27" s="57"/>
    </row>
    <row r="28" spans="2:36" x14ac:dyDescent="0.2">
      <c r="B28" t="str">
        <f>$B$13</f>
        <v>Primary Research</v>
      </c>
      <c r="C28" s="55">
        <f t="shared" si="15"/>
        <v>0</v>
      </c>
      <c r="D28" s="55">
        <f t="shared" si="16"/>
        <v>0</v>
      </c>
      <c r="E28" s="55">
        <f t="shared" si="17"/>
        <v>0</v>
      </c>
      <c r="F28" s="55">
        <f t="shared" si="18"/>
        <v>0</v>
      </c>
      <c r="G28" s="55">
        <f t="shared" si="19"/>
        <v>0</v>
      </c>
      <c r="H28" s="55"/>
      <c r="M28" t="str">
        <f>$B$14</f>
        <v>RTF Member Support &amp; Administration</v>
      </c>
      <c r="N28" s="57">
        <f t="shared" si="10"/>
        <v>0.13660692364350602</v>
      </c>
      <c r="O28" s="57">
        <f t="shared" si="11"/>
        <v>0.1351441985244802</v>
      </c>
      <c r="P28" s="57">
        <f t="shared" si="12"/>
        <v>0.13366984483080949</v>
      </c>
      <c r="Q28" s="57">
        <f t="shared" si="13"/>
        <v>0.13656468013314485</v>
      </c>
      <c r="R28" s="57">
        <f t="shared" si="14"/>
        <v>0.13532630455091418</v>
      </c>
      <c r="S28" s="57"/>
    </row>
    <row r="29" spans="2:36" x14ac:dyDescent="0.2">
      <c r="B29" t="str">
        <f>$B$14</f>
        <v>RTF Member Support &amp; Administration</v>
      </c>
      <c r="C29" s="55">
        <f t="shared" si="15"/>
        <v>278200</v>
      </c>
      <c r="D29" s="55">
        <f t="shared" si="16"/>
        <v>282100</v>
      </c>
      <c r="E29" s="55">
        <f t="shared" si="17"/>
        <v>286000</v>
      </c>
      <c r="F29" s="55">
        <f t="shared" si="18"/>
        <v>299500</v>
      </c>
      <c r="G29" s="55">
        <f t="shared" si="19"/>
        <v>304200</v>
      </c>
      <c r="H29" s="55"/>
      <c r="M29" t="str">
        <f>$B$15</f>
        <v xml:space="preserve">Website, Database support, Conservation Tracking </v>
      </c>
      <c r="N29" s="57">
        <f t="shared" si="10"/>
        <v>3.0297078320648169E-2</v>
      </c>
      <c r="O29" s="57">
        <f t="shared" si="11"/>
        <v>3.0276899492191242E-2</v>
      </c>
      <c r="P29" s="57">
        <f t="shared" si="12"/>
        <v>3.0286034772854738E-2</v>
      </c>
      <c r="Q29" s="57">
        <f t="shared" si="13"/>
        <v>3.027677716474397E-2</v>
      </c>
      <c r="R29" s="57">
        <f t="shared" si="14"/>
        <v>3.0294941945816094E-2</v>
      </c>
      <c r="S29" s="57"/>
    </row>
    <row r="30" spans="2:36" x14ac:dyDescent="0.2">
      <c r="B30" t="str">
        <f>$B$15</f>
        <v xml:space="preserve">Website, Database support, Conservation Tracking </v>
      </c>
      <c r="C30" s="55">
        <f t="shared" si="15"/>
        <v>61700</v>
      </c>
      <c r="D30" s="55">
        <f t="shared" si="16"/>
        <v>63200</v>
      </c>
      <c r="E30" s="55">
        <f t="shared" si="17"/>
        <v>64800</v>
      </c>
      <c r="F30" s="55">
        <f t="shared" si="18"/>
        <v>66400</v>
      </c>
      <c r="G30" s="55">
        <f t="shared" si="19"/>
        <v>68100</v>
      </c>
      <c r="H30" s="55"/>
      <c r="M30" t="str">
        <f>$B$16</f>
        <v>RTF Management</v>
      </c>
      <c r="N30" s="57">
        <f t="shared" si="10"/>
        <v>8.3722072182666335E-2</v>
      </c>
      <c r="O30" s="57">
        <f t="shared" si="11"/>
        <v>8.5273546038133557E-2</v>
      </c>
      <c r="P30" s="57">
        <f t="shared" si="12"/>
        <v>8.3894185829126944E-2</v>
      </c>
      <c r="Q30" s="57">
        <f t="shared" si="13"/>
        <v>8.5267429665769917E-2</v>
      </c>
      <c r="R30" s="57">
        <f t="shared" si="14"/>
        <v>8.3856043418301524E-2</v>
      </c>
      <c r="S30" s="55"/>
    </row>
    <row r="31" spans="2:36" x14ac:dyDescent="0.2">
      <c r="B31" t="str">
        <f>$B$16</f>
        <v>RTF Management</v>
      </c>
      <c r="C31" s="55">
        <f t="shared" si="15"/>
        <v>170500</v>
      </c>
      <c r="D31" s="55">
        <f t="shared" si="16"/>
        <v>178000</v>
      </c>
      <c r="E31" s="55">
        <f t="shared" si="17"/>
        <v>179500</v>
      </c>
      <c r="F31" s="55">
        <f t="shared" si="18"/>
        <v>187000</v>
      </c>
      <c r="G31" s="55">
        <f t="shared" si="19"/>
        <v>188500</v>
      </c>
    </row>
    <row r="32" spans="2:36" x14ac:dyDescent="0.2">
      <c r="B32" t="s">
        <v>473</v>
      </c>
      <c r="C32" s="137">
        <f>F17</f>
        <v>2036500</v>
      </c>
      <c r="D32" s="137">
        <f>M17</f>
        <v>2087400</v>
      </c>
      <c r="E32" s="137">
        <f>T17</f>
        <v>2139600</v>
      </c>
      <c r="F32" s="137">
        <f>AA17</f>
        <v>2193100</v>
      </c>
      <c r="G32" s="137">
        <f>AH17</f>
        <v>2247900</v>
      </c>
    </row>
    <row r="50" spans="2:8" x14ac:dyDescent="0.2">
      <c r="B50" t="s">
        <v>287</v>
      </c>
      <c r="C50" s="56" t="s">
        <v>255</v>
      </c>
      <c r="D50" s="56" t="s">
        <v>425</v>
      </c>
      <c r="E50" s="56" t="s">
        <v>426</v>
      </c>
      <c r="F50" s="56" t="s">
        <v>427</v>
      </c>
      <c r="G50" s="56" t="s">
        <v>428</v>
      </c>
      <c r="H50" s="56"/>
    </row>
    <row r="51" spans="2:8" x14ac:dyDescent="0.2">
      <c r="B51" t="str">
        <f>$B$7</f>
        <v>Existing Measure Review &amp; Updates</v>
      </c>
      <c r="C51" s="136">
        <f>C7</f>
        <v>104500</v>
      </c>
      <c r="D51" s="136">
        <f>J7</f>
        <v>107350</v>
      </c>
      <c r="E51" s="136">
        <f>Q7</f>
        <v>179800</v>
      </c>
      <c r="F51" s="136">
        <f>X7</f>
        <v>200600</v>
      </c>
      <c r="G51" s="136">
        <f>AE7</f>
        <v>146400</v>
      </c>
      <c r="H51" s="55"/>
    </row>
    <row r="52" spans="2:8" x14ac:dyDescent="0.2">
      <c r="B52" t="str">
        <f>$B$8</f>
        <v>New Measure Development &amp; Review of Unsolicited Proposals</v>
      </c>
      <c r="C52" s="136">
        <f t="shared" ref="C52:C59" si="20">C8</f>
        <v>60500</v>
      </c>
      <c r="D52" s="136">
        <f t="shared" ref="D52:D59" si="21">J8</f>
        <v>73450</v>
      </c>
      <c r="E52" s="136">
        <f t="shared" ref="E52:E59" si="22">Q8</f>
        <v>29000</v>
      </c>
      <c r="F52" s="136">
        <f t="shared" ref="F52:F59" si="23">X8</f>
        <v>0</v>
      </c>
      <c r="G52" s="136">
        <f t="shared" ref="G52:G59" si="24">AE8</f>
        <v>54900</v>
      </c>
      <c r="H52" s="55"/>
    </row>
    <row r="53" spans="2:8" x14ac:dyDescent="0.2">
      <c r="B53" t="str">
        <f>$B$9</f>
        <v>Standardization of Technical Analysis</v>
      </c>
      <c r="C53" s="136">
        <f t="shared" si="20"/>
        <v>30000</v>
      </c>
      <c r="D53" s="136">
        <f t="shared" si="21"/>
        <v>0</v>
      </c>
      <c r="E53" s="136">
        <f t="shared" si="22"/>
        <v>15000</v>
      </c>
      <c r="F53" s="136">
        <f t="shared" si="23"/>
        <v>0</v>
      </c>
      <c r="G53" s="136">
        <f t="shared" si="24"/>
        <v>0</v>
      </c>
      <c r="H53" s="55"/>
    </row>
    <row r="54" spans="2:8" x14ac:dyDescent="0.2">
      <c r="B54" t="str">
        <f>$B$10</f>
        <v>Tool Development</v>
      </c>
      <c r="C54" s="136">
        <f t="shared" si="20"/>
        <v>60000</v>
      </c>
      <c r="D54" s="136">
        <f t="shared" si="21"/>
        <v>30000</v>
      </c>
      <c r="E54" s="136">
        <f t="shared" si="22"/>
        <v>30000</v>
      </c>
      <c r="F54" s="136">
        <f t="shared" si="23"/>
        <v>140000</v>
      </c>
      <c r="G54" s="136">
        <f t="shared" si="24"/>
        <v>30000</v>
      </c>
      <c r="H54" s="55"/>
    </row>
    <row r="55" spans="2:8" x14ac:dyDescent="0.2">
      <c r="B55" t="str">
        <f>$B$11</f>
        <v>Regional Coordination</v>
      </c>
      <c r="C55" s="136">
        <f t="shared" si="20"/>
        <v>50000</v>
      </c>
      <c r="D55" s="136">
        <f t="shared" si="21"/>
        <v>43700</v>
      </c>
      <c r="E55" s="136">
        <f t="shared" si="22"/>
        <v>150000</v>
      </c>
      <c r="F55" s="136">
        <f t="shared" si="23"/>
        <v>200000</v>
      </c>
      <c r="G55" s="136">
        <f t="shared" si="24"/>
        <v>160000</v>
      </c>
      <c r="H55" s="55"/>
    </row>
    <row r="56" spans="2:8" x14ac:dyDescent="0.2">
      <c r="B56" t="str">
        <f>$B$12</f>
        <v>Demand Response</v>
      </c>
      <c r="C56" s="136">
        <f t="shared" si="20"/>
        <v>55500</v>
      </c>
      <c r="D56" s="136">
        <f t="shared" si="21"/>
        <v>51300</v>
      </c>
      <c r="E56" s="136">
        <f t="shared" si="22"/>
        <v>75000</v>
      </c>
      <c r="F56" s="136">
        <f t="shared" si="23"/>
        <v>80900</v>
      </c>
      <c r="G56" s="136">
        <f t="shared" si="24"/>
        <v>66100</v>
      </c>
      <c r="H56" s="55"/>
    </row>
    <row r="57" spans="2:8" x14ac:dyDescent="0.2">
      <c r="B57" t="str">
        <f>$B$13</f>
        <v>Primary Research</v>
      </c>
      <c r="C57" s="136">
        <f t="shared" si="20"/>
        <v>0</v>
      </c>
      <c r="D57" s="136">
        <f t="shared" si="21"/>
        <v>0</v>
      </c>
      <c r="E57" s="136">
        <f t="shared" si="22"/>
        <v>0</v>
      </c>
      <c r="F57" s="136">
        <f t="shared" si="23"/>
        <v>0</v>
      </c>
      <c r="G57" s="136">
        <f t="shared" si="24"/>
        <v>0</v>
      </c>
      <c r="H57" s="55"/>
    </row>
    <row r="58" spans="2:8" x14ac:dyDescent="0.2">
      <c r="B58" t="str">
        <f>$B$14</f>
        <v>RTF Member Support &amp; Administration</v>
      </c>
      <c r="C58" s="136">
        <f t="shared" si="20"/>
        <v>168200</v>
      </c>
      <c r="D58" s="136">
        <f t="shared" si="21"/>
        <v>169300</v>
      </c>
      <c r="E58" s="136">
        <f t="shared" si="22"/>
        <v>170400</v>
      </c>
      <c r="F58" s="136">
        <f t="shared" si="23"/>
        <v>181000</v>
      </c>
      <c r="G58" s="136">
        <f t="shared" si="24"/>
        <v>182700</v>
      </c>
      <c r="H58" s="55"/>
    </row>
    <row r="59" spans="2:8" x14ac:dyDescent="0.2">
      <c r="B59" t="str">
        <f>$B$15</f>
        <v xml:space="preserve">Website, Database support, Conservation Tracking </v>
      </c>
      <c r="C59" s="136">
        <f t="shared" si="20"/>
        <v>61700</v>
      </c>
      <c r="D59" s="136">
        <f t="shared" si="21"/>
        <v>63200</v>
      </c>
      <c r="E59" s="136">
        <f t="shared" si="22"/>
        <v>64800</v>
      </c>
      <c r="F59" s="136">
        <f t="shared" si="23"/>
        <v>66400</v>
      </c>
      <c r="G59" s="136">
        <f t="shared" si="24"/>
        <v>68100</v>
      </c>
      <c r="H59" s="55"/>
    </row>
    <row r="60" spans="2:8" x14ac:dyDescent="0.2">
      <c r="B60" t="str">
        <f>$B$16</f>
        <v>RTF Management</v>
      </c>
      <c r="C60" s="137">
        <f>C16</f>
        <v>7000</v>
      </c>
      <c r="D60" s="137">
        <f>J16</f>
        <v>7000</v>
      </c>
      <c r="E60" s="137">
        <f>Q16</f>
        <v>7000</v>
      </c>
      <c r="F60" s="137">
        <f>X16</f>
        <v>7000</v>
      </c>
      <c r="G60" s="137">
        <f>AE16</f>
        <v>7000</v>
      </c>
    </row>
    <row r="71" spans="2:8" x14ac:dyDescent="0.2">
      <c r="B71" t="s">
        <v>288</v>
      </c>
      <c r="C71" s="56" t="s">
        <v>255</v>
      </c>
      <c r="D71" s="56" t="s">
        <v>425</v>
      </c>
      <c r="E71" s="56" t="s">
        <v>426</v>
      </c>
      <c r="F71" s="56" t="s">
        <v>427</v>
      </c>
      <c r="G71" s="56" t="s">
        <v>428</v>
      </c>
      <c r="H71" s="56"/>
    </row>
    <row r="72" spans="2:8" x14ac:dyDescent="0.2">
      <c r="B72" t="str">
        <f>$B$7</f>
        <v>Existing Measure Review &amp; Updates</v>
      </c>
      <c r="C72" s="55">
        <f>D7</f>
        <v>313500</v>
      </c>
      <c r="D72" s="55">
        <f>K7</f>
        <v>321100</v>
      </c>
      <c r="E72" s="55">
        <f>R7</f>
        <v>536300</v>
      </c>
      <c r="F72" s="55">
        <f>Y7</f>
        <v>605200</v>
      </c>
      <c r="G72" s="55">
        <f>AF7</f>
        <v>436800</v>
      </c>
      <c r="H72" s="55"/>
    </row>
    <row r="73" spans="2:8" x14ac:dyDescent="0.2">
      <c r="B73" t="str">
        <f>$B$8</f>
        <v>New Measure Development &amp; Review of Unsolicited Proposals</v>
      </c>
      <c r="C73" s="55">
        <f t="shared" ref="C73:C80" si="25">D8</f>
        <v>440000</v>
      </c>
      <c r="D73" s="55">
        <f t="shared" ref="D73:D81" si="26">K8</f>
        <v>533000</v>
      </c>
      <c r="E73" s="55">
        <f t="shared" ref="E73:E81" si="27">R8</f>
        <v>210000</v>
      </c>
      <c r="F73" s="55">
        <f t="shared" ref="F73:F81" si="28">Y8</f>
        <v>0</v>
      </c>
      <c r="G73" s="55">
        <f t="shared" ref="G73:G81" si="29">AF8</f>
        <v>397800</v>
      </c>
      <c r="H73" s="55"/>
    </row>
    <row r="74" spans="2:8" x14ac:dyDescent="0.2">
      <c r="B74" t="str">
        <f>$B$9</f>
        <v>Standardization of Technical Analysis</v>
      </c>
      <c r="C74" s="55">
        <f t="shared" si="25"/>
        <v>189500</v>
      </c>
      <c r="D74" s="55">
        <f t="shared" si="26"/>
        <v>191100</v>
      </c>
      <c r="E74" s="55">
        <f t="shared" si="27"/>
        <v>203800</v>
      </c>
      <c r="F74" s="55">
        <f t="shared" si="28"/>
        <v>198600</v>
      </c>
      <c r="G74" s="55">
        <f t="shared" si="29"/>
        <v>212200</v>
      </c>
      <c r="H74" s="55"/>
    </row>
    <row r="75" spans="2:8" x14ac:dyDescent="0.2">
      <c r="B75" t="str">
        <f>$B$10</f>
        <v>Tool Development</v>
      </c>
      <c r="C75" s="55">
        <f t="shared" si="25"/>
        <v>45000</v>
      </c>
      <c r="D75" s="55">
        <f t="shared" si="26"/>
        <v>30000</v>
      </c>
      <c r="E75" s="55">
        <f t="shared" si="27"/>
        <v>70000</v>
      </c>
      <c r="F75" s="55">
        <f t="shared" si="28"/>
        <v>45000</v>
      </c>
      <c r="G75" s="55">
        <f t="shared" si="29"/>
        <v>25000</v>
      </c>
      <c r="H75" s="55"/>
    </row>
    <row r="76" spans="2:8" x14ac:dyDescent="0.2">
      <c r="B76" t="str">
        <f>$B$11</f>
        <v>Regional Coordination</v>
      </c>
      <c r="C76" s="55">
        <f t="shared" si="25"/>
        <v>122600</v>
      </c>
      <c r="D76" s="55">
        <f t="shared" si="26"/>
        <v>120100</v>
      </c>
      <c r="E76" s="55">
        <f t="shared" si="27"/>
        <v>102000</v>
      </c>
      <c r="F76" s="55">
        <f t="shared" si="28"/>
        <v>147100</v>
      </c>
      <c r="G76" s="55">
        <f t="shared" si="29"/>
        <v>134700</v>
      </c>
      <c r="H76" s="55"/>
    </row>
    <row r="77" spans="2:8" x14ac:dyDescent="0.2">
      <c r="B77" t="str">
        <f>$B$12</f>
        <v>Demand Response</v>
      </c>
      <c r="C77" s="55">
        <f t="shared" si="25"/>
        <v>55000</v>
      </c>
      <c r="D77" s="55">
        <f t="shared" si="26"/>
        <v>63000</v>
      </c>
      <c r="E77" s="55">
        <f t="shared" si="27"/>
        <v>8400</v>
      </c>
      <c r="F77" s="55">
        <f t="shared" si="28"/>
        <v>22800</v>
      </c>
      <c r="G77" s="55">
        <f t="shared" si="29"/>
        <v>23200</v>
      </c>
      <c r="H77" s="55"/>
    </row>
    <row r="78" spans="2:8" x14ac:dyDescent="0.2">
      <c r="B78" t="str">
        <f>$B$13</f>
        <v>Primary Research</v>
      </c>
      <c r="C78" s="55">
        <f t="shared" si="25"/>
        <v>0</v>
      </c>
      <c r="D78" s="55">
        <f t="shared" si="26"/>
        <v>0</v>
      </c>
      <c r="E78" s="55">
        <f t="shared" si="27"/>
        <v>0</v>
      </c>
      <c r="F78" s="55">
        <f t="shared" si="28"/>
        <v>0</v>
      </c>
      <c r="G78" s="55">
        <f t="shared" si="29"/>
        <v>0</v>
      </c>
      <c r="H78" s="55"/>
    </row>
    <row r="79" spans="2:8" x14ac:dyDescent="0.2">
      <c r="B79" t="str">
        <f>$B$14</f>
        <v>RTF Member Support &amp; Administration</v>
      </c>
      <c r="C79" s="55">
        <f t="shared" si="25"/>
        <v>110000</v>
      </c>
      <c r="D79" s="55">
        <f t="shared" si="26"/>
        <v>112800</v>
      </c>
      <c r="E79" s="55">
        <f t="shared" si="27"/>
        <v>115600</v>
      </c>
      <c r="F79" s="55">
        <f t="shared" si="28"/>
        <v>118500</v>
      </c>
      <c r="G79" s="55">
        <f t="shared" si="29"/>
        <v>121500</v>
      </c>
      <c r="H79" s="55"/>
    </row>
    <row r="80" spans="2:8" x14ac:dyDescent="0.2">
      <c r="B80" t="str">
        <f>$B$15</f>
        <v xml:space="preserve">Website, Database support, Conservation Tracking </v>
      </c>
      <c r="C80" s="55">
        <f t="shared" si="25"/>
        <v>0</v>
      </c>
      <c r="D80" s="55">
        <f t="shared" si="26"/>
        <v>0</v>
      </c>
      <c r="E80" s="55">
        <f t="shared" si="27"/>
        <v>0</v>
      </c>
      <c r="F80" s="55">
        <f t="shared" si="28"/>
        <v>0</v>
      </c>
      <c r="G80" s="55">
        <f t="shared" si="29"/>
        <v>0</v>
      </c>
      <c r="H80" s="55"/>
    </row>
    <row r="81" spans="2:7" x14ac:dyDescent="0.2">
      <c r="B81" t="str">
        <f>$B$16</f>
        <v>RTF Management</v>
      </c>
      <c r="C81" s="55">
        <f>D16</f>
        <v>5000</v>
      </c>
      <c r="D81">
        <f t="shared" si="26"/>
        <v>5000</v>
      </c>
      <c r="E81">
        <f t="shared" si="27"/>
        <v>5000</v>
      </c>
      <c r="F81">
        <f t="shared" si="28"/>
        <v>5000</v>
      </c>
      <c r="G81">
        <f t="shared" si="29"/>
        <v>5000</v>
      </c>
    </row>
  </sheetData>
  <mergeCells count="5">
    <mergeCell ref="C5:G5"/>
    <mergeCell ref="J5:N5"/>
    <mergeCell ref="Q5:U5"/>
    <mergeCell ref="X5:AB5"/>
    <mergeCell ref="AE5:AI5"/>
  </mergeCells>
  <pageMargins left="0.7" right="0.7" top="0.75" bottom="0.75" header="0.3" footer="0.3"/>
  <drawing r:id="rId1"/>
  <tableParts count="4">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F77FC-E700-4F52-8C6C-8541278C25C5}">
  <dimension ref="B1:AJ46"/>
  <sheetViews>
    <sheetView workbookViewId="0">
      <selection activeCell="B37" sqref="B37:B41"/>
    </sheetView>
  </sheetViews>
  <sheetFormatPr defaultRowHeight="12.75" x14ac:dyDescent="0.2"/>
  <cols>
    <col min="2" max="2" width="59.140625" customWidth="1"/>
    <col min="3" max="8" width="14.140625" customWidth="1"/>
    <col min="10" max="14" width="14.140625" customWidth="1"/>
    <col min="15" max="15" width="8.140625" customWidth="1"/>
    <col min="16" max="16" width="9.140625" customWidth="1"/>
    <col min="17" max="21" width="14.7109375" customWidth="1"/>
    <col min="22" max="22" width="8.140625" customWidth="1"/>
    <col min="23" max="23" width="9.140625" customWidth="1"/>
    <col min="24" max="28" width="14.7109375" customWidth="1"/>
    <col min="29" max="29" width="8.140625" customWidth="1"/>
    <col min="30" max="30" width="9.140625" customWidth="1"/>
    <col min="31" max="35" width="14.7109375" customWidth="1"/>
    <col min="36" max="36" width="8.140625" bestFit="1" customWidth="1"/>
  </cols>
  <sheetData>
    <row r="1" spans="2:36" ht="18.75" x14ac:dyDescent="0.3">
      <c r="B1" s="4" t="s">
        <v>451</v>
      </c>
    </row>
    <row r="2" spans="2:36" ht="15" x14ac:dyDescent="0.25">
      <c r="B2" s="7" t="str">
        <f>'Table of Contents'!$B$2</f>
        <v>DRAFT Proposed 5-Year Funding Levels (2025-2029) for discussion at March 26, 2024 RTF Policy Advisory Committee Meeting</v>
      </c>
    </row>
    <row r="3" spans="2:36" ht="15" x14ac:dyDescent="0.25">
      <c r="B3" s="138" t="s">
        <v>449</v>
      </c>
    </row>
    <row r="5" spans="2:36" ht="26.25" customHeight="1" x14ac:dyDescent="0.25">
      <c r="B5" s="10"/>
      <c r="C5" s="357" t="s">
        <v>255</v>
      </c>
      <c r="D5" s="358"/>
      <c r="E5" s="358"/>
      <c r="F5" s="358"/>
      <c r="G5" s="359"/>
      <c r="H5" s="10"/>
      <c r="J5" s="357" t="s">
        <v>425</v>
      </c>
      <c r="K5" s="358"/>
      <c r="L5" s="358"/>
      <c r="M5" s="358"/>
      <c r="N5" s="359"/>
      <c r="Q5" s="357" t="s">
        <v>426</v>
      </c>
      <c r="R5" s="358"/>
      <c r="S5" s="358"/>
      <c r="T5" s="358"/>
      <c r="U5" s="359"/>
      <c r="X5" s="357" t="s">
        <v>427</v>
      </c>
      <c r="Y5" s="358"/>
      <c r="Z5" s="358"/>
      <c r="AA5" s="358"/>
      <c r="AB5" s="359"/>
      <c r="AE5" s="357" t="s">
        <v>428</v>
      </c>
      <c r="AF5" s="358"/>
      <c r="AG5" s="358"/>
      <c r="AH5" s="358"/>
      <c r="AI5" s="359"/>
    </row>
    <row r="6" spans="2:36" ht="63" x14ac:dyDescent="0.25">
      <c r="B6" s="51" t="s">
        <v>237</v>
      </c>
      <c r="C6" s="52" t="s">
        <v>257</v>
      </c>
      <c r="D6" s="52" t="s">
        <v>258</v>
      </c>
      <c r="E6" s="53" t="s">
        <v>259</v>
      </c>
      <c r="F6" s="148" t="s">
        <v>260</v>
      </c>
      <c r="G6" s="143" t="s">
        <v>261</v>
      </c>
      <c r="H6" s="52" t="s">
        <v>243</v>
      </c>
      <c r="I6" s="10"/>
      <c r="J6" s="52" t="s">
        <v>429</v>
      </c>
      <c r="K6" s="52" t="s">
        <v>430</v>
      </c>
      <c r="L6" s="53" t="s">
        <v>431</v>
      </c>
      <c r="M6" s="148" t="s">
        <v>432</v>
      </c>
      <c r="N6" s="143" t="s">
        <v>433</v>
      </c>
      <c r="O6" s="52" t="s">
        <v>243</v>
      </c>
      <c r="P6" s="10"/>
      <c r="Q6" s="52" t="s">
        <v>434</v>
      </c>
      <c r="R6" s="52" t="s">
        <v>435</v>
      </c>
      <c r="S6" s="53" t="s">
        <v>436</v>
      </c>
      <c r="T6" s="148" t="s">
        <v>437</v>
      </c>
      <c r="U6" s="143" t="s">
        <v>438</v>
      </c>
      <c r="V6" s="52" t="s">
        <v>243</v>
      </c>
      <c r="X6" s="52" t="s">
        <v>439</v>
      </c>
      <c r="Y6" s="52" t="s">
        <v>440</v>
      </c>
      <c r="Z6" s="53" t="s">
        <v>441</v>
      </c>
      <c r="AA6" s="148" t="s">
        <v>442</v>
      </c>
      <c r="AB6" s="143" t="s">
        <v>443</v>
      </c>
      <c r="AC6" s="52" t="s">
        <v>243</v>
      </c>
      <c r="AE6" s="52" t="s">
        <v>444</v>
      </c>
      <c r="AF6" s="52" t="s">
        <v>445</v>
      </c>
      <c r="AG6" s="53" t="s">
        <v>446</v>
      </c>
      <c r="AH6" s="148" t="s">
        <v>447</v>
      </c>
      <c r="AI6" s="143" t="s">
        <v>448</v>
      </c>
      <c r="AJ6" s="52" t="s">
        <v>243</v>
      </c>
    </row>
    <row r="7" spans="2:36" ht="31.5" customHeight="1" x14ac:dyDescent="0.25">
      <c r="B7" s="46" t="s">
        <v>244</v>
      </c>
      <c r="C7" s="139">
        <f>SUM(('2025-2029 Category Detail'!B8*'2025-2029 Category Detail'!$H$8),('2025-2029 Category Detail'!B9*'2025-2029 Category Detail'!$H$9),('2025-2029 Category Detail'!B10*'2025-2029 Category Detail'!$H$10),('2025-2029 Category Detail'!B11*'2025-2029 Category Detail'!$H$11),('2025-2029 Category Detail'!B12*'2025-2029 Category Detail'!$H$12),('2025-2029 Category Detail'!B13*'2025-2029 Category Detail'!$H$13),('2025-2029 Category Detail'!B14*'2025-2029 Category Detail'!$H$14),('2025-2029 Category Detail'!B15*'2025-2029 Category Detail'!$H$15))</f>
        <v>75625</v>
      </c>
      <c r="D7" s="139">
        <f>SUM(('2025-2029 Category Detail'!C8*'2025-2029 Category Detail'!$H$8),('2025-2029 Category Detail'!C9*'2025-2029 Category Detail'!$H$9),('2025-2029 Category Detail'!C10*'2025-2029 Category Detail'!$H$10),('2025-2029 Category Detail'!C11*'2025-2029 Category Detail'!$H$11),('2025-2029 Category Detail'!C12*'2025-2029 Category Detail'!$H$12),('2025-2029 Category Detail'!C13*'2025-2029 Category Detail'!$H$13),('2025-2029 Category Detail'!C14*'2025-2029 Category Detail'!$H$14),('2025-2029 Category Detail'!C15*'2025-2029 Category Detail'!$H$15))</f>
        <v>226875</v>
      </c>
      <c r="E7" s="139">
        <f>SUM(('2025-2029 Category Detail'!D8*'2025-2029 Category Detail'!$H$8),('2025-2029 Category Detail'!D9*'2025-2029 Category Detail'!$H$9),('2025-2029 Category Detail'!D10*'2025-2029 Category Detail'!$H$10),('2025-2029 Category Detail'!D11*'2025-2029 Category Detail'!$H$11),('2025-2029 Category Detail'!D12*'2025-2029 Category Detail'!$H$12),('2025-2029 Category Detail'!D13*'2025-2029 Category Detail'!$H$13),('2025-2029 Category Detail'!D14*'2025-2029 Category Detail'!$H$14),('2025-2029 Category Detail'!D15*'2025-2029 Category Detail'!$H$15))</f>
        <v>0</v>
      </c>
      <c r="F7" s="149">
        <f t="shared" ref="F7:F16" si="0">SUM(C7:E7)</f>
        <v>302500</v>
      </c>
      <c r="G7" s="144">
        <f>SUM(('2025-2029 Category Detail'!F8*'2025-2029 Category Detail'!$H$8),('2025-2029 Category Detail'!F9*'2025-2029 Category Detail'!$H$9),('2025-2029 Category Detail'!F10*'2025-2029 Category Detail'!$H$10),('2025-2029 Category Detail'!F11*'2025-2029 Category Detail'!$H$11),('2025-2029 Category Detail'!F12*'2025-2029 Category Detail'!$H$12),('2025-2029 Category Detail'!F13*'2025-2029 Category Detail'!$H$13),('2025-2029 Category Detail'!F14*'2025-2029 Category Detail'!$H$14),('2025-2029 Category Detail'!F15*'2025-2029 Category Detail'!$H$15))</f>
        <v>11000</v>
      </c>
      <c r="H7" s="49">
        <f t="shared" ref="H7:H16" si="1">F7/$F$17</f>
        <v>0.20488680427383715</v>
      </c>
      <c r="I7" s="26"/>
      <c r="J7" s="139">
        <f>SUM(('2025-2029 Category Detail'!L8*'2025-2029 Category Detail'!$R$8),('2025-2029 Category Detail'!L9*'2025-2029 Category Detail'!$R$9),('2025-2029 Category Detail'!L10*'2025-2029 Category Detail'!$R$10),('2025-2029 Category Detail'!L11*'2025-2029 Category Detail'!$R$11),('2025-2029 Category Detail'!L12*'2025-2029 Category Detail'!$R$12),('2025-2029 Category Detail'!L13*'2025-2029 Category Detail'!$R$13),('2025-2029 Category Detail'!L14*'2025-2029 Category Detail'!$R$14),('2025-2029 Category Detail'!L15*'2025-2029 Category Detail'!$R$15))</f>
        <v>91812.5</v>
      </c>
      <c r="K7" s="139">
        <f>SUM(('2025-2029 Category Detail'!M8*'2025-2029 Category Detail'!$R$8),('2025-2029 Category Detail'!M9*'2025-2029 Category Detail'!$R$9),('2025-2029 Category Detail'!M10*'2025-2029 Category Detail'!$R$10),('2025-2029 Category Detail'!M11*'2025-2029 Category Detail'!$R$11),('2025-2029 Category Detail'!M12*'2025-2029 Category Detail'!$R$12),('2025-2029 Category Detail'!M13*'2025-2029 Category Detail'!$R$13),('2025-2029 Category Detail'!M14*'2025-2029 Category Detail'!$R$14),('2025-2029 Category Detail'!M15*'2025-2029 Category Detail'!$R$15))</f>
        <v>274625</v>
      </c>
      <c r="L7" s="139">
        <f>SUM(('2025-2029 Category Detail'!N8*'2025-2029 Category Detail'!$R$8),('2025-2029 Category Detail'!N9*'2025-2029 Category Detail'!$R$9),('2025-2029 Category Detail'!N10*'2025-2029 Category Detail'!$R$10),('2025-2029 Category Detail'!N11*'2025-2029 Category Detail'!$R$11),('2025-2029 Category Detail'!N12*'2025-2029 Category Detail'!$R$12),('2025-2029 Category Detail'!N13*'2025-2029 Category Detail'!$R$13),('2025-2029 Category Detail'!N14*'2025-2029 Category Detail'!$R$14),('2025-2029 Category Detail'!N15*'2025-2029 Category Detail'!$R$15))</f>
        <v>0</v>
      </c>
      <c r="M7" s="149">
        <f>SUM(J7:L7)</f>
        <v>366437.5</v>
      </c>
      <c r="N7" s="144">
        <f>SUM(('2025-2029 Category Detail'!P8*'2025-2029 Category Detail'!$R$8),('2025-2029 Category Detail'!P9*'2025-2029 Category Detail'!$R$9),('2025-2029 Category Detail'!P10*'2025-2029 Category Detail'!$R$10),('2025-2029 Category Detail'!P11*'2025-2029 Category Detail'!$R$11),('2025-2029 Category Detail'!P12*'2025-2029 Category Detail'!$R$12),('2025-2029 Category Detail'!P13*'2025-2029 Category Detail'!$R$13),('2025-2029 Category Detail'!P14*'2025-2029 Category Detail'!$R$14),('2025-2029 Category Detail'!P15*'2025-2029 Category Detail'!$R$15))</f>
        <v>13325</v>
      </c>
      <c r="O7" s="49">
        <f t="shared" ref="O7:O16" si="2">M7/$M$17</f>
        <v>0.23175561897684421</v>
      </c>
      <c r="P7" s="10"/>
      <c r="Q7" s="139">
        <f>SUM(('2025-2029 Category Detail'!V8*'2025-2029 Category Detail'!$AB$8),('2025-2029 Category Detail'!V9*'2025-2029 Category Detail'!$AB$9),('2025-2029 Category Detail'!V10*'2025-2029 Category Detail'!$AB$10),('2025-2029 Category Detail'!V11*'2025-2029 Category Detail'!$AB$11),('2025-2029 Category Detail'!V12*'2025-2029 Category Detail'!$AB$12),('2025-2029 Category Detail'!V13*'2025-2029 Category Detail'!$AB$13),('2025-2029 Category Detail'!V14*'2025-2029 Category Detail'!$AB$14),('2025-2029 Category Detail'!V15*'2025-2029 Category Detail'!$AB$15))</f>
        <v>152250</v>
      </c>
      <c r="R7" s="139">
        <f>SUM(('2025-2029 Category Detail'!W8*'2025-2029 Category Detail'!$AB$8),('2025-2029 Category Detail'!W9*'2025-2029 Category Detail'!$AB$9),('2025-2029 Category Detail'!W10*'2025-2029 Category Detail'!$AB$10),('2025-2029 Category Detail'!W11*'2025-2029 Category Detail'!$AB$11),('2025-2029 Category Detail'!W12*'2025-2029 Category Detail'!$AB$12),('2025-2029 Category Detail'!W13*'2025-2029 Category Detail'!$AB$13),('2025-2029 Category Detail'!W14*'2025-2029 Category Detail'!$AB$14),('2025-2029 Category Detail'!W15*'2025-2029 Category Detail'!$AB$15))</f>
        <v>454125</v>
      </c>
      <c r="S7" s="139">
        <f>SUM(('2025-2029 Category Detail'!X8*'2025-2029 Category Detail'!$AB$8),('2025-2029 Category Detail'!X9*'2025-2029 Category Detail'!$AB$9),('2025-2029 Category Detail'!X10*'2025-2029 Category Detail'!$AB$10),('2025-2029 Category Detail'!X11*'2025-2029 Category Detail'!$AB$11),('2025-2029 Category Detail'!X12*'2025-2029 Category Detail'!$AB$12),('2025-2029 Category Detail'!X13*'2025-2029 Category Detail'!$AB$13),('2025-2029 Category Detail'!X14*'2025-2029 Category Detail'!$AB$14),('2025-2029 Category Detail'!X15*'2025-2029 Category Detail'!$AB$15))</f>
        <v>0</v>
      </c>
      <c r="T7" s="149">
        <f>SUM(Q7:S7)</f>
        <v>606375</v>
      </c>
      <c r="U7" s="144">
        <f>SUM(('2025-2029 Category Detail'!Z8*'2025-2029 Category Detail'!$AB$8),('2025-2029 Category Detail'!Z9*'2025-2029 Category Detail'!$AB$9),('2025-2029 Category Detail'!Z10*'2025-2029 Category Detail'!$AB$10),('2025-2029 Category Detail'!Z11*'2025-2029 Category Detail'!$AB$11),('2025-2029 Category Detail'!Z12*'2025-2029 Category Detail'!$AB$12),('2025-2029 Category Detail'!Z13*'2025-2029 Category Detail'!$AB$13),('2025-2029 Category Detail'!Z14*'2025-2029 Category Detail'!$AB$14),('2025-2029 Category Detail'!Z15*'2025-2029 Category Detail'!$AB$15))</f>
        <v>22050</v>
      </c>
      <c r="V7" s="49">
        <f t="shared" ref="V7:V16" si="3">T7/$T$17</f>
        <v>0.37860576923076922</v>
      </c>
      <c r="X7" s="139">
        <f>SUM(('2025-2029 Category Detail'!AF8*'2025-2029 Category Detail'!$AL$8),('2025-2029 Category Detail'!AF9*'2025-2029 Category Detail'!$AL$9),('2025-2029 Category Detail'!AF10*'2025-2029 Category Detail'!$AL$10),('2025-2029 Category Detail'!AF11*'2025-2029 Category Detail'!$AL$11),('2025-2029 Category Detail'!AF12*'2025-2029 Category Detail'!$AL$12),('2025-2029 Category Detail'!AF13*'2025-2029 Category Detail'!$AL$13),('2025-2029 Category Detail'!AF14*'2025-2029 Category Detail'!$AL$14),('2025-2029 Category Detail'!AF15*'2025-2029 Category Detail'!$AL$15))</f>
        <v>154875</v>
      </c>
      <c r="Y7" s="139">
        <f>SUM(('2025-2029 Category Detail'!AG8*'2025-2029 Category Detail'!$AL$8),('2025-2029 Category Detail'!AG9*'2025-2029 Category Detail'!$AL$9),('2025-2029 Category Detail'!AG10*'2025-2029 Category Detail'!$AL$10),('2025-2029 Category Detail'!AG11*'2025-2029 Category Detail'!$AL$11),('2025-2029 Category Detail'!AG12*'2025-2029 Category Detail'!$AL$12),('2025-2029 Category Detail'!AG13*'2025-2029 Category Detail'!$AL$13),('2025-2029 Category Detail'!AG14*'2025-2029 Category Detail'!$AL$14),('2025-2029 Category Detail'!AG15*'2025-2029 Category Detail'!$AL$15))</f>
        <v>467250</v>
      </c>
      <c r="Z7" s="139">
        <f>SUM(('2025-2029 Category Detail'!AH8*'2025-2029 Category Detail'!$AL$8),('2025-2029 Category Detail'!AH9*'2025-2029 Category Detail'!$AL$9),('2025-2029 Category Detail'!AH10*'2025-2029 Category Detail'!$AL$10),('2025-2029 Category Detail'!AH11*'2025-2029 Category Detail'!$AL$11),('2025-2029 Category Detail'!AH12*'2025-2029 Category Detail'!$AL$12),('2025-2029 Category Detail'!AH13*'2025-2029 Category Detail'!$AL$13),('2025-2029 Category Detail'!AH14*'2025-2029 Category Detail'!$AL$14),('2025-2029 Category Detail'!AH15*'2025-2029 Category Detail'!$AL$15))</f>
        <v>0</v>
      </c>
      <c r="AA7" s="149">
        <f>SUM(X7:Z7)</f>
        <v>622125</v>
      </c>
      <c r="AB7" s="139">
        <f>SUM(('2025-2029 Category Detail'!AJ8*'2025-2029 Category Detail'!$AL$8),('2025-2029 Category Detail'!AJ9*'2025-2029 Category Detail'!$AL$9),('2025-2029 Category Detail'!AJ10*'2025-2029 Category Detail'!$AL$10),('2025-2029 Category Detail'!AJ11*'2025-2029 Category Detail'!$AL$11),('2025-2029 Category Detail'!AJ12*'2025-2029 Category Detail'!$AL$12),('2025-2029 Category Detail'!AJ13*'2025-2029 Category Detail'!$AL$13),('2025-2029 Category Detail'!AJ14*'2025-2029 Category Detail'!$AL$14),('2025-2029 Category Detail'!AJ15*'2025-2029 Category Detail'!$AL$15))</f>
        <v>22575</v>
      </c>
      <c r="AC7" s="49">
        <f>AA7/$AA$17</f>
        <v>0.38268130651411697</v>
      </c>
      <c r="AE7" s="139">
        <f>SUM(('2025-2029 Category Detail'!AP8*'2025-2029 Category Detail'!$AV$8),('2025-2029 Category Detail'!AP9*'2025-2029 Category Detail'!$AV$9),('2025-2029 Category Detail'!AP10*'2025-2029 Category Detail'!$AV$10),('2025-2029 Category Detail'!AP11*'2025-2029 Category Detail'!$AV$11),('2025-2029 Category Detail'!AP12*'2025-2029 Category Detail'!$AV$12),('2025-2029 Category Detail'!AP13*'2025-2029 Category Detail'!$AV$13),('2025-2029 Category Detail'!AP14*'2025-2029 Category Detail'!$AV$14),('2025-2029 Category Detail'!AP15*'2025-2029 Category Detail'!$AV$15))</f>
        <v>117425</v>
      </c>
      <c r="AF7" s="139">
        <f>SUM(('2025-2029 Category Detail'!AQ8*'2025-2029 Category Detail'!$AV$8),('2025-2029 Category Detail'!AQ9*'2025-2029 Category Detail'!$AV$9),('2025-2029 Category Detail'!AQ10*'2025-2029 Category Detail'!$AV$10),('2025-2029 Category Detail'!AQ11*'2025-2029 Category Detail'!$AV$11),('2025-2029 Category Detail'!AQ12*'2025-2029 Category Detail'!$AV$12),('2025-2029 Category Detail'!AQ13*'2025-2029 Category Detail'!$AV$13),('2025-2029 Category Detail'!AQ14*'2025-2029 Category Detail'!$AV$14),('2025-2029 Category Detail'!AQ15*'2025-2029 Category Detail'!$AV$15))</f>
        <v>350350</v>
      </c>
      <c r="AG7" s="139">
        <f>SUM(('2025-2029 Category Detail'!AR8*'2025-2029 Category Detail'!$AV$8),('2025-2029 Category Detail'!AR9*'2025-2029 Category Detail'!$AV$9),('2025-2029 Category Detail'!AR10*'2025-2029 Category Detail'!$AV$10),('2025-2029 Category Detail'!AR11*'2025-2029 Category Detail'!$AV$11),('2025-2029 Category Detail'!AR12*'2025-2029 Category Detail'!$AV$12),('2025-2029 Category Detail'!AR13*'2025-2029 Category Detail'!$AV$13),('2025-2029 Category Detail'!AR14*'2025-2029 Category Detail'!$AV$14),('2025-2029 Category Detail'!AR15*'2025-2029 Category Detail'!$AV$15))</f>
        <v>0</v>
      </c>
      <c r="AH7" s="149">
        <f>SUM(AE7:AG7)</f>
        <v>467775</v>
      </c>
      <c r="AI7" s="144">
        <f>SUM(('2025-2029 Category Detail'!AT8*'2025-2029 Category Detail'!$AV$8),('2025-2029 Category Detail'!AT9*'2025-2029 Category Detail'!$AV$9),('2025-2029 Category Detail'!AT10*'2025-2029 Category Detail'!$AV$10),('2025-2029 Category Detail'!AT11*'2025-2029 Category Detail'!$AV$11),('2025-2029 Category Detail'!AT12*'2025-2029 Category Detail'!$AV$12),('2025-2029 Category Detail'!AT13*'2025-2029 Category Detail'!$AV$13),('2025-2029 Category Detail'!AT14*'2025-2029 Category Detail'!$AV$14),('2025-2029 Category Detail'!AT15*'2025-2029 Category Detail'!$AV$15))</f>
        <v>16940</v>
      </c>
      <c r="AJ7" s="49">
        <f t="shared" ref="AJ7:AJ16" si="4">AH7/$AH$17</f>
        <v>0.2687975865536561</v>
      </c>
    </row>
    <row r="8" spans="2:36" ht="31.5" customHeight="1" x14ac:dyDescent="0.25">
      <c r="B8" s="46" t="s">
        <v>246</v>
      </c>
      <c r="C8" s="139">
        <f>SUM(('2025-2029 Category Detail'!B17*'2025-2029 Category Detail'!$H$17),('2025-2029 Category Detail'!B18*'2025-2029 Category Detail'!$H$18),('2025-2029 Category Detail'!B19*'2025-2029 Category Detail'!$H$19),('2025-2029 Category Detail'!B20*'2025-2029 Category Detail'!$H$20),('2025-2029 Category Detail'!B21*'2025-2029 Category Detail'!$H$21),('2025-2029 Category Detail'!B22*'2025-2029 Category Detail'!$H$22))</f>
        <v>45375</v>
      </c>
      <c r="D8" s="139">
        <f>SUM(('2025-2029 Category Detail'!C17*'2025-2029 Category Detail'!$H$17),('2025-2029 Category Detail'!C18*'2025-2029 Category Detail'!$H$18),('2025-2029 Category Detail'!C19*'2025-2029 Category Detail'!$H$19),('2025-2029 Category Detail'!C20*'2025-2029 Category Detail'!$H$20),('2025-2029 Category Detail'!C21*'2025-2029 Category Detail'!$H$21),('2025-2029 Category Detail'!C22*'2025-2029 Category Detail'!$H$22))</f>
        <v>330000</v>
      </c>
      <c r="E8" s="139">
        <f>SUM(('2025-2029 Category Detail'!D17*'2025-2029 Category Detail'!$H$17),('2025-2029 Category Detail'!D18*'2025-2029 Category Detail'!$H$18),('2025-2029 Category Detail'!D19*'2025-2029 Category Detail'!$H$19),('2025-2029 Category Detail'!D20*'2025-2029 Category Detail'!$H$20),('2025-2029 Category Detail'!D21*'2025-2029 Category Detail'!$H$21),('2025-2029 Category Detail'!D22*'2025-2029 Category Detail'!$H$22))</f>
        <v>0</v>
      </c>
      <c r="F8" s="149">
        <f t="shared" si="0"/>
        <v>375375</v>
      </c>
      <c r="G8" s="144">
        <f>SUM(('2025-2029 Category Detail'!F17*'2025-2029 Category Detail'!$H$17),('2025-2029 Category Detail'!F18*'2025-2029 Category Detail'!$H$18),('2025-2029 Category Detail'!F19*'2025-2029 Category Detail'!$H$19),('2025-2029 Category Detail'!F20*'2025-2029 Category Detail'!$H$20),('2025-2029 Category Detail'!F21*'2025-2029 Category Detail'!$H$21),('2025-2029 Category Detail'!F22*'2025-2029 Category Detail'!$H$22))</f>
        <v>6600</v>
      </c>
      <c r="H8" s="49">
        <f t="shared" si="1"/>
        <v>0.25424589803071607</v>
      </c>
      <c r="I8" s="27"/>
      <c r="J8" s="139">
        <f>SUM(('2025-2029 Category Detail'!L17*'2025-2029 Category Detail'!$R$17),('2025-2029 Category Detail'!L18*'2025-2029 Category Detail'!$R$18),('2025-2029 Category Detail'!L19*'2025-2029 Category Detail'!$R$19),('2025-2029 Category Detail'!L20*'2025-2029 Category Detail'!$R$20),('2025-2029 Category Detail'!L21*'2025-2029 Category Detail'!$R$21),('2025-2029 Category Detail'!L22*'2025-2029 Category Detail'!$R$22))</f>
        <v>56500</v>
      </c>
      <c r="K8" s="139">
        <f>SUM(('2025-2029 Category Detail'!M17*'2025-2029 Category Detail'!$R$17),('2025-2029 Category Detail'!M18*'2025-2029 Category Detail'!$R$18),('2025-2029 Category Detail'!M19*'2025-2029 Category Detail'!$R$19),('2025-2029 Category Detail'!M20*'2025-2029 Category Detail'!$R$20),('2025-2029 Category Detail'!M21*'2025-2029 Category Detail'!$R$21),('2025-2029 Category Detail'!M22*'2025-2029 Category Detail'!$R$22))</f>
        <v>410000</v>
      </c>
      <c r="L8" s="139">
        <f>SUM(('2025-2029 Category Detail'!N17*'2025-2029 Category Detail'!$R$17),('2025-2029 Category Detail'!N18*'2025-2029 Category Detail'!$R$18),('2025-2029 Category Detail'!N19*'2025-2029 Category Detail'!$R$19),('2025-2029 Category Detail'!N20*'2025-2029 Category Detail'!$R$20),('2025-2029 Category Detail'!N21*'2025-2029 Category Detail'!$R$21),('2025-2029 Category Detail'!N22*'2025-2029 Category Detail'!$R$22))</f>
        <v>0</v>
      </c>
      <c r="M8" s="149">
        <f t="shared" ref="M8:M16" si="5">SUM(J8:L8)</f>
        <v>466500</v>
      </c>
      <c r="N8" s="144">
        <f>SUM(('2025-2029 Category Detail'!P17*'2025-2029 Category Detail'!$R$17),('2025-2029 Category Detail'!P18*'2025-2029 Category Detail'!$R$18),('2025-2029 Category Detail'!P19*'2025-2029 Category Detail'!$R$19),('2025-2029 Category Detail'!P20*'2025-2029 Category Detail'!$R$20),('2025-2029 Category Detail'!P21*'2025-2029 Category Detail'!$R$21),('2025-2029 Category Detail'!P22*'2025-2029 Category Detail'!$R$22))</f>
        <v>8200</v>
      </c>
      <c r="O8" s="49">
        <f t="shared" si="2"/>
        <v>0.29504075388762835</v>
      </c>
      <c r="P8" s="10"/>
      <c r="Q8" s="139">
        <f>SUM(('2025-2029 Category Detail'!V17*'2025-2029 Category Detail'!$AB$17),('2025-2029 Category Detail'!V18*'2025-2029 Category Detail'!$AB$18),('2025-2029 Category Detail'!V19*'2025-2029 Category Detail'!$AB$19),('2025-2029 Category Detail'!V20*'2025-2029 Category Detail'!$AB$20),('2025-2029 Category Detail'!V21*'2025-2029 Category Detail'!$AB$21),('2025-2029 Category Detail'!V22*'2025-2029 Category Detail'!$AB$22))</f>
        <v>15950</v>
      </c>
      <c r="R8" s="139">
        <f>SUM(('2025-2029 Category Detail'!W17*'2025-2029 Category Detail'!$AB$17),('2025-2029 Category Detail'!W18*'2025-2029 Category Detail'!$AB$18),('2025-2029 Category Detail'!W19*'2025-2029 Category Detail'!$AB$19),('2025-2029 Category Detail'!W20*'2025-2029 Category Detail'!$AB$20),('2025-2029 Category Detail'!W21*'2025-2029 Category Detail'!$AB$21),('2025-2029 Category Detail'!W22*'2025-2029 Category Detail'!$AB$22))</f>
        <v>115500</v>
      </c>
      <c r="S8" s="139">
        <f>SUM(('2025-2029 Category Detail'!X17*'2025-2029 Category Detail'!$AB$17),('2025-2029 Category Detail'!X18*'2025-2029 Category Detail'!$AB$18),('2025-2029 Category Detail'!X19*'2025-2029 Category Detail'!$AB$19),('2025-2029 Category Detail'!X20*'2025-2029 Category Detail'!$AB$20),('2025-2029 Category Detail'!X21*'2025-2029 Category Detail'!$AB$21),('2025-2029 Category Detail'!X22*'2025-2029 Category Detail'!$AB$22))</f>
        <v>0</v>
      </c>
      <c r="T8" s="149">
        <f t="shared" ref="T8:T16" si="6">SUM(Q8:S8)</f>
        <v>131450</v>
      </c>
      <c r="U8" s="144">
        <f>SUM(('2025-2029 Category Detail'!Z17*'2025-2029 Category Detail'!$AB$17),('2025-2029 Category Detail'!Z18*'2025-2029 Category Detail'!$AB$18),('2025-2029 Category Detail'!Z19*'2025-2029 Category Detail'!$AB$19),('2025-2029 Category Detail'!Z20*'2025-2029 Category Detail'!$AB$20),('2025-2029 Category Detail'!Z21*'2025-2029 Category Detail'!$AB$21),('2025-2029 Category Detail'!Z22*'2025-2029 Category Detail'!$AB$22))</f>
        <v>2310</v>
      </c>
      <c r="V8" s="49">
        <f t="shared" si="3"/>
        <v>8.2074175824175824E-2</v>
      </c>
      <c r="X8" s="139">
        <f>SUM(('2025-2029 Category Detail'!AF17*'2025-2029 Category Detail'!$AL$17),('2025-2029 Category Detail'!AF18*'2025-2029 Category Detail'!$AL$18),('2025-2029 Category Detail'!AF19*'2025-2029 Category Detail'!$AL$19),('2025-2029 Category Detail'!AF20*'2025-2029 Category Detail'!$AL$20),('2025-2029 Category Detail'!AF21*'2025-2029 Category Detail'!$AL$21),('2025-2029 Category Detail'!AF22*'2025-2029 Category Detail'!$AL$22))</f>
        <v>0</v>
      </c>
      <c r="Y8" s="139">
        <f>SUM(('2025-2029 Category Detail'!AG17*'2025-2029 Category Detail'!$AL$17),('2025-2029 Category Detail'!AG18*'2025-2029 Category Detail'!$AL$18),('2025-2029 Category Detail'!AG19*'2025-2029 Category Detail'!$AL$19),('2025-2029 Category Detail'!AG20*'2025-2029 Category Detail'!$AL$20),('2025-2029 Category Detail'!AG21*'2025-2029 Category Detail'!$AL$21),('2025-2029 Category Detail'!AG22*'2025-2029 Category Detail'!$AL$22))</f>
        <v>0</v>
      </c>
      <c r="Z8" s="139">
        <f>SUM(('2025-2029 Category Detail'!AH17*'2025-2029 Category Detail'!$AL$17),('2025-2029 Category Detail'!AH18*'2025-2029 Category Detail'!$AL$18),('2025-2029 Category Detail'!AH19*'2025-2029 Category Detail'!$AL$19),('2025-2029 Category Detail'!AH20*'2025-2029 Category Detail'!$AL$20),('2025-2029 Category Detail'!AH21*'2025-2029 Category Detail'!$AL$21),('2025-2029 Category Detail'!AH22*'2025-2029 Category Detail'!$AL$22))</f>
        <v>0</v>
      </c>
      <c r="AA8" s="149">
        <f t="shared" ref="AA8:AA16" si="7">SUM(X8:Z8)</f>
        <v>0</v>
      </c>
      <c r="AB8" s="139">
        <f>SUM(('2025-2029 Category Detail'!AJ17*'2025-2029 Category Detail'!$AL$17),('2025-2029 Category Detail'!AJ18*'2025-2029 Category Detail'!$AL$18),('2025-2029 Category Detail'!AJ19*'2025-2029 Category Detail'!$AL$19),('2025-2029 Category Detail'!AJ20*'2025-2029 Category Detail'!$AL$20),('2025-2029 Category Detail'!AJ21*'2025-2029 Category Detail'!$AL$21),('2025-2029 Category Detail'!AJ22*'2025-2029 Category Detail'!$AL$22))</f>
        <v>0</v>
      </c>
      <c r="AC8" s="49">
        <f t="shared" ref="AC8:AC16" si="8">AA8/$AA$17</f>
        <v>0</v>
      </c>
      <c r="AE8" s="139">
        <f>SUM(('2025-2029 Category Detail'!AP17*'2025-2029 Category Detail'!$AV$17),('2025-2029 Category Detail'!AP18*'2025-2029 Category Detail'!$AV$18),('2025-2029 Category Detail'!AP19*'2025-2029 Category Detail'!$AV$19),('2025-2029 Category Detail'!AP20*'2025-2029 Category Detail'!$AV$20),('2025-2029 Category Detail'!AP21*'2025-2029 Category Detail'!$AV$21),('2025-2029 Category Detail'!AP22*'2025-2029 Category Detail'!$AV$22))</f>
        <v>44225</v>
      </c>
      <c r="AF8" s="139">
        <f>SUM(('2025-2029 Category Detail'!AQ17*'2025-2029 Category Detail'!$AV$17),('2025-2029 Category Detail'!AQ18*'2025-2029 Category Detail'!$AV$18),('2025-2029 Category Detail'!AQ19*'2025-2029 Category Detail'!$AV$19),('2025-2029 Category Detail'!AQ20*'2025-2029 Category Detail'!$AV$20),('2025-2029 Category Detail'!AQ21*'2025-2029 Category Detail'!$AV$21),('2025-2029 Category Detail'!AQ22*'2025-2029 Category Detail'!$AV$22))</f>
        <v>320450</v>
      </c>
      <c r="AG8" s="139">
        <f>SUM(('2025-2029 Category Detail'!AR17*'2025-2029 Category Detail'!$AV$17),('2025-2029 Category Detail'!AR18*'2025-2029 Category Detail'!$AV$18),('2025-2029 Category Detail'!AR19*'2025-2029 Category Detail'!$AV$19),('2025-2029 Category Detail'!AR20*'2025-2029 Category Detail'!$AV$20),('2025-2029 Category Detail'!AR21*'2025-2029 Category Detail'!$AV$21),('2025-2029 Category Detail'!AR22*'2025-2029 Category Detail'!$AV$22))</f>
        <v>0</v>
      </c>
      <c r="AH8" s="149">
        <f t="shared" ref="AH8:AH16" si="9">SUM(AE8:AG8)</f>
        <v>364675</v>
      </c>
      <c r="AI8" s="144">
        <f>SUM(('2025-2029 Category Detail'!AT17*'2025-2029 Category Detail'!$AV$17),('2025-2029 Category Detail'!AT18*'2025-2029 Category Detail'!$AV$18),('2025-2029 Category Detail'!AT19*'2025-2029 Category Detail'!$AV$19),('2025-2029 Category Detail'!AT20*'2025-2029 Category Detail'!$AV$20),('2025-2029 Category Detail'!AT21*'2025-2029 Category Detail'!$AV$21),('2025-2029 Category Detail'!AT22*'2025-2029 Category Detail'!$AV$22))</f>
        <v>6380</v>
      </c>
      <c r="AJ8" s="49">
        <f t="shared" si="4"/>
        <v>0.20955322511133459</v>
      </c>
    </row>
    <row r="9" spans="2:36" ht="31.5" customHeight="1" x14ac:dyDescent="0.25">
      <c r="B9" s="46" t="s">
        <v>247</v>
      </c>
      <c r="C9" s="139">
        <f>SUM(('2025-2029 Category Detail'!B24*'2025-2029 Category Detail'!$H$24),('2025-2029 Category Detail'!B25*'2025-2029 Category Detail'!$H$25),('2025-2029 Category Detail'!B26*'2025-2029 Category Detail'!$H$26))</f>
        <v>22500</v>
      </c>
      <c r="D9" s="139">
        <f>SUM(('2025-2029 Category Detail'!C24*'2025-2029 Category Detail'!$H$24),('2025-2029 Category Detail'!C25*'2025-2029 Category Detail'!$H$25),('2025-2029 Category Detail'!C26*'2025-2029 Category Detail'!$H$26))</f>
        <v>142125</v>
      </c>
      <c r="E9" s="139">
        <f>SUM(('2025-2029 Category Detail'!D24*'2025-2029 Category Detail'!$H$24),('2025-2029 Category Detail'!D25*'2025-2029 Category Detail'!$H$25),('2025-2029 Category Detail'!D26*'2025-2029 Category Detail'!$H$26))</f>
        <v>0</v>
      </c>
      <c r="F9" s="149">
        <f t="shared" si="0"/>
        <v>164625</v>
      </c>
      <c r="G9" s="144">
        <f>SUM(('2025-2029 Category Detail'!F24*'2025-2029 Category Detail'!$H$24),('2025-2029 Category Detail'!F25*'2025-2029 Category Detail'!$H$25),('2025-2029 Category Detail'!F26*'2025-2029 Category Detail'!$H$26))</f>
        <v>750</v>
      </c>
      <c r="H9" s="49">
        <f t="shared" si="1"/>
        <v>0.11150244678869567</v>
      </c>
      <c r="I9" s="27"/>
      <c r="J9" s="139">
        <f>SUM(('2025-2029 Category Detail'!L24*'2025-2029 Category Detail'!$R$24),('2025-2029 Category Detail'!L25*'2025-2029 Category Detail'!$R$25),('2025-2029 Category Detail'!L26*'2025-2029 Category Detail'!$R$26))</f>
        <v>0</v>
      </c>
      <c r="K9" s="139">
        <f>SUM(('2025-2029 Category Detail'!M24*'2025-2029 Category Detail'!$R$24),('2025-2029 Category Detail'!M25*'2025-2029 Category Detail'!$R$25),('2025-2029 Category Detail'!M26*'2025-2029 Category Detail'!$R$26))</f>
        <v>143325</v>
      </c>
      <c r="L9" s="139">
        <f>SUM(('2025-2029 Category Detail'!N24*'2025-2029 Category Detail'!$R$24),('2025-2029 Category Detail'!N25*'2025-2029 Category Detail'!$R$25),('2025-2029 Category Detail'!N26*'2025-2029 Category Detail'!$R$26))</f>
        <v>0</v>
      </c>
      <c r="M9" s="149">
        <f t="shared" si="5"/>
        <v>143325</v>
      </c>
      <c r="N9" s="144">
        <f>SUM(('2025-2029 Category Detail'!P24*'2025-2029 Category Detail'!$R$24),('2025-2029 Category Detail'!P25*'2025-2029 Category Detail'!$R$25),('2025-2029 Category Detail'!P26*'2025-2029 Category Detail'!$R$26))</f>
        <v>375</v>
      </c>
      <c r="O9" s="49">
        <f t="shared" si="2"/>
        <v>9.0646765382517328E-2</v>
      </c>
      <c r="P9" s="10"/>
      <c r="Q9" s="139">
        <f>SUM(('2025-2029 Category Detail'!V24*'2025-2029 Category Detail'!$AB$24),('2025-2029 Category Detail'!V25*'2025-2029 Category Detail'!$AB$25),('2025-2029 Category Detail'!V26*'2025-2029 Category Detail'!$AB$26))</f>
        <v>11250</v>
      </c>
      <c r="R9" s="139">
        <f>SUM(('2025-2029 Category Detail'!W24*'2025-2029 Category Detail'!$AB$24),('2025-2029 Category Detail'!W25*'2025-2029 Category Detail'!$AB$25),('2025-2029 Category Detail'!W26*'2025-2029 Category Detail'!$AB$26))</f>
        <v>152850</v>
      </c>
      <c r="S9" s="139">
        <f>SUM(('2025-2029 Category Detail'!X24*'2025-2029 Category Detail'!$AB$24),('2025-2029 Category Detail'!X25*'2025-2029 Category Detail'!$AB$25),('2025-2029 Category Detail'!X26*'2025-2029 Category Detail'!$AB$26))</f>
        <v>0</v>
      </c>
      <c r="T9" s="149">
        <f t="shared" si="6"/>
        <v>164100</v>
      </c>
      <c r="U9" s="144">
        <f>SUM(('2025-2029 Category Detail'!Z24*'2025-2029 Category Detail'!$AB$24),('2025-2029 Category Detail'!Z25*'2025-2029 Category Detail'!$AB$25),('2025-2029 Category Detail'!Z26*'2025-2029 Category Detail'!$AB$26))</f>
        <v>0</v>
      </c>
      <c r="V9" s="49">
        <f t="shared" si="3"/>
        <v>0.10246003996003997</v>
      </c>
      <c r="X9" s="139">
        <f>SUM(('2025-2029 Category Detail'!AF24*'2025-2029 Category Detail'!$AL$24),('2025-2029 Category Detail'!AF25*'2025-2029 Category Detail'!$AL$25),('2025-2029 Category Detail'!AF26*'2025-2029 Category Detail'!$AL$26))</f>
        <v>0</v>
      </c>
      <c r="Y9" s="139">
        <f>SUM(('2025-2029 Category Detail'!AG24*'2025-2029 Category Detail'!$AL$24),('2025-2029 Category Detail'!AG25*'2025-2029 Category Detail'!$AL$25),('2025-2029 Category Detail'!AG26*'2025-2029 Category Detail'!$AL$26))</f>
        <v>148950</v>
      </c>
      <c r="Z9" s="139">
        <f>SUM(('2025-2029 Category Detail'!AH24*'2025-2029 Category Detail'!$AL$24),('2025-2029 Category Detail'!AH25*'2025-2029 Category Detail'!$AL$25),('2025-2029 Category Detail'!AH26*'2025-2029 Category Detail'!$AL$26))</f>
        <v>0</v>
      </c>
      <c r="AA9" s="149">
        <f t="shared" si="7"/>
        <v>148950</v>
      </c>
      <c r="AB9" s="139">
        <f>SUM(('2025-2029 Category Detail'!AJ24*'2025-2029 Category Detail'!$AL$24),('2025-2029 Category Detail'!AJ25*'2025-2029 Category Detail'!$AL$25),('2025-2029 Category Detail'!AJ26*'2025-2029 Category Detail'!$AL$26))</f>
        <v>0</v>
      </c>
      <c r="AC9" s="49">
        <f t="shared" si="8"/>
        <v>9.162207049271083E-2</v>
      </c>
      <c r="AE9" s="139">
        <f>SUM(('2025-2029 Category Detail'!AP24*'2025-2029 Category Detail'!$AV$24),('2025-2029 Category Detail'!AP25*'2025-2029 Category Detail'!$AV$25),('2025-2029 Category Detail'!AP26*'2025-2029 Category Detail'!$AV$26))</f>
        <v>0</v>
      </c>
      <c r="AF9" s="139">
        <f>SUM(('2025-2029 Category Detail'!AQ24*'2025-2029 Category Detail'!$AV$24),('2025-2029 Category Detail'!AQ25*'2025-2029 Category Detail'!$AV$25),('2025-2029 Category Detail'!AQ26*'2025-2029 Category Detail'!$AV$26))</f>
        <v>159150</v>
      </c>
      <c r="AG9" s="139">
        <f>SUM(('2025-2029 Category Detail'!AR24*'2025-2029 Category Detail'!$AV$24),('2025-2029 Category Detail'!AR25*'2025-2029 Category Detail'!$AV$25),('2025-2029 Category Detail'!AR26*'2025-2029 Category Detail'!$AV$26))</f>
        <v>0</v>
      </c>
      <c r="AH9" s="149">
        <f t="shared" si="9"/>
        <v>159150</v>
      </c>
      <c r="AI9" s="144">
        <f>SUM(('2025-2029 Category Detail'!AT24*'2025-2029 Category Detail'!$AV$24),('2025-2029 Category Detail'!AT25*'2025-2029 Category Detail'!$AV$25),('2025-2029 Category Detail'!AT26*'2025-2029 Category Detail'!$AV$26))</f>
        <v>375</v>
      </c>
      <c r="AJ9" s="49">
        <f t="shared" si="4"/>
        <v>9.1452377531963794E-2</v>
      </c>
    </row>
    <row r="10" spans="2:36" ht="31.5" customHeight="1" x14ac:dyDescent="0.25">
      <c r="B10" s="28" t="s">
        <v>248</v>
      </c>
      <c r="C10" s="140">
        <f>SUM(('2025-2029 Category Detail'!B28*'2025-2029 Category Detail'!$H$28),('2025-2029 Category Detail'!B29*'2025-2029 Category Detail'!$H$29),('2025-2029 Category Detail'!B30*'2025-2029 Category Detail'!$H$30))</f>
        <v>45000</v>
      </c>
      <c r="D10" s="140">
        <f>SUM(('2025-2029 Category Detail'!C28*'2025-2029 Category Detail'!$H$28),('2025-2029 Category Detail'!C29*'2025-2029 Category Detail'!$H$29),('2025-2029 Category Detail'!C30*'2025-2029 Category Detail'!$H$30))</f>
        <v>33750</v>
      </c>
      <c r="E10" s="140">
        <f>SUM(('2025-2029 Category Detail'!D28*'2025-2029 Category Detail'!$H$28),('2025-2029 Category Detail'!D29*'2025-2029 Category Detail'!$H$29),('2025-2029 Category Detail'!D30*'2025-2029 Category Detail'!$H$30))</f>
        <v>0</v>
      </c>
      <c r="F10" s="150">
        <f t="shared" si="0"/>
        <v>78750</v>
      </c>
      <c r="G10" s="145">
        <f>SUM(('2025-2029 Category Detail'!F28*'2025-2029 Category Detail'!$H$28),('2025-2029 Category Detail'!F29*'2025-2029 Category Detail'!$H$29),('2025-2029 Category Detail'!F30*'2025-2029 Category Detail'!$H$30))</f>
        <v>9000</v>
      </c>
      <c r="H10" s="32">
        <f t="shared" si="1"/>
        <v>5.3338300286164216E-2</v>
      </c>
      <c r="I10" s="26"/>
      <c r="J10" s="140">
        <f>SUM(('2025-2029 Category Detail'!L28*'2025-2029 Category Detail'!$R$28),('2025-2029 Category Detail'!L29*'2025-2029 Category Detail'!$R$29),('2025-2029 Category Detail'!L30*'2025-2029 Category Detail'!$R$30))</f>
        <v>22500</v>
      </c>
      <c r="K10" s="140">
        <f>SUM(('2025-2029 Category Detail'!M28*'2025-2029 Category Detail'!$R$28),('2025-2029 Category Detail'!M29*'2025-2029 Category Detail'!$R$29),('2025-2029 Category Detail'!M30*'2025-2029 Category Detail'!$R$30))</f>
        <v>22500</v>
      </c>
      <c r="L10" s="140">
        <f>SUM(('2025-2029 Category Detail'!N28*'2025-2029 Category Detail'!$R$28),('2025-2029 Category Detail'!N29*'2025-2029 Category Detail'!$R$29),('2025-2029 Category Detail'!N30*'2025-2029 Category Detail'!$R$30))</f>
        <v>0</v>
      </c>
      <c r="M10" s="150">
        <f t="shared" si="5"/>
        <v>45000</v>
      </c>
      <c r="N10" s="145">
        <f>SUM(('2025-2029 Category Detail'!P28*'2025-2029 Category Detail'!$R$28),('2025-2029 Category Detail'!P29*'2025-2029 Category Detail'!$R$29),('2025-2029 Category Detail'!P30*'2025-2029 Category Detail'!$R$30))</f>
        <v>9000</v>
      </c>
      <c r="O10" s="32">
        <f t="shared" si="2"/>
        <v>2.8460522883050968E-2</v>
      </c>
      <c r="P10" s="10"/>
      <c r="Q10" s="140">
        <f>SUM(('2025-2029 Category Detail'!V28*'2025-2029 Category Detail'!$AB$28),('2025-2029 Category Detail'!V29*'2025-2029 Category Detail'!$AB$29),('2025-2029 Category Detail'!V30*'2025-2029 Category Detail'!$AB$30))</f>
        <v>22500</v>
      </c>
      <c r="R10" s="140">
        <f>SUM(('2025-2029 Category Detail'!W28*'2025-2029 Category Detail'!$AB$28),('2025-2029 Category Detail'!W29*'2025-2029 Category Detail'!$AB$29),('2025-2029 Category Detail'!W30*'2025-2029 Category Detail'!$AB$30))</f>
        <v>52500</v>
      </c>
      <c r="S10" s="140">
        <f>SUM(('2025-2029 Category Detail'!X28*'2025-2029 Category Detail'!$AB$28),('2025-2029 Category Detail'!X29*'2025-2029 Category Detail'!$AB$29),('2025-2029 Category Detail'!X30*'2025-2029 Category Detail'!$AB$30))</f>
        <v>0</v>
      </c>
      <c r="T10" s="150">
        <f t="shared" si="6"/>
        <v>75000</v>
      </c>
      <c r="U10" s="145">
        <f>SUM(('2025-2029 Category Detail'!Z28*'2025-2029 Category Detail'!$AB$28),('2025-2029 Category Detail'!Z29*'2025-2029 Category Detail'!$AB$29),('2025-2029 Category Detail'!Z30*'2025-2029 Category Detail'!$AB$30))</f>
        <v>3000</v>
      </c>
      <c r="V10" s="32">
        <f t="shared" si="3"/>
        <v>4.6828171828171831E-2</v>
      </c>
      <c r="X10" s="140">
        <f>SUM(('2025-2029 Category Detail'!AF28*'2025-2029 Category Detail'!$AL$28),('2025-2029 Category Detail'!AF29*'2025-2029 Category Detail'!$AL$29),('2025-2029 Category Detail'!AF30*'2025-2029 Category Detail'!$AL$30))</f>
        <v>105000</v>
      </c>
      <c r="Y10" s="140">
        <f>SUM(('2025-2029 Category Detail'!AG28*'2025-2029 Category Detail'!$AL$28),('2025-2029 Category Detail'!AG29*'2025-2029 Category Detail'!$AL$29),('2025-2029 Category Detail'!AG30*'2025-2029 Category Detail'!$AL$30))</f>
        <v>33750</v>
      </c>
      <c r="Z10" s="140">
        <f>SUM(('2025-2029 Category Detail'!AH28*'2025-2029 Category Detail'!$AL$28),('2025-2029 Category Detail'!AH29*'2025-2029 Category Detail'!$AL$29),('2025-2029 Category Detail'!AH30*'2025-2029 Category Detail'!$AL$30))</f>
        <v>0</v>
      </c>
      <c r="AA10" s="150">
        <f t="shared" si="7"/>
        <v>138750</v>
      </c>
      <c r="AB10" s="140">
        <f>SUM(('2025-2029 Category Detail'!AJ28*'2025-2029 Category Detail'!$AL$28),('2025-2029 Category Detail'!AJ29*'2025-2029 Category Detail'!$AL$29),('2025-2029 Category Detail'!AJ30*'2025-2029 Category Detail'!$AL$30))</f>
        <v>1125</v>
      </c>
      <c r="AC10" s="32">
        <f t="shared" si="8"/>
        <v>8.5347850156855504E-2</v>
      </c>
      <c r="AE10" s="140">
        <f>SUM(('2025-2029 Category Detail'!AP28*'2025-2029 Category Detail'!$AV$28),('2025-2029 Category Detail'!AP29*'2025-2029 Category Detail'!$AV$29),('2025-2029 Category Detail'!AP30*'2025-2029 Category Detail'!$AV$30))</f>
        <v>22500</v>
      </c>
      <c r="AF10" s="140">
        <f>SUM(('2025-2029 Category Detail'!AQ28*'2025-2029 Category Detail'!$AV$28),('2025-2029 Category Detail'!AQ29*'2025-2029 Category Detail'!$AV$29),('2025-2029 Category Detail'!AQ30*'2025-2029 Category Detail'!$AV$30))</f>
        <v>18750</v>
      </c>
      <c r="AG10" s="140">
        <f>SUM(('2025-2029 Category Detail'!AR28*'2025-2029 Category Detail'!$AV$28),('2025-2029 Category Detail'!AR29*'2025-2029 Category Detail'!$AV$29),('2025-2029 Category Detail'!AR30*'2025-2029 Category Detail'!$AV$30))</f>
        <v>0</v>
      </c>
      <c r="AH10" s="150">
        <f t="shared" si="9"/>
        <v>41250</v>
      </c>
      <c r="AI10" s="145">
        <f>SUM(('2025-2029 Category Detail'!AT28*'2025-2029 Category Detail'!$AV$28),('2025-2029 Category Detail'!AT29*'2025-2029 Category Detail'!$AV$29),('2025-2029 Category Detail'!AT30*'2025-2029 Category Detail'!$AV$30))</f>
        <v>4125</v>
      </c>
      <c r="AJ10" s="39">
        <f t="shared" si="4"/>
        <v>2.3703490877747452E-2</v>
      </c>
    </row>
    <row r="11" spans="2:36" ht="31.5" customHeight="1" x14ac:dyDescent="0.25">
      <c r="B11" s="28" t="s">
        <v>250</v>
      </c>
      <c r="C11" s="140">
        <f>SUM(('2025-2029 Category Detail'!B32*'2025-2029 Category Detail'!$H$32),('2025-2029 Category Detail'!B33*'2025-2029 Category Detail'!$H$33),('2025-2029 Category Detail'!B34*'2025-2029 Category Detail'!$H$34),('2025-2029 Category Detail'!B35*'2025-2029 Category Detail'!$H$35),('2025-2029 Category Detail'!B36*'2025-2029 Category Detail'!$H$36))</f>
        <v>37500</v>
      </c>
      <c r="D11" s="140">
        <f>SUM(('2025-2029 Category Detail'!C32*'2025-2029 Category Detail'!$H$32),('2025-2029 Category Detail'!C33*'2025-2029 Category Detail'!$H$33),('2025-2029 Category Detail'!C34*'2025-2029 Category Detail'!$H$34),('2025-2029 Category Detail'!C35*'2025-2029 Category Detail'!$H$35),('2025-2029 Category Detail'!C36*'2025-2029 Category Detail'!$H$36))</f>
        <v>119450</v>
      </c>
      <c r="E11" s="140">
        <f>SUM(('2025-2029 Category Detail'!D32*'2025-2029 Category Detail'!$H$32),('2025-2029 Category Detail'!D33*'2025-2029 Category Detail'!$H$33),('2025-2029 Category Detail'!D34*'2025-2029 Category Detail'!$H$34),('2025-2029 Category Detail'!D35*'2025-2029 Category Detail'!$H$35),('2025-2029 Category Detail'!D36*'2025-2029 Category Detail'!$H$36))</f>
        <v>0</v>
      </c>
      <c r="F11" s="150">
        <f t="shared" si="0"/>
        <v>156950</v>
      </c>
      <c r="G11" s="145">
        <f>SUM(('2025-2029 Category Detail'!F32*'2025-2029 Category Detail'!$H$32),('2025-2029 Category Detail'!F33*'2025-2029 Category Detail'!$H$33),('2025-2029 Category Detail'!F34*'2025-2029 Category Detail'!$H$34),('2025-2029 Category Detail'!F35*'2025-2029 Category Detail'!$H$35),('2025-2029 Category Detail'!F36*'2025-2029 Category Detail'!$H$36))</f>
        <v>16500</v>
      </c>
      <c r="H11" s="32">
        <f t="shared" si="1"/>
        <v>0.10630407911001236</v>
      </c>
      <c r="I11" s="27"/>
      <c r="J11" s="140">
        <f>SUM(('2025-2029 Category Detail'!L32*'2025-2029 Category Detail'!$R$32),('2025-2029 Category Detail'!L33*'2025-2029 Category Detail'!$R$33),('2025-2029 Category Detail'!L34*'2025-2029 Category Detail'!$R$34),('2025-2029 Category Detail'!L35*'2025-2029 Category Detail'!$R$35),('2025-2029 Category Detail'!L36*'2025-2029 Category Detail'!$R$36))</f>
        <v>32775</v>
      </c>
      <c r="K11" s="140">
        <f>SUM(('2025-2029 Category Detail'!M32*'2025-2029 Category Detail'!$R$32),('2025-2029 Category Detail'!M33*'2025-2029 Category Detail'!$R$33),('2025-2029 Category Detail'!M34*'2025-2029 Category Detail'!$R$34),('2025-2029 Category Detail'!M35*'2025-2029 Category Detail'!$R$35),('2025-2029 Category Detail'!M36*'2025-2029 Category Detail'!$R$36))</f>
        <v>118825</v>
      </c>
      <c r="L11" s="140">
        <f>SUM(('2025-2029 Category Detail'!N32*'2025-2029 Category Detail'!$R$32),('2025-2029 Category Detail'!N33*'2025-2029 Category Detail'!$R$33),('2025-2029 Category Detail'!N34*'2025-2029 Category Detail'!$R$34),('2025-2029 Category Detail'!N35*'2025-2029 Category Detail'!$R$35),('2025-2029 Category Detail'!N36*'2025-2029 Category Detail'!$R$36))</f>
        <v>0</v>
      </c>
      <c r="M11" s="150">
        <f t="shared" si="5"/>
        <v>151600</v>
      </c>
      <c r="N11" s="145">
        <f>SUM(('2025-2029 Category Detail'!P32*'2025-2029 Category Detail'!$R$32),('2025-2029 Category Detail'!P33*'2025-2029 Category Detail'!$R$33),('2025-2029 Category Detail'!P34*'2025-2029 Category Detail'!$R$34),('2025-2029 Category Detail'!P35*'2025-2029 Category Detail'!$R$35),('2025-2029 Category Detail'!P36*'2025-2029 Category Detail'!$R$36))</f>
        <v>18750</v>
      </c>
      <c r="O11" s="32">
        <f t="shared" si="2"/>
        <v>9.5880339312678378E-2</v>
      </c>
      <c r="P11" s="10"/>
      <c r="Q11" s="140">
        <f>SUM(('2025-2029 Category Detail'!V32*'2025-2029 Category Detail'!$AB$32),('2025-2029 Category Detail'!V33*'2025-2029 Category Detail'!$AB$33),('2025-2029 Category Detail'!V34*'2025-2029 Category Detail'!$AB$34),('2025-2029 Category Detail'!V35*'2025-2029 Category Detail'!$AB$35),('2025-2029 Category Detail'!V36*'2025-2029 Category Detail'!$AB$36))</f>
        <v>112500</v>
      </c>
      <c r="R11" s="140">
        <f>SUM(('2025-2029 Category Detail'!W32*'2025-2029 Category Detail'!$AB$32),('2025-2029 Category Detail'!W33*'2025-2029 Category Detail'!$AB$33),('2025-2029 Category Detail'!W34*'2025-2029 Category Detail'!$AB$34),('2025-2029 Category Detail'!W35*'2025-2029 Category Detail'!$AB$35),('2025-2029 Category Detail'!W36*'2025-2029 Category Detail'!$AB$36))</f>
        <v>98250</v>
      </c>
      <c r="S11" s="140">
        <f>SUM(('2025-2029 Category Detail'!X32*'2025-2029 Category Detail'!$AB$32),('2025-2029 Category Detail'!X33*'2025-2029 Category Detail'!$AB$33),('2025-2029 Category Detail'!X34*'2025-2029 Category Detail'!$AB$34),('2025-2029 Category Detail'!X35*'2025-2029 Category Detail'!$AB$35),('2025-2029 Category Detail'!X36*'2025-2029 Category Detail'!$AB$36))</f>
        <v>0</v>
      </c>
      <c r="T11" s="150">
        <f t="shared" si="6"/>
        <v>210750</v>
      </c>
      <c r="U11" s="145">
        <f>SUM(('2025-2029 Category Detail'!Z32*'2025-2029 Category Detail'!$AB$32),('2025-2029 Category Detail'!Z33*'2025-2029 Category Detail'!$AB$33),('2025-2029 Category Detail'!Z34*'2025-2029 Category Detail'!$AB$34),('2025-2029 Category Detail'!Z35*'2025-2029 Category Detail'!$AB$35),('2025-2029 Category Detail'!Z36*'2025-2029 Category Detail'!$AB$36))</f>
        <v>30930</v>
      </c>
      <c r="V11" s="32">
        <f t="shared" si="3"/>
        <v>0.13158716283716285</v>
      </c>
      <c r="X11" s="140">
        <f>SUM(('2025-2029 Category Detail'!AF32*'2025-2029 Category Detail'!$AL$32),('2025-2029 Category Detail'!AF33*'2025-2029 Category Detail'!$AL$33),('2025-2029 Category Detail'!AF34*'2025-2029 Category Detail'!$AL$34),('2025-2029 Category Detail'!AF35*'2025-2029 Category Detail'!$AL$35),('2025-2029 Category Detail'!AF36*'2025-2029 Category Detail'!$AL$36))</f>
        <v>150000</v>
      </c>
      <c r="Y11" s="140">
        <f>SUM(('2025-2029 Category Detail'!AG32*'2025-2029 Category Detail'!$AL$32),('2025-2029 Category Detail'!AG33*'2025-2029 Category Detail'!$AL$33),('2025-2029 Category Detail'!AG34*'2025-2029 Category Detail'!$AL$34),('2025-2029 Category Detail'!AG35*'2025-2029 Category Detail'!$AL$35),('2025-2029 Category Detail'!AG36*'2025-2029 Category Detail'!$AL$36))</f>
        <v>134600</v>
      </c>
      <c r="Z11" s="140">
        <f>SUM(('2025-2029 Category Detail'!AH32*'2025-2029 Category Detail'!$AL$32),('2025-2029 Category Detail'!AH33*'2025-2029 Category Detail'!$AL$33),('2025-2029 Category Detail'!AH34*'2025-2029 Category Detail'!$AL$34),('2025-2029 Category Detail'!AH35*'2025-2029 Category Detail'!$AL$35),('2025-2029 Category Detail'!AH36*'2025-2029 Category Detail'!$AL$36))</f>
        <v>0</v>
      </c>
      <c r="AA11" s="150">
        <f t="shared" si="7"/>
        <v>284600</v>
      </c>
      <c r="AB11" s="140">
        <f>SUM(('2025-2029 Category Detail'!AJ32*'2025-2029 Category Detail'!$AL$32),('2025-2029 Category Detail'!AJ33*'2025-2029 Category Detail'!$AL$33),('2025-2029 Category Detail'!AJ34*'2025-2029 Category Detail'!$AL$34),('2025-2029 Category Detail'!AJ35*'2025-2029 Category Detail'!$AL$35),('2025-2029 Category Detail'!AJ36*'2025-2029 Category Detail'!$AL$36))</f>
        <v>35250</v>
      </c>
      <c r="AC11" s="32">
        <f t="shared" si="8"/>
        <v>0.17506304976317894</v>
      </c>
      <c r="AE11" s="140">
        <f>SUM(('2025-2029 Category Detail'!AP32*'2025-2029 Category Detail'!$AV$32),('2025-2029 Category Detail'!AP33*'2025-2029 Category Detail'!$AV$33),('2025-2029 Category Detail'!AP34*'2025-2029 Category Detail'!$AV$34),('2025-2029 Category Detail'!AP35*'2025-2029 Category Detail'!$AV$35),('2025-2029 Category Detail'!AP36*'2025-2029 Category Detail'!$AV$36))</f>
        <v>137500</v>
      </c>
      <c r="AF11" s="140">
        <f>SUM(('2025-2029 Category Detail'!AQ32*'2025-2029 Category Detail'!$AV$32),('2025-2029 Category Detail'!AQ33*'2025-2029 Category Detail'!$AV$33),('2025-2029 Category Detail'!AQ34*'2025-2029 Category Detail'!$AV$34),('2025-2029 Category Detail'!AQ35*'2025-2029 Category Detail'!$AV$35),('2025-2029 Category Detail'!AQ36*'2025-2029 Category Detail'!$AV$36))</f>
        <v>132275</v>
      </c>
      <c r="AG11" s="140">
        <f>SUM(('2025-2029 Category Detail'!AR32*'2025-2029 Category Detail'!$AV$32),('2025-2029 Category Detail'!AR33*'2025-2029 Category Detail'!$AV$33),('2025-2029 Category Detail'!AR34*'2025-2029 Category Detail'!$AV$34),('2025-2029 Category Detail'!AR35*'2025-2029 Category Detail'!$AV$35),('2025-2029 Category Detail'!AR36*'2025-2029 Category Detail'!$AV$36))</f>
        <v>0</v>
      </c>
      <c r="AH11" s="150">
        <f t="shared" si="9"/>
        <v>269775</v>
      </c>
      <c r="AI11" s="145">
        <f>SUM(('2025-2029 Category Detail'!AT32*'2025-2029 Category Detail'!$AV$32),('2025-2029 Category Detail'!AT33*'2025-2029 Category Detail'!$AV$33),('2025-2029 Category Detail'!AT34*'2025-2029 Category Detail'!$AV$34),('2025-2029 Category Detail'!AT35*'2025-2029 Category Detail'!$AV$35),('2025-2029 Category Detail'!AT36*'2025-2029 Category Detail'!$AV$36))</f>
        <v>24000</v>
      </c>
      <c r="AJ11" s="39">
        <f t="shared" si="4"/>
        <v>0.15502083034046832</v>
      </c>
    </row>
    <row r="12" spans="2:36" ht="31.5" customHeight="1" x14ac:dyDescent="0.25">
      <c r="B12" s="34" t="s">
        <v>251</v>
      </c>
      <c r="C12" s="141">
        <f>SUM(('2025-2029 Category Detail'!B38*'2025-2029 Category Detail'!$H$38),('2025-2029 Category Detail'!B39*'2025-2029 Category Detail'!$H$39),('2025-2029 Category Detail'!B40*'2025-2029 Category Detail'!$H$40))</f>
        <v>0</v>
      </c>
      <c r="D12" s="141">
        <f>SUM(('2025-2029 Category Detail'!C38*'2025-2029 Category Detail'!$H$38),('2025-2029 Category Detail'!C39*'2025-2029 Category Detail'!$H$39),('2025-2029 Category Detail'!C40*'2025-2029 Category Detail'!$H$40))</f>
        <v>0</v>
      </c>
      <c r="E12" s="141">
        <f>SUM(('2025-2029 Category Detail'!D38*'2025-2029 Category Detail'!$H$38),('2025-2029 Category Detail'!D39*'2025-2029 Category Detail'!$H$39),('2025-2029 Category Detail'!D40*'2025-2029 Category Detail'!$H$40))</f>
        <v>0</v>
      </c>
      <c r="F12" s="151">
        <f t="shared" si="0"/>
        <v>0</v>
      </c>
      <c r="G12" s="146">
        <f>SUM(('2025-2029 Category Detail'!F38*'2025-2029 Category Detail'!$H$38),('2025-2029 Category Detail'!F39*'2025-2029 Category Detail'!$H$39),('2025-2029 Category Detail'!F40*'2025-2029 Category Detail'!$H$40))</f>
        <v>0</v>
      </c>
      <c r="H12" s="38">
        <f t="shared" si="1"/>
        <v>0</v>
      </c>
      <c r="I12" s="27"/>
      <c r="J12" s="141">
        <f>SUM(('2025-2029 Category Detail'!L38*'2025-2029 Category Detail'!$R$38),('2025-2029 Category Detail'!L39*'2025-2029 Category Detail'!$R$39),('2025-2029 Category Detail'!L40*'2025-2029 Category Detail'!$R$40))</f>
        <v>0</v>
      </c>
      <c r="K12" s="141">
        <f>SUM(('2025-2029 Category Detail'!M38*'2025-2029 Category Detail'!$R$38),('2025-2029 Category Detail'!M39*'2025-2029 Category Detail'!$R$39),('2025-2029 Category Detail'!M40*'2025-2029 Category Detail'!$R$40))</f>
        <v>0</v>
      </c>
      <c r="L12" s="141">
        <f>SUM(('2025-2029 Category Detail'!N38*'2025-2029 Category Detail'!$R$38),('2025-2029 Category Detail'!N39*'2025-2029 Category Detail'!$R$39),('2025-2029 Category Detail'!N40*'2025-2029 Category Detail'!$R$40))</f>
        <v>0</v>
      </c>
      <c r="M12" s="151">
        <f t="shared" si="5"/>
        <v>0</v>
      </c>
      <c r="N12" s="146">
        <f>SUM(('2025-2029 Category Detail'!P38*'2025-2029 Category Detail'!$R$38),('2025-2029 Category Detail'!P39*'2025-2029 Category Detail'!$R$39),('2025-2029 Category Detail'!P40*'2025-2029 Category Detail'!$R$40))</f>
        <v>0</v>
      </c>
      <c r="O12" s="38">
        <f t="shared" si="2"/>
        <v>0</v>
      </c>
      <c r="P12" s="10"/>
      <c r="Q12" s="141">
        <f>SUM(('2025-2029 Category Detail'!V38*'2025-2029 Category Detail'!$AB$38),('2025-2029 Category Detail'!V39*'2025-2029 Category Detail'!$AB$39),('2025-2029 Category Detail'!V40*'2025-2029 Category Detail'!$AB$40))</f>
        <v>0</v>
      </c>
      <c r="R12" s="141">
        <f>SUM(('2025-2029 Category Detail'!W38*'2025-2029 Category Detail'!$AB$38),('2025-2029 Category Detail'!W39*'2025-2029 Category Detail'!$AB$39),('2025-2029 Category Detail'!W40*'2025-2029 Category Detail'!$AB$40))</f>
        <v>0</v>
      </c>
      <c r="S12" s="141">
        <f>SUM(('2025-2029 Category Detail'!X38*'2025-2029 Category Detail'!$AB$38),('2025-2029 Category Detail'!X39*'2025-2029 Category Detail'!$AB$39),('2025-2029 Category Detail'!X40*'2025-2029 Category Detail'!$AB$40))</f>
        <v>0</v>
      </c>
      <c r="T12" s="151">
        <f t="shared" si="6"/>
        <v>0</v>
      </c>
      <c r="U12" s="146">
        <f>SUM(('2025-2029 Category Detail'!Z38*'2025-2029 Category Detail'!$AB$38),('2025-2029 Category Detail'!Z39*'2025-2029 Category Detail'!$AB$39),('2025-2029 Category Detail'!Z40*'2025-2029 Category Detail'!$AB$40))</f>
        <v>0</v>
      </c>
      <c r="V12" s="38">
        <f t="shared" si="3"/>
        <v>0</v>
      </c>
      <c r="X12" s="141">
        <f>SUM(('2025-2029 Category Detail'!AF38*'2025-2029 Category Detail'!$AL$38),('2025-2029 Category Detail'!AF39*'2025-2029 Category Detail'!$AL$39),('2025-2029 Category Detail'!AF40*'2025-2029 Category Detail'!$AL$40))</f>
        <v>0</v>
      </c>
      <c r="Y12" s="141">
        <f>SUM(('2025-2029 Category Detail'!AG38*'2025-2029 Category Detail'!$AL$38),('2025-2029 Category Detail'!AG39*'2025-2029 Category Detail'!$AL$39),('2025-2029 Category Detail'!AG40*'2025-2029 Category Detail'!$AL$40))</f>
        <v>0</v>
      </c>
      <c r="Z12" s="141">
        <f>SUM(('2025-2029 Category Detail'!AH38*'2025-2029 Category Detail'!$AL$38),('2025-2029 Category Detail'!AH39*'2025-2029 Category Detail'!$AL$39),('2025-2029 Category Detail'!AH40*'2025-2029 Category Detail'!$AL$40))</f>
        <v>0</v>
      </c>
      <c r="AA12" s="151">
        <f t="shared" si="7"/>
        <v>0</v>
      </c>
      <c r="AB12" s="141">
        <f>SUM(('2025-2029 Category Detail'!AJ38*'2025-2029 Category Detail'!$AL$38),('2025-2029 Category Detail'!AJ39*'2025-2029 Category Detail'!$AL$39),('2025-2029 Category Detail'!AJ40*'2025-2029 Category Detail'!$AL$40))</f>
        <v>0</v>
      </c>
      <c r="AC12" s="38">
        <f t="shared" si="8"/>
        <v>0</v>
      </c>
      <c r="AE12" s="141">
        <f>SUM(('2025-2029 Category Detail'!AP38*'2025-2029 Category Detail'!$AV$38),('2025-2029 Category Detail'!AP39*'2025-2029 Category Detail'!$AV$39),('2025-2029 Category Detail'!AP40*'2025-2029 Category Detail'!$AV$40))</f>
        <v>0</v>
      </c>
      <c r="AF12" s="141">
        <f>SUM(('2025-2029 Category Detail'!AQ38*'2025-2029 Category Detail'!$AV$38),('2025-2029 Category Detail'!AQ39*'2025-2029 Category Detail'!$AV$39),('2025-2029 Category Detail'!AQ40*'2025-2029 Category Detail'!$AV$40))</f>
        <v>0</v>
      </c>
      <c r="AG12" s="141">
        <f>SUM(('2025-2029 Category Detail'!AR38*'2025-2029 Category Detail'!$AV$38),('2025-2029 Category Detail'!AR39*'2025-2029 Category Detail'!$AV$39),('2025-2029 Category Detail'!AR40*'2025-2029 Category Detail'!$AV$40))</f>
        <v>0</v>
      </c>
      <c r="AH12" s="151">
        <f t="shared" si="9"/>
        <v>0</v>
      </c>
      <c r="AI12" s="146">
        <f>SUM(('2025-2029 Category Detail'!AT38*'2025-2029 Category Detail'!$AV$38),('2025-2029 Category Detail'!AT39*'2025-2029 Category Detail'!$AV$39),('2025-2029 Category Detail'!AT40*'2025-2029 Category Detail'!$AV$40))</f>
        <v>0</v>
      </c>
      <c r="AJ12" s="38">
        <f t="shared" si="4"/>
        <v>0</v>
      </c>
    </row>
    <row r="13" spans="2:36" ht="31.5" hidden="1" customHeight="1" x14ac:dyDescent="0.25">
      <c r="B13" s="34" t="s">
        <v>334</v>
      </c>
      <c r="C13" s="141">
        <f>SUM(('2025-2029 Category Detail'!B42*'2025-2029 Category Detail'!$H$42),('2025-2029 Category Detail'!B43*'2025-2029 Category Detail'!$H$43))</f>
        <v>0</v>
      </c>
      <c r="D13" s="141">
        <f>SUM(('2025-2029 Category Detail'!C42*'2025-2029 Category Detail'!$H$42),('2025-2029 Category Detail'!C43*'2025-2029 Category Detail'!$H$43))</f>
        <v>0</v>
      </c>
      <c r="E13" s="141">
        <f>SUM(('2025-2029 Category Detail'!D42*'2025-2029 Category Detail'!$H$42),('2025-2029 Category Detail'!D43*'2025-2029 Category Detail'!$H$43))</f>
        <v>0</v>
      </c>
      <c r="F13" s="151">
        <f t="shared" si="0"/>
        <v>0</v>
      </c>
      <c r="G13" s="146">
        <f>SUM(('2025-2029 Category Detail'!F42*'2025-2029 Category Detail'!$H$42),('2025-2029 Category Detail'!F43*'2025-2029 Category Detail'!$H$43))</f>
        <v>0</v>
      </c>
      <c r="H13" s="38">
        <f t="shared" si="1"/>
        <v>0</v>
      </c>
      <c r="I13" s="27"/>
      <c r="J13" s="141">
        <f>SUM(('2025-2029 Category Detail'!L42*'2025-2029 Category Detail'!$R$42),('2025-2029 Category Detail'!L43*'2025-2029 Category Detail'!$R$43))</f>
        <v>0</v>
      </c>
      <c r="K13" s="141">
        <f>SUM(('2025-2029 Category Detail'!M42*'2025-2029 Category Detail'!$R$42),('2025-2029 Category Detail'!M43*'2025-2029 Category Detail'!$R$43))</f>
        <v>0</v>
      </c>
      <c r="L13" s="141">
        <f>SUM(('2025-2029 Category Detail'!N42*'2025-2029 Category Detail'!$R$42),('2025-2029 Category Detail'!N43*'2025-2029 Category Detail'!$R$43))</f>
        <v>0</v>
      </c>
      <c r="M13" s="151">
        <f t="shared" si="5"/>
        <v>0</v>
      </c>
      <c r="N13" s="146">
        <f>SUM(('2025-2029 Category Detail'!P42*'2025-2029 Category Detail'!$R$42),('2025-2029 Category Detail'!P43*'2025-2029 Category Detail'!$R$43))</f>
        <v>0</v>
      </c>
      <c r="O13" s="38">
        <f t="shared" si="2"/>
        <v>0</v>
      </c>
      <c r="P13" s="10"/>
      <c r="Q13" s="141">
        <f>SUM(('2025-2029 Category Detail'!V42*'2025-2029 Category Detail'!$AB$42),('2025-2029 Category Detail'!V43*'2025-2029 Category Detail'!$AB$43))</f>
        <v>0</v>
      </c>
      <c r="R13" s="141">
        <f>SUM(('2025-2029 Category Detail'!W42*'2025-2029 Category Detail'!$AB$42),('2025-2029 Category Detail'!W43*'2025-2029 Category Detail'!$AB$43))</f>
        <v>0</v>
      </c>
      <c r="S13" s="141">
        <f>SUM(('2025-2029 Category Detail'!X42*'2025-2029 Category Detail'!$AB$42),('2025-2029 Category Detail'!X43*'2025-2029 Category Detail'!$AB$43))</f>
        <v>0</v>
      </c>
      <c r="T13" s="151">
        <f t="shared" si="6"/>
        <v>0</v>
      </c>
      <c r="U13" s="146">
        <f>SUM(('2025-2029 Category Detail'!Z42*'2025-2029 Category Detail'!$AB$42),('2025-2029 Category Detail'!Z43*'2025-2029 Category Detail'!$AB$43))</f>
        <v>0</v>
      </c>
      <c r="V13" s="38">
        <f t="shared" si="3"/>
        <v>0</v>
      </c>
      <c r="X13" s="141">
        <f>SUM(('2025-2029 Category Detail'!AF42*'2025-2029 Category Detail'!$AL$42),('2025-2029 Category Detail'!AF43*'2025-2029 Category Detail'!$AL$43))</f>
        <v>0</v>
      </c>
      <c r="Y13" s="141">
        <f>SUM(('2025-2029 Category Detail'!AG42*'2025-2029 Category Detail'!$AL$42),('2025-2029 Category Detail'!AG43*'2025-2029 Category Detail'!$AL$43))</f>
        <v>0</v>
      </c>
      <c r="Z13" s="141">
        <f>SUM(('2025-2029 Category Detail'!AH42*'2025-2029 Category Detail'!$AL$42),('2025-2029 Category Detail'!AH43*'2025-2029 Category Detail'!$AL$43))</f>
        <v>0</v>
      </c>
      <c r="AA13" s="151">
        <f t="shared" si="7"/>
        <v>0</v>
      </c>
      <c r="AB13" s="141">
        <f>SUM(('2025-2029 Category Detail'!AJ42*'2025-2029 Category Detail'!$AL$42),('2025-2029 Category Detail'!AJ43*'2025-2029 Category Detail'!$AL$43))</f>
        <v>0</v>
      </c>
      <c r="AC13" s="38">
        <f t="shared" si="8"/>
        <v>0</v>
      </c>
      <c r="AE13" s="141">
        <f>SUM(('2025-2029 Category Detail'!AP42*'2025-2029 Category Detail'!$AV$42),('2025-2029 Category Detail'!AP43*'2025-2029 Category Detail'!$AV$43))</f>
        <v>0</v>
      </c>
      <c r="AF13" s="141">
        <f>SUM(('2025-2029 Category Detail'!AQ42*'2025-2029 Category Detail'!$AV$42),('2025-2029 Category Detail'!AQ43*'2025-2029 Category Detail'!$AV$43))</f>
        <v>0</v>
      </c>
      <c r="AG13" s="141">
        <f>SUM(('2025-2029 Category Detail'!AR42*'2025-2029 Category Detail'!$AV$42),('2025-2029 Category Detail'!AR43*'2025-2029 Category Detail'!$AV$43))</f>
        <v>0</v>
      </c>
      <c r="AH13" s="151">
        <f t="shared" si="9"/>
        <v>0</v>
      </c>
      <c r="AI13" s="146">
        <f>SUM(('2025-2029 Category Detail'!AT42*'2025-2029 Category Detail'!$AV$42),('2025-2029 Category Detail'!AT43*'2025-2029 Category Detail'!$AV$43))</f>
        <v>0</v>
      </c>
      <c r="AJ13" s="38">
        <f t="shared" si="4"/>
        <v>0</v>
      </c>
    </row>
    <row r="14" spans="2:36" ht="31.5" customHeight="1" x14ac:dyDescent="0.25">
      <c r="B14" s="58" t="s">
        <v>253</v>
      </c>
      <c r="C14" s="142">
        <f>SUM(('2025-2029 Category Detail'!B45*'2025-2029 Category Detail'!$H$45),('2025-2029 Category Detail'!B46*'2025-2029 Category Detail'!$H$46))</f>
        <v>126150</v>
      </c>
      <c r="D14" s="142">
        <f>SUM(('2025-2029 Category Detail'!C45*'2025-2029 Category Detail'!$H$45),('2025-2029 Category Detail'!C46*'2025-2029 Category Detail'!$H$46))</f>
        <v>82500</v>
      </c>
      <c r="E14" s="142">
        <f>SUM(('2025-2029 Category Detail'!D45*'2025-2029 Category Detail'!$H$45),('2025-2029 Category Detail'!D46*'2025-2029 Category Detail'!$H$46))</f>
        <v>0</v>
      </c>
      <c r="F14" s="152">
        <f t="shared" si="0"/>
        <v>208650</v>
      </c>
      <c r="G14" s="147">
        <f>SUM(('2025-2029 Category Detail'!F45*'2025-2029 Category Detail'!$H$45),('2025-2029 Category Detail'!F46*'2025-2029 Category Detail'!$H$46))</f>
        <v>7500</v>
      </c>
      <c r="H14" s="62">
        <f t="shared" si="1"/>
        <v>0.14132109656772271</v>
      </c>
      <c r="I14" s="27"/>
      <c r="J14" s="142">
        <f>SUM(('2025-2029 Category Detail'!L45*'2025-2029 Category Detail'!$R$45),('2025-2029 Category Detail'!L46*'2025-2029 Category Detail'!$R$46))</f>
        <v>126975</v>
      </c>
      <c r="K14" s="142">
        <f>SUM(('2025-2029 Category Detail'!M45*'2025-2029 Category Detail'!$R$45),('2025-2029 Category Detail'!M46*'2025-2029 Category Detail'!$R$46))</f>
        <v>84600</v>
      </c>
      <c r="L14" s="142">
        <f>SUM(('2025-2029 Category Detail'!N45*'2025-2029 Category Detail'!$R$45),('2025-2029 Category Detail'!N46*'2025-2029 Category Detail'!$R$46))</f>
        <v>0</v>
      </c>
      <c r="M14" s="152">
        <f t="shared" si="5"/>
        <v>211575</v>
      </c>
      <c r="N14" s="147">
        <f>SUM(('2025-2029 Category Detail'!P45*'2025-2029 Category Detail'!$R$45),('2025-2029 Category Detail'!P46*'2025-2029 Category Detail'!$R$46))</f>
        <v>8250</v>
      </c>
      <c r="O14" s="62">
        <f t="shared" si="2"/>
        <v>0.13381189175514463</v>
      </c>
      <c r="P14" s="10"/>
      <c r="Q14" s="142">
        <f>SUM(('2025-2029 Category Detail'!V45*'2025-2029 Category Detail'!$AB$45),('2025-2029 Category Detail'!V46*'2025-2029 Category Detail'!$AB$46))</f>
        <v>127800</v>
      </c>
      <c r="R14" s="142">
        <f>SUM(('2025-2029 Category Detail'!W45*'2025-2029 Category Detail'!$AB$45),('2025-2029 Category Detail'!W46*'2025-2029 Category Detail'!$AB$46))</f>
        <v>86700</v>
      </c>
      <c r="S14" s="142">
        <f>SUM(('2025-2029 Category Detail'!X45*'2025-2029 Category Detail'!$AB$45),('2025-2029 Category Detail'!X46*'2025-2029 Category Detail'!$AB$46))</f>
        <v>0</v>
      </c>
      <c r="T14" s="152">
        <f t="shared" si="6"/>
        <v>214500</v>
      </c>
      <c r="U14" s="147">
        <f>SUM(('2025-2029 Category Detail'!Z45*'2025-2029 Category Detail'!$AB$45),('2025-2029 Category Detail'!Z46*'2025-2029 Category Detail'!$AB$46))</f>
        <v>8250</v>
      </c>
      <c r="V14" s="62">
        <f t="shared" si="3"/>
        <v>0.13392857142857142</v>
      </c>
      <c r="X14" s="142">
        <f>SUM(('2025-2029 Category Detail'!AF45*'2025-2029 Category Detail'!$AL$45),('2025-2029 Category Detail'!AF46*'2025-2029 Category Detail'!$AL$46))</f>
        <v>135750</v>
      </c>
      <c r="Y14" s="142">
        <f>SUM(('2025-2029 Category Detail'!AG45*'2025-2029 Category Detail'!$AL$45),('2025-2029 Category Detail'!AG46*'2025-2029 Category Detail'!$AL$46))</f>
        <v>88875</v>
      </c>
      <c r="Z14" s="142">
        <f>SUM(('2025-2029 Category Detail'!AH45*'2025-2029 Category Detail'!$AL$45),('2025-2029 Category Detail'!AH46*'2025-2029 Category Detail'!$AL$46))</f>
        <v>0</v>
      </c>
      <c r="AA14" s="152">
        <f t="shared" si="7"/>
        <v>224625</v>
      </c>
      <c r="AB14" s="142">
        <f>SUM(('2025-2029 Category Detail'!AJ45*'2025-2029 Category Detail'!$AL$45),('2025-2029 Category Detail'!AJ46*'2025-2029 Category Detail'!$AL$46))</f>
        <v>8250</v>
      </c>
      <c r="AC14" s="62">
        <f t="shared" si="8"/>
        <v>0.13817124930799041</v>
      </c>
      <c r="AE14" s="142">
        <f>SUM(('2025-2029 Category Detail'!AP45*'2025-2029 Category Detail'!$AV$45),('2025-2029 Category Detail'!AP46*'2025-2029 Category Detail'!$AV$46))</f>
        <v>137025</v>
      </c>
      <c r="AF14" s="142">
        <f>SUM(('2025-2029 Category Detail'!AQ45*'2025-2029 Category Detail'!$AV$45),('2025-2029 Category Detail'!AQ46*'2025-2029 Category Detail'!$AV$46))</f>
        <v>91125</v>
      </c>
      <c r="AG14" s="142">
        <f>SUM(('2025-2029 Category Detail'!AR45*'2025-2029 Category Detail'!$AV$45),('2025-2029 Category Detail'!AR46*'2025-2029 Category Detail'!$AV$46))</f>
        <v>0</v>
      </c>
      <c r="AH14" s="152">
        <f t="shared" si="9"/>
        <v>228150</v>
      </c>
      <c r="AI14" s="147">
        <f>SUM(('2025-2029 Category Detail'!AT45*'2025-2029 Category Detail'!$AV$45),('2025-2029 Category Detail'!AT46*'2025-2029 Category Detail'!$AV$46))</f>
        <v>8250</v>
      </c>
      <c r="AJ14" s="62">
        <f t="shared" si="4"/>
        <v>0.13110185318201409</v>
      </c>
    </row>
    <row r="15" spans="2:36" ht="31.5" customHeight="1" x14ac:dyDescent="0.25">
      <c r="B15" s="58" t="s">
        <v>252</v>
      </c>
      <c r="C15" s="142">
        <f>SUM(('2025-2029 Category Detail'!B48*'2025-2029 Category Detail'!$H$48),('2025-2029 Category Detail'!B49*'2025-2029 Category Detail'!$H$49))</f>
        <v>61700</v>
      </c>
      <c r="D15" s="142">
        <f>SUM(('2025-2029 Category Detail'!C48*'2025-2029 Category Detail'!$H$48),('2025-2029 Category Detail'!C49*'2025-2029 Category Detail'!$H$49))</f>
        <v>0</v>
      </c>
      <c r="E15" s="142">
        <f>SUM(('2025-2029 Category Detail'!D48*'2025-2029 Category Detail'!$H$48),('2025-2029 Category Detail'!D49*'2025-2029 Category Detail'!$H$49))</f>
        <v>0</v>
      </c>
      <c r="F15" s="152">
        <f t="shared" si="0"/>
        <v>61700</v>
      </c>
      <c r="G15" s="147">
        <f>SUM(('2025-2029 Category Detail'!F48*'2025-2029 Category Detail'!$H$48),('2025-2029 Category Detail'!F49*'2025-2029 Category Detail'!$H$49))</f>
        <v>45000</v>
      </c>
      <c r="H15" s="62">
        <f t="shared" si="1"/>
        <v>4.179013495436612E-2</v>
      </c>
      <c r="I15" s="26"/>
      <c r="J15" s="142">
        <f>SUM(('2025-2029 Category Detail'!L48*'2025-2029 Category Detail'!$R$48),('2025-2029 Category Detail'!L49*'2025-2029 Category Detail'!$R$49))</f>
        <v>63200</v>
      </c>
      <c r="K15" s="142">
        <f>SUM(('2025-2029 Category Detail'!M48*'2025-2029 Category Detail'!$R$48),('2025-2029 Category Detail'!M49*'2025-2029 Category Detail'!$R$49))</f>
        <v>0</v>
      </c>
      <c r="L15" s="142">
        <f>SUM(('2025-2029 Category Detail'!N48*'2025-2029 Category Detail'!$R$48),('2025-2029 Category Detail'!N49*'2025-2029 Category Detail'!$R$49))</f>
        <v>0</v>
      </c>
      <c r="M15" s="152">
        <f t="shared" si="5"/>
        <v>63200</v>
      </c>
      <c r="N15" s="147">
        <f>SUM(('2025-2029 Category Detail'!P48*'2025-2029 Category Detail'!$R$48),('2025-2029 Category Detail'!P49*'2025-2029 Category Detail'!$R$49))</f>
        <v>46000</v>
      </c>
      <c r="O15" s="62">
        <f t="shared" si="2"/>
        <v>3.9971223249084913E-2</v>
      </c>
      <c r="P15" s="10"/>
      <c r="Q15" s="142">
        <f>SUM(('2025-2029 Category Detail'!V48*'2025-2029 Category Detail'!$AB$48),('2025-2029 Category Detail'!V49*'2025-2029 Category Detail'!$AB$49))</f>
        <v>64800</v>
      </c>
      <c r="R15" s="142">
        <f>SUM(('2025-2029 Category Detail'!W48*'2025-2029 Category Detail'!$AB$48),('2025-2029 Category Detail'!W49*'2025-2029 Category Detail'!$AB$49))</f>
        <v>0</v>
      </c>
      <c r="S15" s="142">
        <f>SUM(('2025-2029 Category Detail'!X48*'2025-2029 Category Detail'!$AB$48),('2025-2029 Category Detail'!X49*'2025-2029 Category Detail'!$AB$49))</f>
        <v>0</v>
      </c>
      <c r="T15" s="152">
        <f t="shared" si="6"/>
        <v>64800</v>
      </c>
      <c r="U15" s="147">
        <f>SUM(('2025-2029 Category Detail'!Z48*'2025-2029 Category Detail'!$AB$48),('2025-2029 Category Detail'!Z49*'2025-2029 Category Detail'!$AB$49))</f>
        <v>46000</v>
      </c>
      <c r="V15" s="62">
        <f t="shared" si="3"/>
        <v>4.0459540459540456E-2</v>
      </c>
      <c r="X15" s="142">
        <f>SUM(('2025-2029 Category Detail'!AF48*'2025-2029 Category Detail'!$AL$48),('2025-2029 Category Detail'!AF49*'2025-2029 Category Detail'!$AL$49))</f>
        <v>66400</v>
      </c>
      <c r="Y15" s="142">
        <f>SUM(('2025-2029 Category Detail'!AG48*'2025-2029 Category Detail'!$AL$48),('2025-2029 Category Detail'!AG49*'2025-2029 Category Detail'!$AL$49))</f>
        <v>0</v>
      </c>
      <c r="Z15" s="142">
        <f>SUM(('2025-2029 Category Detail'!AH48*'2025-2029 Category Detail'!$AL$48),('2025-2029 Category Detail'!AH49*'2025-2029 Category Detail'!$AL$49))</f>
        <v>0</v>
      </c>
      <c r="AA15" s="152">
        <f t="shared" si="7"/>
        <v>66400</v>
      </c>
      <c r="AB15" s="142">
        <f>SUM(('2025-2029 Category Detail'!AJ48*'2025-2029 Category Detail'!$AL$48),('2025-2029 Category Detail'!AJ49*'2025-2029 Category Detail'!$AL$49))</f>
        <v>47500</v>
      </c>
      <c r="AC15" s="62">
        <f t="shared" si="8"/>
        <v>4.0843944147136615E-2</v>
      </c>
      <c r="AE15" s="142">
        <f>SUM(('2025-2029 Category Detail'!AP48*'2025-2029 Category Detail'!$AV$48),('2025-2029 Category Detail'!AP49*'2025-2029 Category Detail'!$AV$49))</f>
        <v>68100</v>
      </c>
      <c r="AF15" s="142">
        <f>SUM(('2025-2029 Category Detail'!AQ48*'2025-2029 Category Detail'!$AV$48),('2025-2029 Category Detail'!AQ49*'2025-2029 Category Detail'!$AV$49))</f>
        <v>0</v>
      </c>
      <c r="AG15" s="142">
        <f>SUM(('2025-2029 Category Detail'!AR48*'2025-2029 Category Detail'!$AV$48),('2025-2029 Category Detail'!AR49*'2025-2029 Category Detail'!$AV$49))</f>
        <v>0</v>
      </c>
      <c r="AH15" s="152">
        <f t="shared" si="9"/>
        <v>68100</v>
      </c>
      <c r="AI15" s="147">
        <f>SUM(('2025-2029 Category Detail'!AT48*'2025-2029 Category Detail'!$AV$48),('2025-2029 Category Detail'!AT49*'2025-2029 Category Detail'!$AV$49))</f>
        <v>47500</v>
      </c>
      <c r="AJ15" s="62">
        <f t="shared" si="4"/>
        <v>3.9132308576353969E-2</v>
      </c>
    </row>
    <row r="16" spans="2:36" ht="31.5" customHeight="1" x14ac:dyDescent="0.25">
      <c r="B16" s="58" t="s">
        <v>254</v>
      </c>
      <c r="C16" s="142">
        <f>SUM(('2025-2029 Category Detail'!B51*'2025-2029 Category Detail'!$H$51),('2025-2029 Category Detail'!B52*'2025-2029 Category Detail'!$H$52),('2025-2029 Category Detail'!B53*'2025-2029 Category Detail'!$H$53),('2025-2029 Category Detail'!B54*'2025-2029 Category Detail'!$H$54),('2025-2029 Category Detail'!B55*'2025-2029 Category Detail'!$H$55),('2025-2029 Category Detail'!B56*'2025-2029 Category Detail'!$H$56),('2025-2029 Category Detail'!B57*'2025-2029 Category Detail'!$H$57))</f>
        <v>5250</v>
      </c>
      <c r="D16" s="142">
        <f>SUM(('2025-2029 Category Detail'!C51*'2025-2029 Category Detail'!$H$51),('2025-2029 Category Detail'!C52*'2025-2029 Category Detail'!$H$52),('2025-2029 Category Detail'!C53*'2025-2029 Category Detail'!$H$53),('2025-2029 Category Detail'!C54*'2025-2029 Category Detail'!$H$54),('2025-2029 Category Detail'!C55*'2025-2029 Category Detail'!$H$55),('2025-2029 Category Detail'!C56*'2025-2029 Category Detail'!$H$56),('2025-2029 Category Detail'!C57*'2025-2029 Category Detail'!$H$57))</f>
        <v>3750</v>
      </c>
      <c r="E16" s="142">
        <f>SUM(('2025-2029 Category Detail'!D51*'2025-2029 Category Detail'!$H$51),('2025-2029 Category Detail'!D52*'2025-2029 Category Detail'!$H$52),('2025-2029 Category Detail'!D53*'2025-2029 Category Detail'!$H$53),('2025-2029 Category Detail'!D54*'2025-2029 Category Detail'!$H$54),('2025-2029 Category Detail'!D55*'2025-2029 Category Detail'!$H$55),('2025-2029 Category Detail'!D56*'2025-2029 Category Detail'!$H$56),('2025-2029 Category Detail'!D57*'2025-2029 Category Detail'!$H$57))</f>
        <v>118875</v>
      </c>
      <c r="F16" s="152">
        <f t="shared" si="0"/>
        <v>127875</v>
      </c>
      <c r="G16" s="147">
        <f>SUM(('2025-2029 Category Detail'!F51*'2025-2029 Category Detail'!$H$51),('2025-2029 Category Detail'!F52*'2025-2029 Category Detail'!$H$52),('2025-2029 Category Detail'!F53*'2025-2029 Category Detail'!$H$53),('2025-2029 Category Detail'!F54*'2025-2029 Category Detail'!$H$54),('2025-2029 Category Detail'!F55*'2025-2029 Category Detail'!$H$55),('2025-2029 Category Detail'!F56*'2025-2029 Category Detail'!$H$56),('2025-2029 Category Detail'!F57*'2025-2029 Category Detail'!$H$57))</f>
        <v>48150</v>
      </c>
      <c r="H16" s="62">
        <f t="shared" si="1"/>
        <v>8.6611239988485703E-2</v>
      </c>
      <c r="I16" s="27"/>
      <c r="J16" s="142">
        <f>SUM(('2025-2029 Category Detail'!L51*'2025-2029 Category Detail'!$R$51),('2025-2029 Category Detail'!L52*'2025-2029 Category Detail'!$R$52),('2025-2029 Category Detail'!L53*'2025-2029 Category Detail'!$R$53),('2025-2029 Category Detail'!L54*'2025-2029 Category Detail'!$R$54),('2025-2029 Category Detail'!L55*'2025-2029 Category Detail'!$R$55),('2025-2029 Category Detail'!L56*'2025-2029 Category Detail'!$R$56),('2025-2029 Category Detail'!L57*'2025-2029 Category Detail'!$R$57))</f>
        <v>5250</v>
      </c>
      <c r="K16" s="142">
        <f>SUM(('2025-2029 Category Detail'!M51*'2025-2029 Category Detail'!$R$51),('2025-2029 Category Detail'!M52*'2025-2029 Category Detail'!$R$52),('2025-2029 Category Detail'!M53*'2025-2029 Category Detail'!$R$53),('2025-2029 Category Detail'!M54*'2025-2029 Category Detail'!$R$54),('2025-2029 Category Detail'!M55*'2025-2029 Category Detail'!$R$55),('2025-2029 Category Detail'!M56*'2025-2029 Category Detail'!$R$56),('2025-2029 Category Detail'!M57*'2025-2029 Category Detail'!$R$57))</f>
        <v>3750</v>
      </c>
      <c r="L16" s="142">
        <f>SUM(('2025-2029 Category Detail'!N51*'2025-2029 Category Detail'!$R$51),('2025-2029 Category Detail'!N52*'2025-2029 Category Detail'!$R$52),('2025-2029 Category Detail'!N53*'2025-2029 Category Detail'!$R$53),('2025-2029 Category Detail'!N54*'2025-2029 Category Detail'!$R$54),('2025-2029 Category Detail'!N55*'2025-2029 Category Detail'!$R$55),('2025-2029 Category Detail'!N56*'2025-2029 Category Detail'!$R$56),('2025-2029 Category Detail'!N57*'2025-2029 Category Detail'!$R$57))</f>
        <v>124500</v>
      </c>
      <c r="M16" s="152">
        <f t="shared" si="5"/>
        <v>133500</v>
      </c>
      <c r="N16" s="147">
        <f>SUM(('2025-2029 Category Detail'!P51*'2025-2029 Category Detail'!$R$51),('2025-2029 Category Detail'!P52*'2025-2029 Category Detail'!$R$52),('2025-2029 Category Detail'!P53*'2025-2029 Category Detail'!$R$53),('2025-2029 Category Detail'!P54*'2025-2029 Category Detail'!$R$54),('2025-2029 Category Detail'!P55*'2025-2029 Category Detail'!$R$55),('2025-2029 Category Detail'!P56*'2025-2029 Category Detail'!$R$56),('2025-2029 Category Detail'!P57*'2025-2029 Category Detail'!$R$57))</f>
        <v>45765</v>
      </c>
      <c r="O16" s="62">
        <f t="shared" si="2"/>
        <v>8.4432884553051202E-2</v>
      </c>
      <c r="P16" s="10"/>
      <c r="Q16" s="142">
        <f>SUM(('2025-2029 Category Detail'!V51*'2025-2029 Category Detail'!$AB$51),('2025-2029 Category Detail'!V52*'2025-2029 Category Detail'!$AB$52),('2025-2029 Category Detail'!V53*'2025-2029 Category Detail'!$AB$53),('2025-2029 Category Detail'!V54*'2025-2029 Category Detail'!$AB$54),('2025-2029 Category Detail'!V55*'2025-2029 Category Detail'!$AB$55),('2025-2029 Category Detail'!V56*'2025-2029 Category Detail'!$AB$56),('2025-2029 Category Detail'!V57*'2025-2029 Category Detail'!$AB$57))</f>
        <v>5250</v>
      </c>
      <c r="R16" s="142">
        <f>SUM(('2025-2029 Category Detail'!W51*'2025-2029 Category Detail'!$AB$51),('2025-2029 Category Detail'!W52*'2025-2029 Category Detail'!$AB$52),('2025-2029 Category Detail'!W53*'2025-2029 Category Detail'!$AB$53),('2025-2029 Category Detail'!W54*'2025-2029 Category Detail'!$AB$54),('2025-2029 Category Detail'!W55*'2025-2029 Category Detail'!$AB$55),('2025-2029 Category Detail'!W56*'2025-2029 Category Detail'!$AB$56),('2025-2029 Category Detail'!W57*'2025-2029 Category Detail'!$AB$57))</f>
        <v>3750</v>
      </c>
      <c r="S16" s="142">
        <f>SUM(('2025-2029 Category Detail'!X51*'2025-2029 Category Detail'!$AB$51),('2025-2029 Category Detail'!X52*'2025-2029 Category Detail'!$AB$52),('2025-2029 Category Detail'!X53*'2025-2029 Category Detail'!$AB$53),('2025-2029 Category Detail'!X54*'2025-2029 Category Detail'!$AB$54),('2025-2029 Category Detail'!X55*'2025-2029 Category Detail'!$AB$55),('2025-2029 Category Detail'!X56*'2025-2029 Category Detail'!$AB$56),('2025-2029 Category Detail'!X57*'2025-2029 Category Detail'!$AB$57))</f>
        <v>125625</v>
      </c>
      <c r="T16" s="152">
        <f t="shared" si="6"/>
        <v>134625</v>
      </c>
      <c r="U16" s="147">
        <f>SUM(('2025-2029 Category Detail'!Z51*'2025-2029 Category Detail'!$AB$51),('2025-2029 Category Detail'!Z52*'2025-2029 Category Detail'!$AB$52),('2025-2029 Category Detail'!Z53*'2025-2029 Category Detail'!$AB$53),('2025-2029 Category Detail'!Z54*'2025-2029 Category Detail'!$AB$54),('2025-2029 Category Detail'!Z55*'2025-2029 Category Detail'!$AB$55),('2025-2029 Category Detail'!Z56*'2025-2029 Category Detail'!$AB$56),('2025-2029 Category Detail'!Z57*'2025-2029 Category Detail'!$AB$57))</f>
        <v>41572.5</v>
      </c>
      <c r="V16" s="62">
        <f t="shared" si="3"/>
        <v>8.4056568431568432E-2</v>
      </c>
      <c r="X16" s="142">
        <f>SUM(('2025-2029 Category Detail'!AF51*'2025-2029 Category Detail'!$AL$51),('2025-2029 Category Detail'!AF52*'2025-2029 Category Detail'!$AL$52),('2025-2029 Category Detail'!AF53*'2025-2029 Category Detail'!$AL$53),('2025-2029 Category Detail'!AF54*'2025-2029 Category Detail'!$AL$54),('2025-2029 Category Detail'!AF55*'2025-2029 Category Detail'!$AL$55),('2025-2029 Category Detail'!AF56*'2025-2029 Category Detail'!$AL$56),('2025-2029 Category Detail'!AF57*'2025-2029 Category Detail'!$AL$57))</f>
        <v>5250</v>
      </c>
      <c r="Y16" s="142">
        <f>SUM(('2025-2029 Category Detail'!AG51*'2025-2029 Category Detail'!$AL$51),('2025-2029 Category Detail'!AG52*'2025-2029 Category Detail'!$AL$52),('2025-2029 Category Detail'!AG53*'2025-2029 Category Detail'!$AL$53),('2025-2029 Category Detail'!AG54*'2025-2029 Category Detail'!$AL$54),('2025-2029 Category Detail'!AG55*'2025-2029 Category Detail'!$AL$55),('2025-2029 Category Detail'!AG56*'2025-2029 Category Detail'!$AL$56),('2025-2029 Category Detail'!AG57*'2025-2029 Category Detail'!$AL$57))</f>
        <v>3750</v>
      </c>
      <c r="Z16" s="142">
        <f>SUM(('2025-2029 Category Detail'!AH51*'2025-2029 Category Detail'!$AL$51),('2025-2029 Category Detail'!AH52*'2025-2029 Category Detail'!$AL$52),('2025-2029 Category Detail'!AH53*'2025-2029 Category Detail'!$AL$53),('2025-2029 Category Detail'!AH54*'2025-2029 Category Detail'!$AL$54),('2025-2029 Category Detail'!AH55*'2025-2029 Category Detail'!$AL$55),('2025-2029 Category Detail'!AH56*'2025-2029 Category Detail'!$AL$56),('2025-2029 Category Detail'!AH57*'2025-2029 Category Detail'!$AL$57))</f>
        <v>131250</v>
      </c>
      <c r="AA16" s="152">
        <f t="shared" si="7"/>
        <v>140250</v>
      </c>
      <c r="AB16" s="142">
        <f>SUM(('2025-2029 Category Detail'!AJ51*'2025-2029 Category Detail'!$AL$51),('2025-2029 Category Detail'!AJ52*'2025-2029 Category Detail'!$AL$52),('2025-2029 Category Detail'!AJ53*'2025-2029 Category Detail'!$AL$53),('2025-2029 Category Detail'!AJ54*'2025-2029 Category Detail'!$AL$54),('2025-2029 Category Detail'!AJ55*'2025-2029 Category Detail'!$AL$55),('2025-2029 Category Detail'!AJ56*'2025-2029 Category Detail'!$AL$56),('2025-2029 Category Detail'!AJ57*'2025-2029 Category Detail'!$AL$57))</f>
        <v>41572.5</v>
      </c>
      <c r="AC16" s="62">
        <f t="shared" si="8"/>
        <v>8.6270529618010697E-2</v>
      </c>
      <c r="AE16" s="142">
        <f>SUM(('2025-2029 Category Detail'!AP51*'2025-2029 Category Detail'!$AV$51),('2025-2029 Category Detail'!AP52*'2025-2029 Category Detail'!$AV$52),('2025-2029 Category Detail'!AP53*'2025-2029 Category Detail'!$AV$53),('2025-2029 Category Detail'!AP54*'2025-2029 Category Detail'!$AV$54),('2025-2029 Category Detail'!AP55*'2025-2029 Category Detail'!$AV$55),('2025-2029 Category Detail'!AP56*'2025-2029 Category Detail'!$AV$56),('2025-2029 Category Detail'!AP57*'2025-2029 Category Detail'!$AV$57))</f>
        <v>5250</v>
      </c>
      <c r="AF16" s="142">
        <f>SUM(('2025-2029 Category Detail'!AQ51*'2025-2029 Category Detail'!$AV$51),('2025-2029 Category Detail'!AQ52*'2025-2029 Category Detail'!$AV$52),('2025-2029 Category Detail'!AQ53*'2025-2029 Category Detail'!$AV$53),('2025-2029 Category Detail'!AQ54*'2025-2029 Category Detail'!$AV$54),('2025-2029 Category Detail'!AQ55*'2025-2029 Category Detail'!$AV$55),('2025-2029 Category Detail'!AQ56*'2025-2029 Category Detail'!$AV$56),('2025-2029 Category Detail'!AQ57*'2025-2029 Category Detail'!$AV$57))</f>
        <v>3750</v>
      </c>
      <c r="AG16" s="142">
        <f>SUM(('2025-2029 Category Detail'!AR51*'2025-2029 Category Detail'!$AV$51),('2025-2029 Category Detail'!AR52*'2025-2029 Category Detail'!$AV$52),('2025-2029 Category Detail'!AR53*'2025-2029 Category Detail'!$AV$53),('2025-2029 Category Detail'!AR54*'2025-2029 Category Detail'!$AV$54),('2025-2029 Category Detail'!AR55*'2025-2029 Category Detail'!$AV$55),('2025-2029 Category Detail'!AR56*'2025-2029 Category Detail'!$AV$56),('2025-2029 Category Detail'!AR57*'2025-2029 Category Detail'!$AV$57))</f>
        <v>132375</v>
      </c>
      <c r="AH16" s="152">
        <f t="shared" si="9"/>
        <v>141375</v>
      </c>
      <c r="AI16" s="147">
        <f>SUM(('2025-2029 Category Detail'!AT51*'2025-2029 Category Detail'!$AV$51),('2025-2029 Category Detail'!AT52*'2025-2029 Category Detail'!$AV$52),('2025-2029 Category Detail'!AT53*'2025-2029 Category Detail'!$AV$53),('2025-2029 Category Detail'!AT54*'2025-2029 Category Detail'!$AV$54),('2025-2029 Category Detail'!AT55*'2025-2029 Category Detail'!$AV$55),('2025-2029 Category Detail'!AT56*'2025-2029 Category Detail'!$AV$56),('2025-2029 Category Detail'!AT57*'2025-2029 Category Detail'!$AV$57))</f>
        <v>53137.5</v>
      </c>
      <c r="AJ16" s="62">
        <f t="shared" si="4"/>
        <v>8.1238327826461718E-2</v>
      </c>
    </row>
    <row r="17" spans="2:36" ht="38.25" customHeight="1" x14ac:dyDescent="0.25">
      <c r="B17" s="40" t="s">
        <v>249</v>
      </c>
      <c r="C17" s="33">
        <f t="shared" ref="C17:H17" si="10">SUM(C7:C16)</f>
        <v>419100</v>
      </c>
      <c r="D17" s="33">
        <f t="shared" si="10"/>
        <v>938450</v>
      </c>
      <c r="E17" s="33">
        <f t="shared" si="10"/>
        <v>118875</v>
      </c>
      <c r="F17" s="128">
        <f t="shared" si="10"/>
        <v>1476425</v>
      </c>
      <c r="G17" s="252">
        <f t="shared" si="10"/>
        <v>144500</v>
      </c>
      <c r="H17" s="43">
        <f t="shared" si="10"/>
        <v>1</v>
      </c>
      <c r="I17" s="27"/>
      <c r="J17" s="33">
        <f t="shared" ref="J17:O17" si="11">SUM(J7:J16)</f>
        <v>399012.5</v>
      </c>
      <c r="K17" s="33">
        <f t="shared" si="11"/>
        <v>1057625</v>
      </c>
      <c r="L17" s="33">
        <f t="shared" si="11"/>
        <v>124500</v>
      </c>
      <c r="M17" s="128">
        <f t="shared" si="11"/>
        <v>1581137.5</v>
      </c>
      <c r="N17" s="45">
        <f t="shared" si="11"/>
        <v>149665</v>
      </c>
      <c r="O17" s="43">
        <f t="shared" si="11"/>
        <v>1</v>
      </c>
      <c r="P17" s="10"/>
      <c r="Q17" s="33">
        <f t="shared" ref="Q17:V17" si="12">SUM(Q7:Q16)</f>
        <v>512300</v>
      </c>
      <c r="R17" s="33">
        <f t="shared" si="12"/>
        <v>963675</v>
      </c>
      <c r="S17" s="33">
        <f t="shared" si="12"/>
        <v>125625</v>
      </c>
      <c r="T17" s="128">
        <f t="shared" si="12"/>
        <v>1601600</v>
      </c>
      <c r="U17" s="45">
        <f t="shared" si="12"/>
        <v>154112.5</v>
      </c>
      <c r="V17" s="43">
        <f t="shared" si="12"/>
        <v>0.99999999999999989</v>
      </c>
      <c r="X17" s="33">
        <f t="shared" ref="X17:AC17" si="13">SUM(X7:X16)</f>
        <v>617275</v>
      </c>
      <c r="Y17" s="33">
        <f t="shared" si="13"/>
        <v>877175</v>
      </c>
      <c r="Z17" s="33">
        <f t="shared" si="13"/>
        <v>131250</v>
      </c>
      <c r="AA17" s="128">
        <f t="shared" si="13"/>
        <v>1625700</v>
      </c>
      <c r="AB17" s="45">
        <f t="shared" si="13"/>
        <v>156272.5</v>
      </c>
      <c r="AC17" s="43">
        <f t="shared" si="13"/>
        <v>1</v>
      </c>
      <c r="AE17" s="33">
        <f t="shared" ref="AE17:AJ17" si="14">SUM(AE7:AE16)</f>
        <v>532025</v>
      </c>
      <c r="AF17" s="33">
        <f t="shared" si="14"/>
        <v>1075850</v>
      </c>
      <c r="AG17" s="33">
        <f t="shared" si="14"/>
        <v>132375</v>
      </c>
      <c r="AH17" s="128">
        <f t="shared" si="14"/>
        <v>1740250</v>
      </c>
      <c r="AI17" s="45">
        <f t="shared" si="14"/>
        <v>160707.5</v>
      </c>
      <c r="AJ17" s="43">
        <f t="shared" si="14"/>
        <v>1</v>
      </c>
    </row>
    <row r="20" spans="2:36" x14ac:dyDescent="0.2">
      <c r="B20" s="125"/>
      <c r="C20" s="166" t="s">
        <v>255</v>
      </c>
      <c r="D20" s="166" t="s">
        <v>425</v>
      </c>
      <c r="E20" s="166" t="s">
        <v>426</v>
      </c>
      <c r="F20" s="166" t="s">
        <v>427</v>
      </c>
      <c r="G20" s="166" t="s">
        <v>428</v>
      </c>
    </row>
    <row r="21" spans="2:36" x14ac:dyDescent="0.2">
      <c r="B21" s="157" t="s">
        <v>245</v>
      </c>
      <c r="C21" s="154">
        <f>C17</f>
        <v>419100</v>
      </c>
      <c r="D21" s="154">
        <f>J17</f>
        <v>399012.5</v>
      </c>
      <c r="E21" s="154">
        <f>Q17</f>
        <v>512300</v>
      </c>
      <c r="F21" s="154">
        <f>X17</f>
        <v>617275</v>
      </c>
      <c r="G21" s="154">
        <f>AE17</f>
        <v>532025</v>
      </c>
    </row>
    <row r="22" spans="2:36" x14ac:dyDescent="0.2">
      <c r="B22" s="157" t="s">
        <v>297</v>
      </c>
      <c r="C22" s="154">
        <f>D17</f>
        <v>938450</v>
      </c>
      <c r="D22" s="154">
        <f>K17</f>
        <v>1057625</v>
      </c>
      <c r="E22" s="154">
        <f>R17</f>
        <v>963675</v>
      </c>
      <c r="F22" s="154">
        <f>Y17</f>
        <v>877175</v>
      </c>
      <c r="G22" s="154">
        <f>AF17</f>
        <v>1075850</v>
      </c>
    </row>
    <row r="23" spans="2:36" x14ac:dyDescent="0.2">
      <c r="B23" s="157" t="s">
        <v>453</v>
      </c>
      <c r="C23" s="154">
        <f>E17</f>
        <v>118875</v>
      </c>
      <c r="D23" s="154">
        <f>L17</f>
        <v>124500</v>
      </c>
      <c r="E23" s="154">
        <f>S17</f>
        <v>125625</v>
      </c>
      <c r="F23" s="154">
        <f>Z17</f>
        <v>131250</v>
      </c>
      <c r="G23" s="154">
        <f>AG17</f>
        <v>132375</v>
      </c>
    </row>
    <row r="24" spans="2:36" x14ac:dyDescent="0.2">
      <c r="B24" s="157" t="s">
        <v>298</v>
      </c>
      <c r="C24" s="154">
        <f>F17</f>
        <v>1476425</v>
      </c>
      <c r="D24" s="154">
        <f>M17</f>
        <v>1581137.5</v>
      </c>
      <c r="E24" s="154">
        <f>T17</f>
        <v>1601600</v>
      </c>
      <c r="F24" s="154">
        <f>AA17</f>
        <v>1625700</v>
      </c>
      <c r="G24" s="154">
        <f>AH17</f>
        <v>1740250</v>
      </c>
    </row>
    <row r="25" spans="2:36" x14ac:dyDescent="0.2">
      <c r="B25" s="157" t="s">
        <v>454</v>
      </c>
      <c r="C25" s="156">
        <f>G17</f>
        <v>144500</v>
      </c>
      <c r="D25" s="154">
        <f>N17</f>
        <v>149665</v>
      </c>
      <c r="E25" s="154">
        <f>U17</f>
        <v>154112.5</v>
      </c>
      <c r="F25" s="154">
        <f>AB17</f>
        <v>156272.5</v>
      </c>
      <c r="G25" s="154">
        <f>AI17</f>
        <v>160707.5</v>
      </c>
    </row>
    <row r="28" spans="2:36" x14ac:dyDescent="0.2">
      <c r="B28" s="167" t="s">
        <v>298</v>
      </c>
      <c r="C28" s="166" t="s">
        <v>255</v>
      </c>
      <c r="D28" s="166" t="s">
        <v>425</v>
      </c>
      <c r="E28" s="166" t="s">
        <v>426</v>
      </c>
      <c r="F28" s="166" t="s">
        <v>427</v>
      </c>
      <c r="G28" s="166" t="s">
        <v>428</v>
      </c>
    </row>
    <row r="29" spans="2:36" x14ac:dyDescent="0.2">
      <c r="B29" s="158" t="s">
        <v>455</v>
      </c>
      <c r="C29" s="159">
        <f>SUM(F7:F9)</f>
        <v>842500</v>
      </c>
      <c r="D29" s="159">
        <f>SUM(M7:M9)</f>
        <v>976262.5</v>
      </c>
      <c r="E29" s="159">
        <f>SUM(T7:T9)</f>
        <v>901925</v>
      </c>
      <c r="F29" s="159">
        <f>SUM(AA7:AA9)</f>
        <v>771075</v>
      </c>
      <c r="G29" s="159">
        <f>SUM(AH7:AH9)</f>
        <v>991600</v>
      </c>
    </row>
    <row r="30" spans="2:36" x14ac:dyDescent="0.2">
      <c r="B30" s="160" t="s">
        <v>456</v>
      </c>
      <c r="C30" s="161">
        <f>SUM(F10:F11)</f>
        <v>235700</v>
      </c>
      <c r="D30" s="161">
        <f>SUM(M10:M11)</f>
        <v>196600</v>
      </c>
      <c r="E30" s="161">
        <f>SUM(T10:T11)</f>
        <v>285750</v>
      </c>
      <c r="F30" s="161">
        <f>SUM(AA10:AA11)</f>
        <v>423350</v>
      </c>
      <c r="G30" s="161">
        <f>SUM(AH10:AH11)</f>
        <v>311025</v>
      </c>
    </row>
    <row r="31" spans="2:36" x14ac:dyDescent="0.2">
      <c r="B31" s="162" t="s">
        <v>251</v>
      </c>
      <c r="C31" s="163">
        <f>F12</f>
        <v>0</v>
      </c>
      <c r="D31" s="163">
        <f>M12</f>
        <v>0</v>
      </c>
      <c r="E31" s="163">
        <f>T12</f>
        <v>0</v>
      </c>
      <c r="F31" s="163">
        <f>SUM(AA12)</f>
        <v>0</v>
      </c>
      <c r="G31" s="163">
        <f>AH12</f>
        <v>0</v>
      </c>
    </row>
    <row r="32" spans="2:36" hidden="1" x14ac:dyDescent="0.2">
      <c r="B32" s="162" t="s">
        <v>334</v>
      </c>
      <c r="C32" s="163">
        <f>F13</f>
        <v>0</v>
      </c>
      <c r="D32" s="163">
        <f>M13</f>
        <v>0</v>
      </c>
      <c r="E32" s="163">
        <f>T13</f>
        <v>0</v>
      </c>
      <c r="F32" s="163">
        <f>AA13</f>
        <v>0</v>
      </c>
      <c r="G32" s="163">
        <f>AH13</f>
        <v>0</v>
      </c>
    </row>
    <row r="33" spans="2:7" x14ac:dyDescent="0.2">
      <c r="B33" s="164" t="s">
        <v>254</v>
      </c>
      <c r="C33" s="169">
        <f>SUM(F14:F16)</f>
        <v>398225</v>
      </c>
      <c r="D33" s="165">
        <f>SUM(M14:M16)</f>
        <v>408275</v>
      </c>
      <c r="E33" s="165">
        <f>SUM(T14:T16)</f>
        <v>413925</v>
      </c>
      <c r="F33" s="165">
        <f>SUM(AA14:AA16)</f>
        <v>431275</v>
      </c>
      <c r="G33" s="165">
        <f>SUM(AH14:AH16)</f>
        <v>437625</v>
      </c>
    </row>
    <row r="36" spans="2:7" x14ac:dyDescent="0.2">
      <c r="B36" s="167" t="s">
        <v>457</v>
      </c>
      <c r="C36" s="166" t="s">
        <v>255</v>
      </c>
      <c r="D36" s="166" t="s">
        <v>425</v>
      </c>
      <c r="E36" s="166" t="s">
        <v>426</v>
      </c>
      <c r="F36" s="166" t="s">
        <v>427</v>
      </c>
      <c r="G36" s="166" t="s">
        <v>428</v>
      </c>
    </row>
    <row r="37" spans="2:7" x14ac:dyDescent="0.2">
      <c r="B37" s="158" t="s">
        <v>455</v>
      </c>
      <c r="C37" s="159">
        <f>SUM(F7:G9)</f>
        <v>860850</v>
      </c>
      <c r="D37" s="159">
        <f>SUM(M7:N9)</f>
        <v>998162.5</v>
      </c>
      <c r="E37" s="159">
        <f>SUM(T7:U9)</f>
        <v>926285</v>
      </c>
      <c r="F37" s="159">
        <f>SUM(AA7:AB9)</f>
        <v>793650</v>
      </c>
      <c r="G37" s="159">
        <f>SUM(AH7:AI9)</f>
        <v>1015295</v>
      </c>
    </row>
    <row r="38" spans="2:7" x14ac:dyDescent="0.2">
      <c r="B38" s="160" t="s">
        <v>456</v>
      </c>
      <c r="C38" s="161">
        <f>SUM(F10:G11)</f>
        <v>261200</v>
      </c>
      <c r="D38" s="161">
        <f>SUM(M10:N11)</f>
        <v>224350</v>
      </c>
      <c r="E38" s="161">
        <f>SUM(T10:U11)</f>
        <v>319680</v>
      </c>
      <c r="F38" s="161">
        <f>SUM(AA10:AB11)</f>
        <v>459725</v>
      </c>
      <c r="G38" s="161">
        <f>SUM(AH10:AI11)</f>
        <v>339150</v>
      </c>
    </row>
    <row r="39" spans="2:7" x14ac:dyDescent="0.2">
      <c r="B39" s="162" t="s">
        <v>251</v>
      </c>
      <c r="C39" s="163">
        <f>SUM(F12:G12)</f>
        <v>0</v>
      </c>
      <c r="D39" s="163">
        <f>SUM(M12:N12)</f>
        <v>0</v>
      </c>
      <c r="E39" s="163">
        <f>SUM(T12:U12)</f>
        <v>0</v>
      </c>
      <c r="F39" s="163">
        <f>SUM(AA12:AB12)</f>
        <v>0</v>
      </c>
      <c r="G39" s="163">
        <f>SUM(AH12:AI12)</f>
        <v>0</v>
      </c>
    </row>
    <row r="40" spans="2:7" hidden="1" x14ac:dyDescent="0.2">
      <c r="B40" s="162" t="s">
        <v>334</v>
      </c>
      <c r="C40" s="163">
        <f>SUM(F13:G13)</f>
        <v>0</v>
      </c>
      <c r="D40" s="163">
        <f>SUM(M13:N13)</f>
        <v>0</v>
      </c>
      <c r="E40" s="163">
        <f>SUM(T13:U13)</f>
        <v>0</v>
      </c>
      <c r="F40" s="163">
        <f>SUM(AA13:AB13)</f>
        <v>0</v>
      </c>
      <c r="G40" s="163">
        <f>SUM(AH13:AI13)</f>
        <v>0</v>
      </c>
    </row>
    <row r="41" spans="2:7" x14ac:dyDescent="0.2">
      <c r="B41" s="164" t="s">
        <v>254</v>
      </c>
      <c r="C41" s="169">
        <f>SUM(F14:G16)</f>
        <v>498875</v>
      </c>
      <c r="D41" s="165">
        <f>SUM(M14:N16)</f>
        <v>508290</v>
      </c>
      <c r="E41" s="165">
        <f>SUM(T14:U16)</f>
        <v>509747.5</v>
      </c>
      <c r="F41" s="165">
        <f>SUM(AA14:AB16)</f>
        <v>528597.5</v>
      </c>
      <c r="G41" s="165">
        <f>SUM(AH14:AI16)</f>
        <v>546512.5</v>
      </c>
    </row>
    <row r="44" spans="2:7" x14ac:dyDescent="0.2">
      <c r="B44" s="167" t="s">
        <v>458</v>
      </c>
      <c r="C44" s="166" t="s">
        <v>255</v>
      </c>
      <c r="D44" s="166" t="s">
        <v>425</v>
      </c>
      <c r="E44" s="166" t="s">
        <v>426</v>
      </c>
      <c r="F44" s="166" t="s">
        <v>427</v>
      </c>
      <c r="G44" s="166" t="s">
        <v>428</v>
      </c>
    </row>
    <row r="45" spans="2:7" x14ac:dyDescent="0.2">
      <c r="B45" s="157" t="s">
        <v>459</v>
      </c>
      <c r="C45" s="168"/>
      <c r="D45" s="154">
        <f>D24-C24</f>
        <v>104712.5</v>
      </c>
      <c r="E45" s="154">
        <f t="shared" ref="E45:G45" si="15">E24-D24</f>
        <v>20462.5</v>
      </c>
      <c r="F45" s="154">
        <f>F24-E24</f>
        <v>24100</v>
      </c>
      <c r="G45" s="154">
        <f t="shared" si="15"/>
        <v>114550</v>
      </c>
    </row>
    <row r="46" spans="2:7" x14ac:dyDescent="0.2">
      <c r="B46" s="157" t="s">
        <v>460</v>
      </c>
      <c r="C46" s="168"/>
      <c r="D46" s="154">
        <f>D24-$C$24</f>
        <v>104712.5</v>
      </c>
      <c r="E46" s="154">
        <f t="shared" ref="E46:G46" si="16">E24-$C$24</f>
        <v>125175</v>
      </c>
      <c r="F46" s="154">
        <f t="shared" si="16"/>
        <v>149275</v>
      </c>
      <c r="G46" s="154">
        <f t="shared" si="16"/>
        <v>263825</v>
      </c>
    </row>
  </sheetData>
  <mergeCells count="5">
    <mergeCell ref="C5:G5"/>
    <mergeCell ref="J5:N5"/>
    <mergeCell ref="Q5:U5"/>
    <mergeCell ref="X5:AB5"/>
    <mergeCell ref="AE5:AI5"/>
  </mergeCells>
  <phoneticPr fontId="1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DE51F-F0ED-4E37-82E2-EB1A592DF3F3}">
  <dimension ref="B1:AJ46"/>
  <sheetViews>
    <sheetView topLeftCell="A3" workbookViewId="0">
      <selection activeCell="A40" sqref="A40:XFD40"/>
    </sheetView>
  </sheetViews>
  <sheetFormatPr defaultRowHeight="12.75" x14ac:dyDescent="0.2"/>
  <cols>
    <col min="2" max="2" width="59.140625" customWidth="1"/>
    <col min="3" max="8" width="14.140625" customWidth="1"/>
    <col min="10" max="14" width="14.140625" customWidth="1"/>
    <col min="15" max="15" width="8.140625" customWidth="1"/>
    <col min="16" max="16" width="9.140625" customWidth="1"/>
    <col min="17" max="21" width="14.7109375" customWidth="1"/>
    <col min="22" max="22" width="8.140625" customWidth="1"/>
    <col min="23" max="23" width="9.140625" customWidth="1"/>
    <col min="24" max="28" width="14.7109375" customWidth="1"/>
    <col min="29" max="29" width="8.140625" customWidth="1"/>
    <col min="30" max="30" width="9.140625" customWidth="1"/>
    <col min="31" max="35" width="14.7109375" customWidth="1"/>
    <col min="36" max="36" width="8.140625" bestFit="1" customWidth="1"/>
  </cols>
  <sheetData>
    <row r="1" spans="2:36" ht="18.75" x14ac:dyDescent="0.3">
      <c r="B1" s="4" t="s">
        <v>461</v>
      </c>
    </row>
    <row r="2" spans="2:36" ht="15" x14ac:dyDescent="0.25">
      <c r="B2" s="7" t="str">
        <f>'Table of Contents'!$B$2</f>
        <v>DRAFT Proposed 5-Year Funding Levels (2025-2029) for discussion at March 26, 2024 RTF Policy Advisory Committee Meeting</v>
      </c>
    </row>
    <row r="3" spans="2:36" ht="15" x14ac:dyDescent="0.25">
      <c r="B3" s="138" t="s">
        <v>449</v>
      </c>
    </row>
    <row r="5" spans="2:36" ht="26.25" customHeight="1" x14ac:dyDescent="0.25">
      <c r="B5" s="10"/>
      <c r="C5" s="357" t="s">
        <v>255</v>
      </c>
      <c r="D5" s="358"/>
      <c r="E5" s="358"/>
      <c r="F5" s="358"/>
      <c r="G5" s="359"/>
      <c r="H5" s="10"/>
      <c r="J5" s="357" t="s">
        <v>425</v>
      </c>
      <c r="K5" s="358"/>
      <c r="L5" s="358"/>
      <c r="M5" s="358"/>
      <c r="N5" s="359"/>
      <c r="Q5" s="357" t="s">
        <v>426</v>
      </c>
      <c r="R5" s="358"/>
      <c r="S5" s="358"/>
      <c r="T5" s="358"/>
      <c r="U5" s="359"/>
      <c r="X5" s="357" t="s">
        <v>427</v>
      </c>
      <c r="Y5" s="358"/>
      <c r="Z5" s="358"/>
      <c r="AA5" s="358"/>
      <c r="AB5" s="359"/>
      <c r="AE5" s="357" t="s">
        <v>428</v>
      </c>
      <c r="AF5" s="358"/>
      <c r="AG5" s="358"/>
      <c r="AH5" s="358"/>
      <c r="AI5" s="359"/>
    </row>
    <row r="6" spans="2:36" ht="63" x14ac:dyDescent="0.25">
      <c r="B6" s="51" t="s">
        <v>237</v>
      </c>
      <c r="C6" s="52" t="s">
        <v>257</v>
      </c>
      <c r="D6" s="52" t="s">
        <v>258</v>
      </c>
      <c r="E6" s="53" t="s">
        <v>259</v>
      </c>
      <c r="F6" s="148" t="s">
        <v>260</v>
      </c>
      <c r="G6" s="143" t="s">
        <v>261</v>
      </c>
      <c r="H6" s="52" t="s">
        <v>243</v>
      </c>
      <c r="I6" s="10"/>
      <c r="J6" s="52" t="s">
        <v>429</v>
      </c>
      <c r="K6" s="52" t="s">
        <v>430</v>
      </c>
      <c r="L6" s="53" t="s">
        <v>431</v>
      </c>
      <c r="M6" s="148" t="s">
        <v>432</v>
      </c>
      <c r="N6" s="143" t="s">
        <v>433</v>
      </c>
      <c r="O6" s="52" t="s">
        <v>243</v>
      </c>
      <c r="P6" s="10"/>
      <c r="Q6" s="52" t="s">
        <v>434</v>
      </c>
      <c r="R6" s="52" t="s">
        <v>435</v>
      </c>
      <c r="S6" s="53" t="s">
        <v>436</v>
      </c>
      <c r="T6" s="148" t="s">
        <v>437</v>
      </c>
      <c r="U6" s="143" t="s">
        <v>438</v>
      </c>
      <c r="V6" s="52" t="s">
        <v>243</v>
      </c>
      <c r="X6" s="52" t="s">
        <v>439</v>
      </c>
      <c r="Y6" s="52" t="s">
        <v>440</v>
      </c>
      <c r="Z6" s="53" t="s">
        <v>441</v>
      </c>
      <c r="AA6" s="148" t="s">
        <v>442</v>
      </c>
      <c r="AB6" s="143" t="s">
        <v>443</v>
      </c>
      <c r="AC6" s="52" t="s">
        <v>243</v>
      </c>
      <c r="AE6" s="52" t="s">
        <v>444</v>
      </c>
      <c r="AF6" s="52" t="s">
        <v>445</v>
      </c>
      <c r="AG6" s="53" t="s">
        <v>446</v>
      </c>
      <c r="AH6" s="148" t="s">
        <v>447</v>
      </c>
      <c r="AI6" s="143" t="s">
        <v>448</v>
      </c>
      <c r="AJ6" s="52" t="s">
        <v>243</v>
      </c>
    </row>
    <row r="7" spans="2:36" ht="31.5" customHeight="1" x14ac:dyDescent="0.25">
      <c r="B7" s="46" t="s">
        <v>244</v>
      </c>
      <c r="C7" s="139">
        <f>SUM(('2025-2029 Category Detail'!B8*'2025-2029 Category Detail'!$I$8),('2025-2029 Category Detail'!B9*'2025-2029 Category Detail'!$I$9),('2025-2029 Category Detail'!B10*'2025-2029 Category Detail'!$I$10),('2025-2029 Category Detail'!B11*'2025-2029 Category Detail'!$I$11),('2025-2029 Category Detail'!B12*'2025-2029 Category Detail'!$I$12),('2025-2029 Category Detail'!B13*'2025-2029 Category Detail'!$I$13),('2025-2029 Category Detail'!B14*'2025-2029 Category Detail'!$I$14),('2025-2029 Category Detail'!B15*'2025-2029 Category Detail'!$I$15))</f>
        <v>23375</v>
      </c>
      <c r="D7" s="139">
        <f>SUM(('2025-2029 Category Detail'!C8*'2025-2029 Category Detail'!$I$8),('2025-2029 Category Detail'!C9*'2025-2029 Category Detail'!$I$9),('2025-2029 Category Detail'!C10*'2025-2029 Category Detail'!$I$10),('2025-2029 Category Detail'!C11*'2025-2029 Category Detail'!$I$11),('2025-2029 Category Detail'!C12*'2025-2029 Category Detail'!$I$12),('2025-2029 Category Detail'!C13*'2025-2029 Category Detail'!$I$13),('2025-2029 Category Detail'!C14*'2025-2029 Category Detail'!$I$14),('2025-2029 Category Detail'!C15*'2025-2029 Category Detail'!$I$15))</f>
        <v>70125</v>
      </c>
      <c r="E7" s="139">
        <f>SUM(('2025-2029 Category Detail'!D8*'2025-2029 Category Detail'!$I$8),('2025-2029 Category Detail'!D9*'2025-2029 Category Detail'!$I$9),('2025-2029 Category Detail'!D10*'2025-2029 Category Detail'!$I$10),('2025-2029 Category Detail'!D11*'2025-2029 Category Detail'!$I$11),('2025-2029 Category Detail'!D12*'2025-2029 Category Detail'!$I$12),('2025-2029 Category Detail'!D13*'2025-2029 Category Detail'!$I$13),('2025-2029 Category Detail'!D14*'2025-2029 Category Detail'!$I$14),('2025-2029 Category Detail'!D15*'2025-2029 Category Detail'!$I$15))</f>
        <v>0</v>
      </c>
      <c r="F7" s="149">
        <f t="shared" ref="F7:F16" si="0">SUM(C7:E7)</f>
        <v>93500</v>
      </c>
      <c r="G7" s="144">
        <f>SUM(('2025-2029 Category Detail'!F8*'2025-2029 Category Detail'!$I$8),('2025-2029 Category Detail'!F9*'2025-2029 Category Detail'!$I$9),('2025-2029 Category Detail'!F10*'2025-2029 Category Detail'!$I$10),('2025-2029 Category Detail'!F11*'2025-2029 Category Detail'!$I$11),('2025-2029 Category Detail'!F12*'2025-2029 Category Detail'!$I$12),('2025-2029 Category Detail'!F13*'2025-2029 Category Detail'!$I$13),('2025-2029 Category Detail'!F14*'2025-2029 Category Detail'!$I$14),('2025-2029 Category Detail'!F15*'2025-2029 Category Detail'!$I$15))</f>
        <v>3400</v>
      </c>
      <c r="H7" s="49">
        <f t="shared" ref="H7:H16" si="1">F7/$F$17</f>
        <v>0.22465160980297932</v>
      </c>
      <c r="I7" s="26"/>
      <c r="J7" s="139">
        <f>SUM(('2025-2029 Category Detail'!L8*'2025-2029 Category Detail'!$S$8),('2025-2029 Category Detail'!L9*'2025-2029 Category Detail'!$S$9),('2025-2029 Category Detail'!L10*'2025-2029 Category Detail'!$S$10),('2025-2029 Category Detail'!L11*'2025-2029 Category Detail'!$S$11),('2025-2029 Category Detail'!L12*'2025-2029 Category Detail'!$S$12),('2025-2029 Category Detail'!L13*'2025-2029 Category Detail'!$S$13),('2025-2029 Category Detail'!L14*'2025-2029 Category Detail'!$S$14),('2025-2029 Category Detail'!L15*'2025-2029 Category Detail'!$S$15))</f>
        <v>9887.5</v>
      </c>
      <c r="K7" s="139">
        <f>SUM(('2025-2029 Category Detail'!M8*'2025-2029 Category Detail'!$S$8),('2025-2029 Category Detail'!M9*'2025-2029 Category Detail'!$S$9),('2025-2029 Category Detail'!M10*'2025-2029 Category Detail'!$S$10),('2025-2029 Category Detail'!M11*'2025-2029 Category Detail'!$S$11),('2025-2029 Category Detail'!M12*'2025-2029 Category Detail'!$S$12),('2025-2029 Category Detail'!M13*'2025-2029 Category Detail'!$S$13),('2025-2029 Category Detail'!M14*'2025-2029 Category Detail'!$S$14),('2025-2029 Category Detail'!M15*'2025-2029 Category Detail'!$S$15))</f>
        <v>29575</v>
      </c>
      <c r="L7" s="139">
        <f>SUM(('2025-2029 Category Detail'!N8*'2025-2029 Category Detail'!$S$8),('2025-2029 Category Detail'!N9*'2025-2029 Category Detail'!$S$9),('2025-2029 Category Detail'!N10*'2025-2029 Category Detail'!$S$10),('2025-2029 Category Detail'!N11*'2025-2029 Category Detail'!$S$11),('2025-2029 Category Detail'!N12*'2025-2029 Category Detail'!$S$12),('2025-2029 Category Detail'!N13*'2025-2029 Category Detail'!$S$13),('2025-2029 Category Detail'!N14*'2025-2029 Category Detail'!$S$14),('2025-2029 Category Detail'!N15*'2025-2029 Category Detail'!$S$15))</f>
        <v>0</v>
      </c>
      <c r="M7" s="149">
        <f>SUM(J7:L7)</f>
        <v>39462.5</v>
      </c>
      <c r="N7" s="144">
        <f>SUM(('2025-2029 Category Detail'!P8*'2025-2029 Category Detail'!$S$8),('2025-2029 Category Detail'!P9*'2025-2029 Category Detail'!$S$9),('2025-2029 Category Detail'!P10*'2025-2029 Category Detail'!$S$10),('2025-2029 Category Detail'!P11*'2025-2029 Category Detail'!$S$11),('2025-2029 Category Detail'!P12*'2025-2029 Category Detail'!$S$12),('2025-2029 Category Detail'!P13*'2025-2029 Category Detail'!$S$13),('2025-2029 Category Detail'!P14*'2025-2029 Category Detail'!$S$14),('2025-2029 Category Detail'!P15*'2025-2029 Category Detail'!$S$15))</f>
        <v>1435</v>
      </c>
      <c r="O7" s="49">
        <f t="shared" ref="O7:O16" si="2">M7/$M$17</f>
        <v>0.106825026224072</v>
      </c>
      <c r="P7" s="10"/>
      <c r="Q7" s="139">
        <f>SUM(('2025-2029 Category Detail'!V8*'2025-2029 Category Detail'!$AC$8),('2025-2029 Category Detail'!V9*'2025-2029 Category Detail'!$AC$9),('2025-2029 Category Detail'!V10*'2025-2029 Category Detail'!$AC$10),('2025-2029 Category Detail'!V11*'2025-2029 Category Detail'!$AC$11),('2025-2029 Category Detail'!V12*'2025-2029 Category Detail'!$AC$12),('2025-2029 Category Detail'!V13*'2025-2029 Category Detail'!$AC$13),('2025-2029 Category Detail'!V14*'2025-2029 Category Detail'!$AC$14),('2025-2029 Category Detail'!V15*'2025-2029 Category Detail'!$AC$15))</f>
        <v>17400</v>
      </c>
      <c r="R7" s="139">
        <f>SUM(('2025-2029 Category Detail'!W8*'2025-2029 Category Detail'!$AC$8),('2025-2029 Category Detail'!W9*'2025-2029 Category Detail'!$AC$9),('2025-2029 Category Detail'!W10*'2025-2029 Category Detail'!$AC$10),('2025-2029 Category Detail'!W11*'2025-2029 Category Detail'!$AC$11),('2025-2029 Category Detail'!W12*'2025-2029 Category Detail'!$AC$12),('2025-2029 Category Detail'!W13*'2025-2029 Category Detail'!$AC$13),('2025-2029 Category Detail'!W14*'2025-2029 Category Detail'!$AC$14),('2025-2029 Category Detail'!W15*'2025-2029 Category Detail'!$AC$15))</f>
        <v>51900</v>
      </c>
      <c r="S7" s="139">
        <f>SUM(('2025-2029 Category Detail'!X8*'2025-2029 Category Detail'!$AC$8),('2025-2029 Category Detail'!X9*'2025-2029 Category Detail'!$AC$9),('2025-2029 Category Detail'!X10*'2025-2029 Category Detail'!$AC$10),('2025-2029 Category Detail'!X11*'2025-2029 Category Detail'!$AC$11),('2025-2029 Category Detail'!X12*'2025-2029 Category Detail'!$AC$12),('2025-2029 Category Detail'!X13*'2025-2029 Category Detail'!$AC$13),('2025-2029 Category Detail'!X14*'2025-2029 Category Detail'!$AC$14),('2025-2029 Category Detail'!X15*'2025-2029 Category Detail'!$AC$15))</f>
        <v>0</v>
      </c>
      <c r="T7" s="149">
        <f>SUM(Q7:S7)</f>
        <v>69300</v>
      </c>
      <c r="U7" s="144">
        <f>SUM(('2025-2029 Category Detail'!Z8*'2025-2029 Category Detail'!$AC$8),('2025-2029 Category Detail'!Z9*'2025-2029 Category Detail'!$AC$9),('2025-2029 Category Detail'!Z10*'2025-2029 Category Detail'!$AC$10),('2025-2029 Category Detail'!Z11*'2025-2029 Category Detail'!$AC$11),('2025-2029 Category Detail'!Z12*'2025-2029 Category Detail'!$AC$12),('2025-2029 Category Detail'!Z13*'2025-2029 Category Detail'!$AC$13),('2025-2029 Category Detail'!Z14*'2025-2029 Category Detail'!$AC$14),('2025-2029 Category Detail'!Z15*'2025-2029 Category Detail'!$AC$15))</f>
        <v>2520</v>
      </c>
      <c r="V7" s="49">
        <f t="shared" ref="V7:V16" si="3">T7/$T$17</f>
        <v>0.16732057705076356</v>
      </c>
      <c r="X7" s="139">
        <f>SUM(('2025-2029 Category Detail'!AF8*'2025-2029 Category Detail'!$AM$8),('2025-2029 Category Detail'!AF9*'2025-2029 Category Detail'!$AM$9),('2025-2029 Category Detail'!AF10*'2025-2029 Category Detail'!$AM$10),('2025-2029 Category Detail'!AF11*'2025-2029 Category Detail'!$AM$11),('2025-2029 Category Detail'!AF12*'2025-2029 Category Detail'!$AM$12),('2025-2029 Category Detail'!AF13*'2025-2029 Category Detail'!$AM$13),('2025-2029 Category Detail'!AF14*'2025-2029 Category Detail'!$AM$14),('2025-2029 Category Detail'!AF15*'2025-2029 Category Detail'!$AM$15))</f>
        <v>41300</v>
      </c>
      <c r="Y7" s="139">
        <f>SUM(('2025-2029 Category Detail'!AG8*'2025-2029 Category Detail'!$AM$8),('2025-2029 Category Detail'!AG9*'2025-2029 Category Detail'!$AM$9),('2025-2029 Category Detail'!AG10*'2025-2029 Category Detail'!$AM$10),('2025-2029 Category Detail'!AG11*'2025-2029 Category Detail'!$AM$11),('2025-2029 Category Detail'!AG12*'2025-2029 Category Detail'!$AM$12),('2025-2029 Category Detail'!AG13*'2025-2029 Category Detail'!$AM$13),('2025-2029 Category Detail'!AG14*'2025-2029 Category Detail'!$AM$14),('2025-2029 Category Detail'!AG15*'2025-2029 Category Detail'!$AM$15))</f>
        <v>124600</v>
      </c>
      <c r="Z7" s="139">
        <f>SUM(('2025-2029 Category Detail'!AH8*'2025-2029 Category Detail'!$AM$8),('2025-2029 Category Detail'!AH9*'2025-2029 Category Detail'!$AM$9),('2025-2029 Category Detail'!AH10*'2025-2029 Category Detail'!$AM$10),('2025-2029 Category Detail'!AH11*'2025-2029 Category Detail'!$AM$11),('2025-2029 Category Detail'!AH12*'2025-2029 Category Detail'!$AM$12),('2025-2029 Category Detail'!AH13*'2025-2029 Category Detail'!$AM$13),('2025-2029 Category Detail'!AH14*'2025-2029 Category Detail'!$AM$14),('2025-2029 Category Detail'!AH15*'2025-2029 Category Detail'!$AM$15))</f>
        <v>0</v>
      </c>
      <c r="AA7" s="149">
        <f>SUM(X7:Z7)</f>
        <v>165900</v>
      </c>
      <c r="AB7" s="139">
        <f>SUM(('2025-2029 Category Detail'!AJ8*'2025-2029 Category Detail'!$AM$8),('2025-2029 Category Detail'!AJ9*'2025-2029 Category Detail'!$AM$9),('2025-2029 Category Detail'!AJ10*'2025-2029 Category Detail'!$AM$10),('2025-2029 Category Detail'!AJ11*'2025-2029 Category Detail'!$AM$11),('2025-2029 Category Detail'!AJ12*'2025-2029 Category Detail'!$AM$12),('2025-2029 Category Detail'!AJ13*'2025-2029 Category Detail'!$AM$13),('2025-2029 Category Detail'!AJ14*'2025-2029 Category Detail'!$AM$14),('2025-2029 Category Detail'!AJ15*'2025-2029 Category Detail'!$AM$15))</f>
        <v>6020</v>
      </c>
      <c r="AC7" s="49">
        <f t="shared" ref="AC7:AC16" si="4">AA7/$AA$17</f>
        <v>0.37203565622021639</v>
      </c>
      <c r="AE7" s="139">
        <f>SUM(('2025-2029 Category Detail'!AP8*'2025-2029 Category Detail'!$AW$8),('2025-2029 Category Detail'!AP9*'2025-2029 Category Detail'!$AW$9),('2025-2029 Category Detail'!AP10*'2025-2029 Category Detail'!$AW$10),('2025-2029 Category Detail'!AP11*'2025-2029 Category Detail'!$AW$11),('2025-2029 Category Detail'!AP12*'2025-2029 Category Detail'!$AW$12),('2025-2029 Category Detail'!AP13*'2025-2029 Category Detail'!$AW$13),('2025-2029 Category Detail'!AP14*'2025-2029 Category Detail'!$AW$14),('2025-2029 Category Detail'!AP15*'2025-2029 Category Detail'!$AW$15))</f>
        <v>24400</v>
      </c>
      <c r="AF7" s="139">
        <f>SUM(('2025-2029 Category Detail'!AQ8*'2025-2029 Category Detail'!$AW$8),('2025-2029 Category Detail'!AQ9*'2025-2029 Category Detail'!$AW$9),('2025-2029 Category Detail'!AQ10*'2025-2029 Category Detail'!$AW$10),('2025-2029 Category Detail'!AQ11*'2025-2029 Category Detail'!$AW$11),('2025-2029 Category Detail'!AQ12*'2025-2029 Category Detail'!$AW$12),('2025-2029 Category Detail'!AQ13*'2025-2029 Category Detail'!$AW$13),('2025-2029 Category Detail'!AQ14*'2025-2029 Category Detail'!$AW$14),('2025-2029 Category Detail'!AQ15*'2025-2029 Category Detail'!$AW$15))</f>
        <v>72800</v>
      </c>
      <c r="AG7" s="139">
        <f>SUM(('2025-2029 Category Detail'!AR8*'2025-2029 Category Detail'!$AW$8),('2025-2029 Category Detail'!AR9*'2025-2029 Category Detail'!$AW$9),('2025-2029 Category Detail'!AR10*'2025-2029 Category Detail'!$AW$10),('2025-2029 Category Detail'!AR11*'2025-2029 Category Detail'!$AW$11),('2025-2029 Category Detail'!AR12*'2025-2029 Category Detail'!$AW$12),('2025-2029 Category Detail'!AR13*'2025-2029 Category Detail'!$AW$13),('2025-2029 Category Detail'!AR14*'2025-2029 Category Detail'!$AW$14),('2025-2029 Category Detail'!AR15*'2025-2029 Category Detail'!$AW$15))</f>
        <v>0</v>
      </c>
      <c r="AH7" s="149">
        <f>SUM(AE7:AG7)</f>
        <v>97200</v>
      </c>
      <c r="AI7" s="144">
        <f>SUM(('2025-2029 Category Detail'!AT8*'2025-2029 Category Detail'!$AW$8),('2025-2029 Category Detail'!AT9*'2025-2029 Category Detail'!$AW$9),('2025-2029 Category Detail'!AT10*'2025-2029 Category Detail'!$AW$10),('2025-2029 Category Detail'!AT11*'2025-2029 Category Detail'!$AW$11),('2025-2029 Category Detail'!AT12*'2025-2029 Category Detail'!$AW$12),('2025-2029 Category Detail'!AT13*'2025-2029 Category Detail'!$AW$13),('2025-2029 Category Detail'!AT14*'2025-2029 Category Detail'!$AW$14),('2025-2029 Category Detail'!AT15*'2025-2029 Category Detail'!$AW$15))</f>
        <v>3520</v>
      </c>
      <c r="AJ7" s="49">
        <f t="shared" ref="AJ7:AJ16" si="5">AH7/$AH$17</f>
        <v>0.25080634756805575</v>
      </c>
    </row>
    <row r="8" spans="2:36" ht="31.5" customHeight="1" x14ac:dyDescent="0.25">
      <c r="B8" s="46" t="s">
        <v>246</v>
      </c>
      <c r="C8" s="139">
        <f>SUM(('2025-2029 Category Detail'!B17*'2025-2029 Category Detail'!$I$17),('2025-2029 Category Detail'!B18*'2025-2029 Category Detail'!$I$18),('2025-2029 Category Detail'!B19*'2025-2029 Category Detail'!$I$19),('2025-2029 Category Detail'!B20*'2025-2029 Category Detail'!$I$20),('2025-2029 Category Detail'!B21*'2025-2029 Category Detail'!$I$21),('2025-2029 Category Detail'!B22*'2025-2029 Category Detail'!$I$22))</f>
        <v>13750</v>
      </c>
      <c r="D8" s="139">
        <f>SUM(('2025-2029 Category Detail'!C17*'2025-2029 Category Detail'!$I$17),('2025-2029 Category Detail'!C18*'2025-2029 Category Detail'!$I$18),('2025-2029 Category Detail'!C19*'2025-2029 Category Detail'!$I$19),('2025-2029 Category Detail'!C20*'2025-2029 Category Detail'!$I$20),('2025-2029 Category Detail'!C21*'2025-2029 Category Detail'!$I$21),('2025-2029 Category Detail'!C22*'2025-2029 Category Detail'!$I$22))</f>
        <v>100000</v>
      </c>
      <c r="E8" s="139">
        <f>SUM(('2025-2029 Category Detail'!D17*'2025-2029 Category Detail'!$I$17),('2025-2029 Category Detail'!D18*'2025-2029 Category Detail'!$I$18),('2025-2029 Category Detail'!D19*'2025-2029 Category Detail'!$I$19),('2025-2029 Category Detail'!D20*'2025-2029 Category Detail'!$I$20),('2025-2029 Category Detail'!D21*'2025-2029 Category Detail'!$I$21),('2025-2029 Category Detail'!D22*'2025-2029 Category Detail'!$I$22))</f>
        <v>0</v>
      </c>
      <c r="F8" s="149">
        <f t="shared" si="0"/>
        <v>113750</v>
      </c>
      <c r="G8" s="144">
        <f>SUM(('2025-2029 Category Detail'!F17*'2025-2029 Category Detail'!$I$17),('2025-2029 Category Detail'!F18*'2025-2029 Category Detail'!$I$18),('2025-2029 Category Detail'!F19*'2025-2029 Category Detail'!$I$19),('2025-2029 Category Detail'!F20*'2025-2029 Category Detail'!$I$20),('2025-2029 Category Detail'!F21*'2025-2029 Category Detail'!$I$21),('2025-2029 Category Detail'!F22*'2025-2029 Category Detail'!$I$22))</f>
        <v>2000</v>
      </c>
      <c r="H8" s="49">
        <f t="shared" si="1"/>
        <v>0.27330610283517542</v>
      </c>
      <c r="I8" s="27"/>
      <c r="J8" s="139">
        <f>SUM(('2025-2029 Category Detail'!L17*'2025-2029 Category Detail'!$S$17),('2025-2029 Category Detail'!L18*'2025-2029 Category Detail'!$S$18),('2025-2029 Category Detail'!L19*'2025-2029 Category Detail'!$S$19),('2025-2029 Category Detail'!L20*'2025-2029 Category Detail'!$S$20),('2025-2029 Category Detail'!L21*'2025-2029 Category Detail'!$S$21),('2025-2029 Category Detail'!L22*'2025-2029 Category Detail'!$S$22))</f>
        <v>16950</v>
      </c>
      <c r="K8" s="139">
        <f>SUM(('2025-2029 Category Detail'!M17*'2025-2029 Category Detail'!$S$17),('2025-2029 Category Detail'!M18*'2025-2029 Category Detail'!$S$18),('2025-2029 Category Detail'!M19*'2025-2029 Category Detail'!$S$19),('2025-2029 Category Detail'!M20*'2025-2029 Category Detail'!$S$20),('2025-2029 Category Detail'!M21*'2025-2029 Category Detail'!$S$21),('2025-2029 Category Detail'!M22*'2025-2029 Category Detail'!$S$22))</f>
        <v>123000</v>
      </c>
      <c r="L8" s="139">
        <f>SUM(('2025-2029 Category Detail'!N17*'2025-2029 Category Detail'!$S$17),('2025-2029 Category Detail'!N18*'2025-2029 Category Detail'!$S$18),('2025-2029 Category Detail'!N19*'2025-2029 Category Detail'!$S$19),('2025-2029 Category Detail'!N20*'2025-2029 Category Detail'!$S$20),('2025-2029 Category Detail'!N21*'2025-2029 Category Detail'!$S$21),('2025-2029 Category Detail'!N22*'2025-2029 Category Detail'!$S$22))</f>
        <v>0</v>
      </c>
      <c r="M8" s="149">
        <f t="shared" ref="M8:M16" si="6">SUM(J8:L8)</f>
        <v>139950</v>
      </c>
      <c r="N8" s="144">
        <f>SUM(('2025-2029 Category Detail'!P17*'2025-2029 Category Detail'!$S$17),('2025-2029 Category Detail'!P18*'2025-2029 Category Detail'!$S$18),('2025-2029 Category Detail'!P19*'2025-2029 Category Detail'!$S$19),('2025-2029 Category Detail'!P20*'2025-2029 Category Detail'!$S$20),('2025-2029 Category Detail'!P21*'2025-2029 Category Detail'!$S$21),('2025-2029 Category Detail'!P22*'2025-2029 Category Detail'!$S$22))</f>
        <v>2460</v>
      </c>
      <c r="O8" s="49">
        <f t="shared" si="2"/>
        <v>0.37884478733123539</v>
      </c>
      <c r="P8" s="10"/>
      <c r="Q8" s="139">
        <f>SUM(('2025-2029 Category Detail'!V17*'2025-2029 Category Detail'!$AC$17),('2025-2029 Category Detail'!V18*'2025-2029 Category Detail'!$AC$18),('2025-2029 Category Detail'!V19*'2025-2029 Category Detail'!$AC$19),('2025-2029 Category Detail'!V20*'2025-2029 Category Detail'!$AC$20),('2025-2029 Category Detail'!V21*'2025-2029 Category Detail'!$AC$21),('2025-2029 Category Detail'!V22*'2025-2029 Category Detail'!$AC$22))</f>
        <v>13050</v>
      </c>
      <c r="R8" s="139">
        <f>SUM(('2025-2029 Category Detail'!W17*'2025-2029 Category Detail'!$AC$17),('2025-2029 Category Detail'!W18*'2025-2029 Category Detail'!$AC$18),('2025-2029 Category Detail'!W19*'2025-2029 Category Detail'!$AC$19),('2025-2029 Category Detail'!W20*'2025-2029 Category Detail'!$AC$20),('2025-2029 Category Detail'!W21*'2025-2029 Category Detail'!$AC$21),('2025-2029 Category Detail'!W22*'2025-2029 Category Detail'!$AC$22))</f>
        <v>94500</v>
      </c>
      <c r="S8" s="139">
        <f>SUM(('2025-2029 Category Detail'!X17*'2025-2029 Category Detail'!$AC$17),('2025-2029 Category Detail'!X18*'2025-2029 Category Detail'!$AC$18),('2025-2029 Category Detail'!X19*'2025-2029 Category Detail'!$AC$19),('2025-2029 Category Detail'!X20*'2025-2029 Category Detail'!$AC$20),('2025-2029 Category Detail'!X21*'2025-2029 Category Detail'!$AC$21),('2025-2029 Category Detail'!X22*'2025-2029 Category Detail'!$AC$22))</f>
        <v>0</v>
      </c>
      <c r="T8" s="149">
        <f t="shared" ref="T8:T16" si="7">SUM(Q8:S8)</f>
        <v>107550</v>
      </c>
      <c r="U8" s="144">
        <f>SUM(('2025-2029 Category Detail'!Z17*'2025-2029 Category Detail'!$AC$17),('2025-2029 Category Detail'!Z18*'2025-2029 Category Detail'!$AC$18),('2025-2029 Category Detail'!Z19*'2025-2029 Category Detail'!$AC$19),('2025-2029 Category Detail'!Z20*'2025-2029 Category Detail'!$AC$20),('2025-2029 Category Detail'!Z21*'2025-2029 Category Detail'!$AC$21),('2025-2029 Category Detail'!Z22*'2025-2029 Category Detail'!$AC$22))</f>
        <v>1890</v>
      </c>
      <c r="V8" s="49">
        <f t="shared" si="3"/>
        <v>0.25967284360475645</v>
      </c>
      <c r="X8" s="139">
        <f>SUM(('2025-2029 Category Detail'!AF17*'2025-2029 Category Detail'!$AM$17),('2025-2029 Category Detail'!AF18*'2025-2029 Category Detail'!$AM$18),('2025-2029 Category Detail'!AF19*'2025-2029 Category Detail'!$AM$19),('2025-2029 Category Detail'!AF20*'2025-2029 Category Detail'!$AM$20),('2025-2029 Category Detail'!AF21*'2025-2029 Category Detail'!$AM$21),('2025-2029 Category Detail'!AF22*'2025-2029 Category Detail'!$AM$22))</f>
        <v>0</v>
      </c>
      <c r="Y8" s="139">
        <f>SUM(('2025-2029 Category Detail'!AG17*'2025-2029 Category Detail'!$AM$17),('2025-2029 Category Detail'!AG18*'2025-2029 Category Detail'!$AM$18),('2025-2029 Category Detail'!AG19*'2025-2029 Category Detail'!$AM$19),('2025-2029 Category Detail'!AG20*'2025-2029 Category Detail'!$AM$20),('2025-2029 Category Detail'!AG21*'2025-2029 Category Detail'!$AM$21),('2025-2029 Category Detail'!AG22*'2025-2029 Category Detail'!$AM$22))</f>
        <v>0</v>
      </c>
      <c r="Z8" s="139">
        <f>SUM(('2025-2029 Category Detail'!AH17*'2025-2029 Category Detail'!$AM$17),('2025-2029 Category Detail'!AH18*'2025-2029 Category Detail'!$AM$18),('2025-2029 Category Detail'!AH19*'2025-2029 Category Detail'!$AM$19),('2025-2029 Category Detail'!AH20*'2025-2029 Category Detail'!$AM$20),('2025-2029 Category Detail'!AH21*'2025-2029 Category Detail'!$AM$21),('2025-2029 Category Detail'!AH22*'2025-2029 Category Detail'!$AM$22))</f>
        <v>0</v>
      </c>
      <c r="AA8" s="149">
        <f t="shared" ref="AA8:AA16" si="8">SUM(X8:Z8)</f>
        <v>0</v>
      </c>
      <c r="AB8" s="139">
        <f>SUM(('2025-2029 Category Detail'!AJ17*'2025-2029 Category Detail'!$AM$17),('2025-2029 Category Detail'!AJ18*'2025-2029 Category Detail'!$AM$18),('2025-2029 Category Detail'!AJ19*'2025-2029 Category Detail'!$AM$19),('2025-2029 Category Detail'!AJ20*'2025-2029 Category Detail'!$AM$20),('2025-2029 Category Detail'!AJ21*'2025-2029 Category Detail'!$AM$21),('2025-2029 Category Detail'!AJ22*'2025-2029 Category Detail'!$AM$22))</f>
        <v>0</v>
      </c>
      <c r="AC8" s="49">
        <f t="shared" si="4"/>
        <v>0</v>
      </c>
      <c r="AE8" s="139">
        <f>SUM(('2025-2029 Category Detail'!AP17*'2025-2029 Category Detail'!$AW$17),('2025-2029 Category Detail'!AP18*'2025-2029 Category Detail'!$AW$18),('2025-2029 Category Detail'!AP19*'2025-2029 Category Detail'!$AW$19),('2025-2029 Category Detail'!AP20*'2025-2029 Category Detail'!$AW$20),('2025-2029 Category Detail'!AP21*'2025-2029 Category Detail'!$AW$21),('2025-2029 Category Detail'!AP22*'2025-2029 Category Detail'!$AW$22))</f>
        <v>9150</v>
      </c>
      <c r="AF8" s="139">
        <f>SUM(('2025-2029 Category Detail'!AQ17*'2025-2029 Category Detail'!$AW$17),('2025-2029 Category Detail'!AQ18*'2025-2029 Category Detail'!$AW$18),('2025-2029 Category Detail'!AQ19*'2025-2029 Category Detail'!$AW$19),('2025-2029 Category Detail'!AQ20*'2025-2029 Category Detail'!$AW$20),('2025-2029 Category Detail'!AQ21*'2025-2029 Category Detail'!$AW$21),('2025-2029 Category Detail'!AQ22*'2025-2029 Category Detail'!$AW$22))</f>
        <v>66300</v>
      </c>
      <c r="AG8" s="139">
        <f>SUM(('2025-2029 Category Detail'!AR17*'2025-2029 Category Detail'!$AW$17),('2025-2029 Category Detail'!AR18*'2025-2029 Category Detail'!$AW$18),('2025-2029 Category Detail'!AR19*'2025-2029 Category Detail'!$AW$19),('2025-2029 Category Detail'!AR20*'2025-2029 Category Detail'!$AW$20),('2025-2029 Category Detail'!AR21*'2025-2029 Category Detail'!$AW$21),('2025-2029 Category Detail'!AR22*'2025-2029 Category Detail'!$AW$22))</f>
        <v>0</v>
      </c>
      <c r="AH8" s="149">
        <f t="shared" ref="AH8:AH16" si="9">SUM(AE8:AG8)</f>
        <v>75450</v>
      </c>
      <c r="AI8" s="144">
        <f>SUM(('2025-2029 Category Detail'!AT17*'2025-2029 Category Detail'!$AW$17),('2025-2029 Category Detail'!AT18*'2025-2029 Category Detail'!$AW$18),('2025-2029 Category Detail'!AT19*'2025-2029 Category Detail'!$AW$19),('2025-2029 Category Detail'!AT20*'2025-2029 Category Detail'!$AW$20),('2025-2029 Category Detail'!AT21*'2025-2029 Category Detail'!$AW$21),('2025-2029 Category Detail'!AT22*'2025-2029 Category Detail'!$AW$22))</f>
        <v>1320</v>
      </c>
      <c r="AJ8" s="49">
        <f t="shared" si="5"/>
        <v>0.19468455683137659</v>
      </c>
    </row>
    <row r="9" spans="2:36" ht="31.5" customHeight="1" x14ac:dyDescent="0.25">
      <c r="B9" s="46" t="s">
        <v>247</v>
      </c>
      <c r="C9" s="139">
        <f>SUM(('2025-2029 Category Detail'!B24*'2025-2029 Category Detail'!$I$24),('2025-2029 Category Detail'!B25*'2025-2029 Category Detail'!$I$25),('2025-2029 Category Detail'!B26*'2025-2029 Category Detail'!$I$26))</f>
        <v>7500</v>
      </c>
      <c r="D9" s="139">
        <f>SUM(('2025-2029 Category Detail'!C24*'2025-2029 Category Detail'!$I$24),('2025-2029 Category Detail'!C25*'2025-2029 Category Detail'!$I$25),('2025-2029 Category Detail'!C26*'2025-2029 Category Detail'!$I$26))</f>
        <v>47375</v>
      </c>
      <c r="E9" s="139">
        <f>SUM(('2025-2029 Category Detail'!D24*'2025-2029 Category Detail'!$I$24),('2025-2029 Category Detail'!D25*'2025-2029 Category Detail'!$I$25),('2025-2029 Category Detail'!D26*'2025-2029 Category Detail'!$I$26))</f>
        <v>0</v>
      </c>
      <c r="F9" s="149">
        <f t="shared" si="0"/>
        <v>54875</v>
      </c>
      <c r="G9" s="144">
        <f>SUM(('2025-2029 Category Detail'!F24*'2025-2029 Category Detail'!$I$24),('2025-2029 Category Detail'!F25*'2025-2029 Category Detail'!$I$25),('2025-2029 Category Detail'!F26*'2025-2029 Category Detail'!$I$26))</f>
        <v>250</v>
      </c>
      <c r="H9" s="49">
        <f t="shared" si="1"/>
        <v>0.13184766938971648</v>
      </c>
      <c r="I9" s="27"/>
      <c r="J9" s="139">
        <f>SUM(('2025-2029 Category Detail'!L24*'2025-2029 Category Detail'!$S$24),('2025-2029 Category Detail'!L25*'2025-2029 Category Detail'!$S$25),('2025-2029 Category Detail'!L26*'2025-2029 Category Detail'!$S$26))</f>
        <v>0</v>
      </c>
      <c r="K9" s="139">
        <f>SUM(('2025-2029 Category Detail'!M24*'2025-2029 Category Detail'!$S$24),('2025-2029 Category Detail'!M25*'2025-2029 Category Detail'!$S$25),('2025-2029 Category Detail'!M26*'2025-2029 Category Detail'!$S$26))</f>
        <v>47775</v>
      </c>
      <c r="L9" s="139">
        <f>SUM(('2025-2029 Category Detail'!N24*'2025-2029 Category Detail'!$S$24),('2025-2029 Category Detail'!N25*'2025-2029 Category Detail'!$S$25),('2025-2029 Category Detail'!N26*'2025-2029 Category Detail'!$S$26))</f>
        <v>0</v>
      </c>
      <c r="M9" s="149">
        <f t="shared" si="6"/>
        <v>47775</v>
      </c>
      <c r="N9" s="144">
        <f>SUM(('2025-2029 Category Detail'!P24*'2025-2029 Category Detail'!$S$24),('2025-2029 Category Detail'!P25*'2025-2029 Category Detail'!$S$25),('2025-2029 Category Detail'!P26*'2025-2029 Category Detail'!$S$26))</f>
        <v>125</v>
      </c>
      <c r="O9" s="49">
        <f t="shared" si="2"/>
        <v>0.12932697188102732</v>
      </c>
      <c r="P9" s="10"/>
      <c r="Q9" s="139">
        <f>SUM(('2025-2029 Category Detail'!V24*'2025-2029 Category Detail'!$AC$24),('2025-2029 Category Detail'!V25*'2025-2029 Category Detail'!$AC$25),('2025-2029 Category Detail'!V26*'2025-2029 Category Detail'!$AC$26))</f>
        <v>3750</v>
      </c>
      <c r="R9" s="139">
        <f>SUM(('2025-2029 Category Detail'!W24*'2025-2029 Category Detail'!$AC$24),('2025-2029 Category Detail'!W25*'2025-2029 Category Detail'!$AC$25),('2025-2029 Category Detail'!W26*'2025-2029 Category Detail'!$AC$26))</f>
        <v>50950</v>
      </c>
      <c r="S9" s="139">
        <f>SUM(('2025-2029 Category Detail'!X24*'2025-2029 Category Detail'!$AC$24),('2025-2029 Category Detail'!X25*'2025-2029 Category Detail'!$AC$25),('2025-2029 Category Detail'!X26*'2025-2029 Category Detail'!$AC$26))</f>
        <v>0</v>
      </c>
      <c r="T9" s="149">
        <f t="shared" si="7"/>
        <v>54700</v>
      </c>
      <c r="U9" s="144">
        <f>SUM(('2025-2029 Category Detail'!Z24*'2025-2029 Category Detail'!$AC$24),('2025-2029 Category Detail'!Z25*'2025-2029 Category Detail'!$AC$25),('2025-2029 Category Detail'!Z26*'2025-2029 Category Detail'!$AC$26))</f>
        <v>0</v>
      </c>
      <c r="V9" s="49">
        <f t="shared" si="3"/>
        <v>0.13206977726806302</v>
      </c>
      <c r="X9" s="139">
        <f>SUM(('2025-2029 Category Detail'!AF24*'2025-2029 Category Detail'!$AM$24),('2025-2029 Category Detail'!AF25*'2025-2029 Category Detail'!$AM$25),('2025-2029 Category Detail'!AF26*'2025-2029 Category Detail'!$AM$26))</f>
        <v>0</v>
      </c>
      <c r="Y9" s="139">
        <f>SUM(('2025-2029 Category Detail'!AG24*'2025-2029 Category Detail'!$AM$24),('2025-2029 Category Detail'!AG25*'2025-2029 Category Detail'!$AM$25),('2025-2029 Category Detail'!AG26*'2025-2029 Category Detail'!$AM$26))</f>
        <v>49650</v>
      </c>
      <c r="Z9" s="139">
        <f>SUM(('2025-2029 Category Detail'!AH24*'2025-2029 Category Detail'!$AM$24),('2025-2029 Category Detail'!AH25*'2025-2029 Category Detail'!$AM$25),('2025-2029 Category Detail'!AH26*'2025-2029 Category Detail'!$AM$26))</f>
        <v>0</v>
      </c>
      <c r="AA9" s="149">
        <f t="shared" si="8"/>
        <v>49650</v>
      </c>
      <c r="AB9" s="139">
        <f>SUM(('2025-2029 Category Detail'!AJ24*'2025-2029 Category Detail'!$AM$24),('2025-2029 Category Detail'!AJ25*'2025-2029 Category Detail'!$AM$25),('2025-2029 Category Detail'!AJ26*'2025-2029 Category Detail'!$AM$26))</f>
        <v>0</v>
      </c>
      <c r="AC9" s="49">
        <f t="shared" si="4"/>
        <v>0.11134159331726187</v>
      </c>
      <c r="AE9" s="139">
        <f>SUM(('2025-2029 Category Detail'!AP24*'2025-2029 Category Detail'!$AW$24),('2025-2029 Category Detail'!AP25*'2025-2029 Category Detail'!$AW$25),('2025-2029 Category Detail'!AP26*'2025-2029 Category Detail'!$AW$26))</f>
        <v>0</v>
      </c>
      <c r="AF9" s="139">
        <f>SUM(('2025-2029 Category Detail'!AQ24*'2025-2029 Category Detail'!$AW$24),('2025-2029 Category Detail'!AQ25*'2025-2029 Category Detail'!$AW$25),('2025-2029 Category Detail'!AQ26*'2025-2029 Category Detail'!$AW$26))</f>
        <v>53050</v>
      </c>
      <c r="AG9" s="139">
        <f>SUM(('2025-2029 Category Detail'!AR24*'2025-2029 Category Detail'!$AW$24),('2025-2029 Category Detail'!AR25*'2025-2029 Category Detail'!$AW$25),('2025-2029 Category Detail'!AR26*'2025-2029 Category Detail'!$AW$26))</f>
        <v>0</v>
      </c>
      <c r="AH9" s="149">
        <f t="shared" si="9"/>
        <v>53050</v>
      </c>
      <c r="AI9" s="144">
        <f>SUM(('2025-2029 Category Detail'!AT24*'2025-2029 Category Detail'!$AW$24),('2025-2029 Category Detail'!AT25*'2025-2029 Category Detail'!$AW$25),('2025-2029 Category Detail'!AT26*'2025-2029 Category Detail'!$AW$26))</f>
        <v>125</v>
      </c>
      <c r="AJ9" s="49">
        <f t="shared" si="5"/>
        <v>0.13688556315314154</v>
      </c>
    </row>
    <row r="10" spans="2:36" ht="31.5" customHeight="1" x14ac:dyDescent="0.25">
      <c r="B10" s="28" t="s">
        <v>248</v>
      </c>
      <c r="C10" s="140">
        <f>SUM(('2025-2029 Category Detail'!B28*'2025-2029 Category Detail'!$I$28),('2025-2029 Category Detail'!B29*'2025-2029 Category Detail'!$I$29),('2025-2029 Category Detail'!B30*'2025-2029 Category Detail'!$I$30))</f>
        <v>15000</v>
      </c>
      <c r="D10" s="140">
        <f>SUM(('2025-2029 Category Detail'!C28*'2025-2029 Category Detail'!$I$28),('2025-2029 Category Detail'!C29*'2025-2029 Category Detail'!$I$29),('2025-2029 Category Detail'!C30*'2025-2029 Category Detail'!$I$30))</f>
        <v>11250</v>
      </c>
      <c r="E10" s="140">
        <f>SUM(('2025-2029 Category Detail'!D28*'2025-2029 Category Detail'!$I$28),('2025-2029 Category Detail'!D29*'2025-2029 Category Detail'!$I$29),('2025-2029 Category Detail'!D30*'2025-2029 Category Detail'!$I$30))</f>
        <v>0</v>
      </c>
      <c r="F10" s="150">
        <f t="shared" si="0"/>
        <v>26250</v>
      </c>
      <c r="G10" s="145">
        <f>SUM(('2025-2029 Category Detail'!F28*'2025-2029 Category Detail'!$I$28),('2025-2029 Category Detail'!F29*'2025-2029 Category Detail'!$I$29),('2025-2029 Category Detail'!F30*'2025-2029 Category Detail'!$I$30))</f>
        <v>3000</v>
      </c>
      <c r="H10" s="32">
        <f t="shared" si="1"/>
        <v>6.3070639115809707E-2</v>
      </c>
      <c r="I10" s="26"/>
      <c r="J10" s="140">
        <f>SUM(('2025-2029 Category Detail'!L28*'2025-2029 Category Detail'!$S$28),('2025-2029 Category Detail'!L29*'2025-2029 Category Detail'!$S$29),('2025-2029 Category Detail'!L30*'2025-2029 Category Detail'!$S$30))</f>
        <v>7500</v>
      </c>
      <c r="K10" s="140">
        <f>SUM(('2025-2029 Category Detail'!M28*'2025-2029 Category Detail'!$S$28),('2025-2029 Category Detail'!M29*'2025-2029 Category Detail'!$S$29),('2025-2029 Category Detail'!M30*'2025-2029 Category Detail'!$S$30))</f>
        <v>7500</v>
      </c>
      <c r="L10" s="140">
        <f>SUM(('2025-2029 Category Detail'!N28*'2025-2029 Category Detail'!$S$28),('2025-2029 Category Detail'!N29*'2025-2029 Category Detail'!$S$29),('2025-2029 Category Detail'!N30*'2025-2029 Category Detail'!$S$30))</f>
        <v>0</v>
      </c>
      <c r="M10" s="150">
        <f t="shared" si="6"/>
        <v>15000</v>
      </c>
      <c r="N10" s="145">
        <f>SUM(('2025-2029 Category Detail'!P28*'2025-2029 Category Detail'!$S$28),('2025-2029 Category Detail'!P29*'2025-2029 Category Detail'!$S$29),('2025-2029 Category Detail'!P30*'2025-2029 Category Detail'!$S$30))</f>
        <v>3000</v>
      </c>
      <c r="O10" s="32">
        <f t="shared" si="2"/>
        <v>4.0605014719317836E-2</v>
      </c>
      <c r="P10" s="10"/>
      <c r="Q10" s="140">
        <f>SUM(('2025-2029 Category Detail'!V28*'2025-2029 Category Detail'!$AC$28),('2025-2029 Category Detail'!V29*'2025-2029 Category Detail'!$AC$29),('2025-2029 Category Detail'!V30*'2025-2029 Category Detail'!$AC$30))</f>
        <v>7500</v>
      </c>
      <c r="R10" s="140">
        <f>SUM(('2025-2029 Category Detail'!W28*'2025-2029 Category Detail'!$AC$28),('2025-2029 Category Detail'!W29*'2025-2029 Category Detail'!$AC$29),('2025-2029 Category Detail'!W30*'2025-2029 Category Detail'!$AC$30))</f>
        <v>17500</v>
      </c>
      <c r="S10" s="140">
        <f>SUM(('2025-2029 Category Detail'!X28*'2025-2029 Category Detail'!$AC$28),('2025-2029 Category Detail'!X29*'2025-2029 Category Detail'!$AC$29),('2025-2029 Category Detail'!X30*'2025-2029 Category Detail'!$AC$30))</f>
        <v>0</v>
      </c>
      <c r="T10" s="150">
        <f t="shared" si="7"/>
        <v>25000</v>
      </c>
      <c r="U10" s="145">
        <f>SUM(('2025-2029 Category Detail'!Z28*'2025-2029 Category Detail'!$AC$28),('2025-2029 Category Detail'!Z29*'2025-2029 Category Detail'!$AC$29),('2025-2029 Category Detail'!Z30*'2025-2029 Category Detail'!$AC$30))</f>
        <v>1000</v>
      </c>
      <c r="V10" s="32">
        <f t="shared" si="3"/>
        <v>6.0360958532021489E-2</v>
      </c>
      <c r="X10" s="140">
        <f>SUM(('2025-2029 Category Detail'!AF28*'2025-2029 Category Detail'!$AM$28),('2025-2029 Category Detail'!AF29*'2025-2029 Category Detail'!$AM$29),('2025-2029 Category Detail'!AF30*'2025-2029 Category Detail'!$AM$30))</f>
        <v>35000</v>
      </c>
      <c r="Y10" s="140">
        <f>SUM(('2025-2029 Category Detail'!AG28*'2025-2029 Category Detail'!$AM$28),('2025-2029 Category Detail'!AG29*'2025-2029 Category Detail'!$AM$29),('2025-2029 Category Detail'!AG30*'2025-2029 Category Detail'!$AM$30))</f>
        <v>11250</v>
      </c>
      <c r="Z10" s="140">
        <f>SUM(('2025-2029 Category Detail'!AH28*'2025-2029 Category Detail'!$AM$28),('2025-2029 Category Detail'!AH29*'2025-2029 Category Detail'!$AM$29),('2025-2029 Category Detail'!AH30*'2025-2029 Category Detail'!$AM$30))</f>
        <v>0</v>
      </c>
      <c r="AA10" s="150">
        <f t="shared" si="8"/>
        <v>46250</v>
      </c>
      <c r="AB10" s="140">
        <f>SUM(('2025-2029 Category Detail'!AJ28*'2025-2029 Category Detail'!$AM$28),('2025-2029 Category Detail'!AJ29*'2025-2029 Category Detail'!$AM$29),('2025-2029 Category Detail'!AJ30*'2025-2029 Category Detail'!$AM$30))</f>
        <v>375</v>
      </c>
      <c r="AC10" s="32">
        <f t="shared" si="4"/>
        <v>0.10371699276784213</v>
      </c>
      <c r="AE10" s="140">
        <f>SUM(('2025-2029 Category Detail'!AP28*'2025-2029 Category Detail'!$AW$28),('2025-2029 Category Detail'!AP29*'2025-2029 Category Detail'!$AW$29),('2025-2029 Category Detail'!AP30*'2025-2029 Category Detail'!$AW$30))</f>
        <v>7500</v>
      </c>
      <c r="AF10" s="140">
        <f>SUM(('2025-2029 Category Detail'!AQ28*'2025-2029 Category Detail'!$AW$28),('2025-2029 Category Detail'!AQ29*'2025-2029 Category Detail'!$AW$29),('2025-2029 Category Detail'!AQ30*'2025-2029 Category Detail'!$AW$30))</f>
        <v>6250</v>
      </c>
      <c r="AG10" s="140">
        <f>SUM(('2025-2029 Category Detail'!AR28*'2025-2029 Category Detail'!$AW$28),('2025-2029 Category Detail'!AR29*'2025-2029 Category Detail'!$AW$29),('2025-2029 Category Detail'!AR30*'2025-2029 Category Detail'!$AW$30))</f>
        <v>0</v>
      </c>
      <c r="AH10" s="150">
        <f t="shared" si="9"/>
        <v>13750</v>
      </c>
      <c r="AI10" s="145">
        <f>SUM(('2025-2029 Category Detail'!AT28*'2025-2029 Category Detail'!$AW$28),('2025-2029 Category Detail'!AT29*'2025-2029 Category Detail'!$AW$29),('2025-2029 Category Detail'!AT30*'2025-2029 Category Detail'!$AW$30))</f>
        <v>1375</v>
      </c>
      <c r="AJ10" s="39">
        <f t="shared" si="5"/>
        <v>3.5479292994452329E-2</v>
      </c>
    </row>
    <row r="11" spans="2:36" ht="31.5" customHeight="1" x14ac:dyDescent="0.25">
      <c r="B11" s="28" t="s">
        <v>250</v>
      </c>
      <c r="C11" s="140">
        <f>SUM(('2025-2029 Category Detail'!B32*'2025-2029 Category Detail'!$I$32),('2025-2029 Category Detail'!B33*'2025-2029 Category Detail'!$I$33),('2025-2029 Category Detail'!B34*'2025-2029 Category Detail'!$I$34),('2025-2029 Category Detail'!B35*'2025-2029 Category Detail'!$I$35),('2025-2029 Category Detail'!B36*'2025-2029 Category Detail'!$I$36))</f>
        <v>12500</v>
      </c>
      <c r="D11" s="140">
        <f>SUM(('2025-2029 Category Detail'!C32*'2025-2029 Category Detail'!$I$32),('2025-2029 Category Detail'!C33*'2025-2029 Category Detail'!$I$33),('2025-2029 Category Detail'!C34*'2025-2029 Category Detail'!$I$34),('2025-2029 Category Detail'!C35*'2025-2029 Category Detail'!$I$35),('2025-2029 Category Detail'!C36*'2025-2029 Category Detail'!$I$36))</f>
        <v>3150</v>
      </c>
      <c r="E11" s="140">
        <f>SUM(('2025-2029 Category Detail'!D32*'2025-2029 Category Detail'!$I$32),('2025-2029 Category Detail'!D33*'2025-2029 Category Detail'!$I$33),('2025-2029 Category Detail'!D34*'2025-2029 Category Detail'!$I$34),('2025-2029 Category Detail'!D35*'2025-2029 Category Detail'!$I$35),('2025-2029 Category Detail'!D36*'2025-2029 Category Detail'!$I$36))</f>
        <v>0</v>
      </c>
      <c r="F11" s="150">
        <f t="shared" si="0"/>
        <v>15650</v>
      </c>
      <c r="G11" s="145">
        <f>SUM(('2025-2029 Category Detail'!F32*'2025-2029 Category Detail'!$I$32),('2025-2029 Category Detail'!F33*'2025-2029 Category Detail'!$I$33),('2025-2029 Category Detail'!F34*'2025-2029 Category Detail'!$I$34),('2025-2029 Category Detail'!F35*'2025-2029 Category Detail'!$I$35),('2025-2029 Category Detail'!F36*'2025-2029 Category Detail'!$I$36))</f>
        <v>2500</v>
      </c>
      <c r="H11" s="32">
        <f t="shared" si="1"/>
        <v>3.7602114368092264E-2</v>
      </c>
      <c r="I11" s="27"/>
      <c r="J11" s="140">
        <f>SUM(('2025-2029 Category Detail'!L32*'2025-2029 Category Detail'!$S$32),('2025-2029 Category Detail'!L33*'2025-2029 Category Detail'!$S$33),('2025-2029 Category Detail'!L34*'2025-2029 Category Detail'!$S$34),('2025-2029 Category Detail'!L35*'2025-2029 Category Detail'!$S$35),('2025-2029 Category Detail'!L36*'2025-2029 Category Detail'!$S$36))</f>
        <v>10925</v>
      </c>
      <c r="K11" s="140">
        <f>SUM(('2025-2029 Category Detail'!M32*'2025-2029 Category Detail'!$S$32),('2025-2029 Category Detail'!M33*'2025-2029 Category Detail'!$S$33),('2025-2029 Category Detail'!M34*'2025-2029 Category Detail'!$S$34),('2025-2029 Category Detail'!M35*'2025-2029 Category Detail'!$S$35),('2025-2029 Category Detail'!M36*'2025-2029 Category Detail'!$S$36))</f>
        <v>1275</v>
      </c>
      <c r="L11" s="140">
        <f>SUM(('2025-2029 Category Detail'!N32*'2025-2029 Category Detail'!$S$32),('2025-2029 Category Detail'!N33*'2025-2029 Category Detail'!$S$33),('2025-2029 Category Detail'!N34*'2025-2029 Category Detail'!$S$34),('2025-2029 Category Detail'!N35*'2025-2029 Category Detail'!$S$35),('2025-2029 Category Detail'!N36*'2025-2029 Category Detail'!$S$36))</f>
        <v>0</v>
      </c>
      <c r="M11" s="150">
        <f t="shared" si="6"/>
        <v>12200</v>
      </c>
      <c r="N11" s="145">
        <f>SUM(('2025-2029 Category Detail'!P32*'2025-2029 Category Detail'!$S$32),('2025-2029 Category Detail'!P33*'2025-2029 Category Detail'!$S$33),('2025-2029 Category Detail'!P34*'2025-2029 Category Detail'!$S$34),('2025-2029 Category Detail'!P35*'2025-2029 Category Detail'!$S$35),('2025-2029 Category Detail'!P36*'2025-2029 Category Detail'!$S$36))</f>
        <v>3250</v>
      </c>
      <c r="O11" s="32">
        <f t="shared" si="2"/>
        <v>3.3025411971711841E-2</v>
      </c>
      <c r="P11" s="10"/>
      <c r="Q11" s="140">
        <f>SUM(('2025-2029 Category Detail'!V32*'2025-2029 Category Detail'!$AC$32),('2025-2029 Category Detail'!V33*'2025-2029 Category Detail'!$AC$33),('2025-2029 Category Detail'!V34*'2025-2029 Category Detail'!$AC$34),('2025-2029 Category Detail'!V35*'2025-2029 Category Detail'!$AC$35),('2025-2029 Category Detail'!V36*'2025-2029 Category Detail'!$AC$36))</f>
        <v>37500</v>
      </c>
      <c r="R11" s="140">
        <f>SUM(('2025-2029 Category Detail'!W32*'2025-2029 Category Detail'!$AC$32),('2025-2029 Category Detail'!W33*'2025-2029 Category Detail'!$AC$33),('2025-2029 Category Detail'!W34*'2025-2029 Category Detail'!$AC$34),('2025-2029 Category Detail'!W35*'2025-2029 Category Detail'!$AC$35),('2025-2029 Category Detail'!W36*'2025-2029 Category Detail'!$AC$36))</f>
        <v>3750</v>
      </c>
      <c r="S11" s="140">
        <f>SUM(('2025-2029 Category Detail'!X32*'2025-2029 Category Detail'!$AC$32),('2025-2029 Category Detail'!X33*'2025-2029 Category Detail'!$AC$33),('2025-2029 Category Detail'!X34*'2025-2029 Category Detail'!$AC$34),('2025-2029 Category Detail'!X35*'2025-2029 Category Detail'!$AC$35),('2025-2029 Category Detail'!X36*'2025-2029 Category Detail'!$AC$36))</f>
        <v>0</v>
      </c>
      <c r="T11" s="150">
        <f t="shared" si="7"/>
        <v>41250</v>
      </c>
      <c r="U11" s="145">
        <f>SUM(('2025-2029 Category Detail'!Z32*'2025-2029 Category Detail'!$AC$32),('2025-2029 Category Detail'!Z33*'2025-2029 Category Detail'!$AC$33),('2025-2029 Category Detail'!Z34*'2025-2029 Category Detail'!$AC$34),('2025-2029 Category Detail'!Z35*'2025-2029 Category Detail'!$AC$35),('2025-2029 Category Detail'!Z36*'2025-2029 Category Detail'!$AC$36))</f>
        <v>7310</v>
      </c>
      <c r="V11" s="32">
        <f t="shared" si="3"/>
        <v>9.9595581577835463E-2</v>
      </c>
      <c r="X11" s="140">
        <f>SUM(('2025-2029 Category Detail'!AF32*'2025-2029 Category Detail'!$AM$32),('2025-2029 Category Detail'!AF33*'2025-2029 Category Detail'!$AM$33),('2025-2029 Category Detail'!AF34*'2025-2029 Category Detail'!$AM$34),('2025-2029 Category Detail'!AF35*'2025-2029 Category Detail'!$AM$35),('2025-2029 Category Detail'!AF36*'2025-2029 Category Detail'!$AM$36))</f>
        <v>50000</v>
      </c>
      <c r="Y11" s="140">
        <f>SUM(('2025-2029 Category Detail'!AG32*'2025-2029 Category Detail'!$AM$32),('2025-2029 Category Detail'!AG33*'2025-2029 Category Detail'!$AM$33),('2025-2029 Category Detail'!AG34*'2025-2029 Category Detail'!$AM$34),('2025-2029 Category Detail'!AG35*'2025-2029 Category Detail'!$AM$35),('2025-2029 Category Detail'!AG36*'2025-2029 Category Detail'!$AM$36))</f>
        <v>12500</v>
      </c>
      <c r="Z11" s="140">
        <f>SUM(('2025-2029 Category Detail'!AH32*'2025-2029 Category Detail'!$AM$32),('2025-2029 Category Detail'!AH33*'2025-2029 Category Detail'!$AM$33),('2025-2029 Category Detail'!AH34*'2025-2029 Category Detail'!$AM$34),('2025-2029 Category Detail'!AH35*'2025-2029 Category Detail'!$AM$35),('2025-2029 Category Detail'!AH36*'2025-2029 Category Detail'!$AM$36))</f>
        <v>0</v>
      </c>
      <c r="AA11" s="150">
        <f t="shared" si="8"/>
        <v>62500</v>
      </c>
      <c r="AB11" s="140">
        <f>SUM(('2025-2029 Category Detail'!AJ32*'2025-2029 Category Detail'!$AM$32),('2025-2029 Category Detail'!AJ33*'2025-2029 Category Detail'!$AM$33),('2025-2029 Category Detail'!AJ34*'2025-2029 Category Detail'!$AM$34),('2025-2029 Category Detail'!AJ35*'2025-2029 Category Detail'!$AM$35),('2025-2029 Category Detail'!AJ36*'2025-2029 Category Detail'!$AM$36))</f>
        <v>8750</v>
      </c>
      <c r="AC11" s="32">
        <f t="shared" si="4"/>
        <v>0.14015809833492179</v>
      </c>
      <c r="AE11" s="140">
        <f>SUM(('2025-2029 Category Detail'!AP32*'2025-2029 Category Detail'!$AW$32),('2025-2029 Category Detail'!AP33*'2025-2029 Category Detail'!$AW$33),('2025-2029 Category Detail'!AP34*'2025-2029 Category Detail'!$AW$34),('2025-2029 Category Detail'!AP35*'2025-2029 Category Detail'!$AW$35),('2025-2029 Category Detail'!AP36*'2025-2029 Category Detail'!$AW$36))</f>
        <v>22500</v>
      </c>
      <c r="AF11" s="140">
        <f>SUM(('2025-2029 Category Detail'!AQ32*'2025-2029 Category Detail'!$AW$32),('2025-2029 Category Detail'!AQ33*'2025-2029 Category Detail'!$AW$33),('2025-2029 Category Detail'!AQ34*'2025-2029 Category Detail'!$AW$34),('2025-2029 Category Detail'!AQ35*'2025-2029 Category Detail'!$AW$35),('2025-2029 Category Detail'!AQ36*'2025-2029 Category Detail'!$AW$36))</f>
        <v>2425</v>
      </c>
      <c r="AG11" s="140">
        <f>SUM(('2025-2029 Category Detail'!AR32*'2025-2029 Category Detail'!$AW$32),('2025-2029 Category Detail'!AR33*'2025-2029 Category Detail'!$AW$33),('2025-2029 Category Detail'!AR34*'2025-2029 Category Detail'!$AW$34),('2025-2029 Category Detail'!AR35*'2025-2029 Category Detail'!$AW$35),('2025-2029 Category Detail'!AR36*'2025-2029 Category Detail'!$AW$36))</f>
        <v>0</v>
      </c>
      <c r="AH11" s="150">
        <f t="shared" si="9"/>
        <v>24925</v>
      </c>
      <c r="AI11" s="145">
        <f>SUM(('2025-2029 Category Detail'!AT32*'2025-2029 Category Detail'!$AW$32),('2025-2029 Category Detail'!AT33*'2025-2029 Category Detail'!$AW$33),('2025-2029 Category Detail'!AT34*'2025-2029 Category Detail'!$AW$34),('2025-2029 Category Detail'!AT35*'2025-2029 Category Detail'!$AW$35),('2025-2029 Category Detail'!AT36*'2025-2029 Category Detail'!$AW$36))</f>
        <v>5000</v>
      </c>
      <c r="AJ11" s="39">
        <f t="shared" si="5"/>
        <v>6.4314282028125405E-2</v>
      </c>
    </row>
    <row r="12" spans="2:36" ht="31.5" customHeight="1" x14ac:dyDescent="0.25">
      <c r="B12" s="34" t="s">
        <v>251</v>
      </c>
      <c r="C12" s="141">
        <f>SUM(('2025-2029 Category Detail'!B38*'2025-2029 Category Detail'!$I$38),('2025-2029 Category Detail'!B39*'2025-2029 Category Detail'!$I$39),('2025-2029 Category Detail'!B40*'2025-2029 Category Detail'!$I$40))</f>
        <v>0</v>
      </c>
      <c r="D12" s="141">
        <f>SUM(('2025-2029 Category Detail'!C38*'2025-2029 Category Detail'!$I$38),('2025-2029 Category Detail'!C39*'2025-2029 Category Detail'!$I$39),('2025-2029 Category Detail'!C40*'2025-2029 Category Detail'!$I$40))</f>
        <v>0</v>
      </c>
      <c r="E12" s="141">
        <f>SUM(('2025-2029 Category Detail'!D38*'2025-2029 Category Detail'!$I$38),('2025-2029 Category Detail'!D39*'2025-2029 Category Detail'!$I$39),('2025-2029 Category Detail'!D40*'2025-2029 Category Detail'!$I$40))</f>
        <v>0</v>
      </c>
      <c r="F12" s="151">
        <f t="shared" si="0"/>
        <v>0</v>
      </c>
      <c r="G12" s="146">
        <f>SUM(('2025-2029 Category Detail'!F38*'2025-2029 Category Detail'!$I$38),('2025-2029 Category Detail'!F39*'2025-2029 Category Detail'!$I$39),('2025-2029 Category Detail'!F40*'2025-2029 Category Detail'!$I$40))</f>
        <v>0</v>
      </c>
      <c r="H12" s="38">
        <f t="shared" si="1"/>
        <v>0</v>
      </c>
      <c r="I12" s="27"/>
      <c r="J12" s="141">
        <f>SUM(('2025-2029 Category Detail'!L38*'2025-2029 Category Detail'!$S$38),('2025-2029 Category Detail'!L39*'2025-2029 Category Detail'!$S$39),('2025-2029 Category Detail'!L40*'2025-2029 Category Detail'!$S$40))</f>
        <v>0</v>
      </c>
      <c r="K12" s="141">
        <f>SUM(('2025-2029 Category Detail'!M38*'2025-2029 Category Detail'!$S$38),('2025-2029 Category Detail'!M39*'2025-2029 Category Detail'!$S$39),('2025-2029 Category Detail'!M40*'2025-2029 Category Detail'!$S$40))</f>
        <v>0</v>
      </c>
      <c r="L12" s="141">
        <f>SUM(('2025-2029 Category Detail'!N38*'2025-2029 Category Detail'!$S$38),('2025-2029 Category Detail'!N39*'2025-2029 Category Detail'!$S$39),('2025-2029 Category Detail'!N40*'2025-2029 Category Detail'!$S$40))</f>
        <v>0</v>
      </c>
      <c r="M12" s="151">
        <f t="shared" si="6"/>
        <v>0</v>
      </c>
      <c r="N12" s="146">
        <f>SUM(('2025-2029 Category Detail'!P38*'2025-2029 Category Detail'!$S$38),('2025-2029 Category Detail'!P39*'2025-2029 Category Detail'!$S$39),('2025-2029 Category Detail'!P40*'2025-2029 Category Detail'!$S$40))</f>
        <v>0</v>
      </c>
      <c r="O12" s="38">
        <f t="shared" si="2"/>
        <v>0</v>
      </c>
      <c r="P12" s="10"/>
      <c r="Q12" s="141">
        <f>SUM(('2025-2029 Category Detail'!V38*'2025-2029 Category Detail'!$AC$38),('2025-2029 Category Detail'!V39*'2025-2029 Category Detail'!$AC$39),('2025-2029 Category Detail'!V40*'2025-2029 Category Detail'!$AC$40))</f>
        <v>0</v>
      </c>
      <c r="R12" s="141">
        <f>SUM(('2025-2029 Category Detail'!W38*'2025-2029 Category Detail'!$AC$38),('2025-2029 Category Detail'!W39*'2025-2029 Category Detail'!$AC$39),('2025-2029 Category Detail'!W40*'2025-2029 Category Detail'!$AC$40))</f>
        <v>0</v>
      </c>
      <c r="S12" s="141">
        <f>SUM(('2025-2029 Category Detail'!X38*'2025-2029 Category Detail'!$AC$38),('2025-2029 Category Detail'!X39*'2025-2029 Category Detail'!$AC$39),('2025-2029 Category Detail'!X40*'2025-2029 Category Detail'!$AC$40))</f>
        <v>0</v>
      </c>
      <c r="T12" s="151">
        <f t="shared" si="7"/>
        <v>0</v>
      </c>
      <c r="U12" s="146">
        <f>SUM(('2025-2029 Category Detail'!Z38*'2025-2029 Category Detail'!$AC$38),('2025-2029 Category Detail'!Z39*'2025-2029 Category Detail'!$AC$39),('2025-2029 Category Detail'!Z40*'2025-2029 Category Detail'!$AC$40))</f>
        <v>0</v>
      </c>
      <c r="V12" s="38">
        <f t="shared" si="3"/>
        <v>0</v>
      </c>
      <c r="X12" s="141">
        <f>SUM(('2025-2029 Category Detail'!AF38*'2025-2029 Category Detail'!$AM$38),('2025-2029 Category Detail'!AF39*'2025-2029 Category Detail'!$AM$39),('2025-2029 Category Detail'!AF40*'2025-2029 Category Detail'!$AM$40))</f>
        <v>0</v>
      </c>
      <c r="Y12" s="141">
        <f>SUM(('2025-2029 Category Detail'!AG38*'2025-2029 Category Detail'!$AM$38),('2025-2029 Category Detail'!AG39*'2025-2029 Category Detail'!$AM$39),('2025-2029 Category Detail'!AG40*'2025-2029 Category Detail'!$AM$40))</f>
        <v>0</v>
      </c>
      <c r="Z12" s="141">
        <f>SUM(('2025-2029 Category Detail'!AH38*'2025-2029 Category Detail'!$AM$38),('2025-2029 Category Detail'!AH39*'2025-2029 Category Detail'!$AM$39),('2025-2029 Category Detail'!AH40*'2025-2029 Category Detail'!$AM$40))</f>
        <v>0</v>
      </c>
      <c r="AA12" s="151">
        <f t="shared" si="8"/>
        <v>0</v>
      </c>
      <c r="AB12" s="141">
        <f>SUM(('2025-2029 Category Detail'!AJ38*'2025-2029 Category Detail'!$AM$38),('2025-2029 Category Detail'!AJ39*'2025-2029 Category Detail'!$AM$39),('2025-2029 Category Detail'!AJ40*'2025-2029 Category Detail'!$AM$40))</f>
        <v>0</v>
      </c>
      <c r="AC12" s="38">
        <f t="shared" si="4"/>
        <v>0</v>
      </c>
      <c r="AE12" s="141">
        <f>SUM(('2025-2029 Category Detail'!AP38*'2025-2029 Category Detail'!$AW$38),('2025-2029 Category Detail'!AP39*'2025-2029 Category Detail'!$AW$39),('2025-2029 Category Detail'!AP40*'2025-2029 Category Detail'!$AW$40))</f>
        <v>0</v>
      </c>
      <c r="AF12" s="141">
        <f>SUM(('2025-2029 Category Detail'!AQ38*'2025-2029 Category Detail'!$AW$38),('2025-2029 Category Detail'!AQ39*'2025-2029 Category Detail'!$AW$39),('2025-2029 Category Detail'!AQ40*'2025-2029 Category Detail'!$AW$40))</f>
        <v>0</v>
      </c>
      <c r="AG12" s="141">
        <f>SUM(('2025-2029 Category Detail'!AR38*'2025-2029 Category Detail'!$AW$38),('2025-2029 Category Detail'!AR39*'2025-2029 Category Detail'!$AW$39),('2025-2029 Category Detail'!AR40*'2025-2029 Category Detail'!$AW$40))</f>
        <v>0</v>
      </c>
      <c r="AH12" s="151">
        <f t="shared" si="9"/>
        <v>0</v>
      </c>
      <c r="AI12" s="146">
        <f>SUM(('2025-2029 Category Detail'!AT38*'2025-2029 Category Detail'!$AW$38),('2025-2029 Category Detail'!AT39*'2025-2029 Category Detail'!$AW$39),('2025-2029 Category Detail'!AT40*'2025-2029 Category Detail'!$AW$40))</f>
        <v>0</v>
      </c>
      <c r="AJ12" s="38">
        <f t="shared" si="5"/>
        <v>0</v>
      </c>
    </row>
    <row r="13" spans="2:36" ht="31.5" hidden="1" customHeight="1" x14ac:dyDescent="0.25">
      <c r="B13" s="34" t="s">
        <v>334</v>
      </c>
      <c r="C13" s="141">
        <f>SUM(('2025-2029 Category Detail'!B42*'2025-2029 Category Detail'!$I$42),('2025-2029 Category Detail'!B43*'2025-2029 Category Detail'!$I$43))</f>
        <v>0</v>
      </c>
      <c r="D13" s="141">
        <f>SUM(('2025-2029 Category Detail'!C42*'2025-2029 Category Detail'!$I$42),('2025-2029 Category Detail'!C43*'2025-2029 Category Detail'!$I$43))</f>
        <v>0</v>
      </c>
      <c r="E13" s="141">
        <f>SUM(('2025-2029 Category Detail'!D42*'2025-2029 Category Detail'!$I$42),('2025-2029 Category Detail'!D43*'2025-2029 Category Detail'!$I$43))</f>
        <v>0</v>
      </c>
      <c r="F13" s="151">
        <f t="shared" si="0"/>
        <v>0</v>
      </c>
      <c r="G13" s="146">
        <f>SUM(('2025-2029 Category Detail'!F42*'2025-2029 Category Detail'!$I$42),('2025-2029 Category Detail'!F43*'2025-2029 Category Detail'!$I$43))</f>
        <v>0</v>
      </c>
      <c r="H13" s="38">
        <f t="shared" si="1"/>
        <v>0</v>
      </c>
      <c r="I13" s="27"/>
      <c r="J13" s="141">
        <f>SUM(('2025-2029 Category Detail'!L42*'2025-2029 Category Detail'!$S$42),('2025-2029 Category Detail'!L43*'2025-2029 Category Detail'!$S$43))</f>
        <v>0</v>
      </c>
      <c r="K13" s="141">
        <f>SUM(('2025-2029 Category Detail'!M42*'2025-2029 Category Detail'!$S$42),('2025-2029 Category Detail'!M43*'2025-2029 Category Detail'!$S$43))</f>
        <v>0</v>
      </c>
      <c r="L13" s="141">
        <f>SUM(('2025-2029 Category Detail'!N42*'2025-2029 Category Detail'!$S$42),('2025-2029 Category Detail'!N43*'2025-2029 Category Detail'!$S$43))</f>
        <v>0</v>
      </c>
      <c r="M13" s="151">
        <f t="shared" si="6"/>
        <v>0</v>
      </c>
      <c r="N13" s="146">
        <f>SUM(('2025-2029 Category Detail'!P42*'2025-2029 Category Detail'!$S$42),('2025-2029 Category Detail'!P43*'2025-2029 Category Detail'!$S$43))</f>
        <v>0</v>
      </c>
      <c r="O13" s="38">
        <f t="shared" si="2"/>
        <v>0</v>
      </c>
      <c r="P13" s="10"/>
      <c r="Q13" s="141">
        <f>SUM(('2025-2029 Category Detail'!V42*'2025-2029 Category Detail'!$AC$42),('2025-2029 Category Detail'!V43*'2025-2029 Category Detail'!$AC$43))</f>
        <v>0</v>
      </c>
      <c r="R13" s="141">
        <f>SUM(('2025-2029 Category Detail'!W42*'2025-2029 Category Detail'!$AC$42),('2025-2029 Category Detail'!W43*'2025-2029 Category Detail'!$AC$43))</f>
        <v>0</v>
      </c>
      <c r="S13" s="141">
        <f>SUM(('2025-2029 Category Detail'!X42*'2025-2029 Category Detail'!$AC$42),('2025-2029 Category Detail'!X43*'2025-2029 Category Detail'!$AC$43))</f>
        <v>0</v>
      </c>
      <c r="T13" s="151">
        <f t="shared" si="7"/>
        <v>0</v>
      </c>
      <c r="U13" s="146">
        <f>SUM(('2025-2029 Category Detail'!Z42*'2025-2029 Category Detail'!$AC$42),('2025-2029 Category Detail'!Z43*'2025-2029 Category Detail'!$AC$43))</f>
        <v>0</v>
      </c>
      <c r="V13" s="38">
        <f t="shared" si="3"/>
        <v>0</v>
      </c>
      <c r="X13" s="141">
        <f>SUM(('2025-2029 Category Detail'!AF42*'2025-2029 Category Detail'!$AM$42),('2025-2029 Category Detail'!AF43*'2025-2029 Category Detail'!$AM$43))</f>
        <v>0</v>
      </c>
      <c r="Y13" s="141">
        <f>SUM(('2025-2029 Category Detail'!AG42*'2025-2029 Category Detail'!$AM$42),('2025-2029 Category Detail'!AG43*'2025-2029 Category Detail'!$AM$43))</f>
        <v>0</v>
      </c>
      <c r="Z13" s="141">
        <f>SUM(('2025-2029 Category Detail'!AH42*'2025-2029 Category Detail'!$AM$42),('2025-2029 Category Detail'!AH43*'2025-2029 Category Detail'!$AM$43))</f>
        <v>0</v>
      </c>
      <c r="AA13" s="151">
        <f t="shared" si="8"/>
        <v>0</v>
      </c>
      <c r="AB13" s="141">
        <f>SUM(('2025-2029 Category Detail'!AJ42*'2025-2029 Category Detail'!$AM$42),('2025-2029 Category Detail'!AJ43*'2025-2029 Category Detail'!$AM$43))</f>
        <v>0</v>
      </c>
      <c r="AC13" s="38">
        <f t="shared" si="4"/>
        <v>0</v>
      </c>
      <c r="AE13" s="141">
        <f>SUM(('2025-2029 Category Detail'!AP42*'2025-2029 Category Detail'!$AW$42),('2025-2029 Category Detail'!AP43*'2025-2029 Category Detail'!$AW$43))</f>
        <v>0</v>
      </c>
      <c r="AF13" s="141">
        <f>SUM(('2025-2029 Category Detail'!AQ42*'2025-2029 Category Detail'!$AW$42),('2025-2029 Category Detail'!AQ43*'2025-2029 Category Detail'!$AW$43))</f>
        <v>0</v>
      </c>
      <c r="AG13" s="141">
        <f>SUM(('2025-2029 Category Detail'!AR42*'2025-2029 Category Detail'!$AW$42),('2025-2029 Category Detail'!AR43*'2025-2029 Category Detail'!$AW$43))</f>
        <v>0</v>
      </c>
      <c r="AH13" s="151">
        <f t="shared" si="9"/>
        <v>0</v>
      </c>
      <c r="AI13" s="146">
        <f>SUM(('2025-2029 Category Detail'!AT42*'2025-2029 Category Detail'!$AW$42),('2025-2029 Category Detail'!AT43*'2025-2029 Category Detail'!$AW$43))</f>
        <v>0</v>
      </c>
      <c r="AJ13" s="38">
        <f t="shared" si="5"/>
        <v>0</v>
      </c>
    </row>
    <row r="14" spans="2:36" ht="31.5" customHeight="1" x14ac:dyDescent="0.25">
      <c r="B14" s="58" t="s">
        <v>253</v>
      </c>
      <c r="C14" s="142">
        <f>SUM(('2025-2029 Category Detail'!B45*'2025-2029 Category Detail'!$I$45),('2025-2029 Category Detail'!B46*'2025-2029 Category Detail'!$I$46))</f>
        <v>42050</v>
      </c>
      <c r="D14" s="142">
        <f>SUM(('2025-2029 Category Detail'!C45*'2025-2029 Category Detail'!$I$45),('2025-2029 Category Detail'!C46*'2025-2029 Category Detail'!$I$46))</f>
        <v>27500</v>
      </c>
      <c r="E14" s="142">
        <f>SUM(('2025-2029 Category Detail'!D45*'2025-2029 Category Detail'!$I$45),('2025-2029 Category Detail'!D46*'2025-2029 Category Detail'!$I$46))</f>
        <v>0</v>
      </c>
      <c r="F14" s="152">
        <f t="shared" si="0"/>
        <v>69550</v>
      </c>
      <c r="G14" s="147">
        <f>SUM(('2025-2029 Category Detail'!F45*'2025-2029 Category Detail'!$I$45),('2025-2029 Category Detail'!F46*'2025-2029 Category Detail'!$I$46))</f>
        <v>2500</v>
      </c>
      <c r="H14" s="62">
        <f t="shared" si="1"/>
        <v>0.16710716001922152</v>
      </c>
      <c r="I14" s="27"/>
      <c r="J14" s="142">
        <f>SUM(('2025-2029 Category Detail'!L45*'2025-2029 Category Detail'!$S$45),('2025-2029 Category Detail'!L46*'2025-2029 Category Detail'!$S$46))</f>
        <v>42325</v>
      </c>
      <c r="K14" s="142">
        <f>SUM(('2025-2029 Category Detail'!M45*'2025-2029 Category Detail'!$S$45),('2025-2029 Category Detail'!M46*'2025-2029 Category Detail'!$S$46))</f>
        <v>28200</v>
      </c>
      <c r="L14" s="142">
        <f>SUM(('2025-2029 Category Detail'!N45*'2025-2029 Category Detail'!$S$45),('2025-2029 Category Detail'!N46*'2025-2029 Category Detail'!$S$46))</f>
        <v>0</v>
      </c>
      <c r="M14" s="152">
        <f t="shared" si="6"/>
        <v>70525</v>
      </c>
      <c r="N14" s="147">
        <f>SUM(('2025-2029 Category Detail'!P45*'2025-2029 Category Detail'!$S$45),('2025-2029 Category Detail'!P46*'2025-2029 Category Detail'!$S$46))</f>
        <v>2750</v>
      </c>
      <c r="O14" s="62">
        <f t="shared" si="2"/>
        <v>0.19091124420532601</v>
      </c>
      <c r="P14" s="10"/>
      <c r="Q14" s="142">
        <f>SUM(('2025-2029 Category Detail'!V45*'2025-2029 Category Detail'!$AC$45),('2025-2029 Category Detail'!V46*'2025-2029 Category Detail'!$AC$46))</f>
        <v>42600</v>
      </c>
      <c r="R14" s="142">
        <f>SUM(('2025-2029 Category Detail'!W45*'2025-2029 Category Detail'!$AC$45),('2025-2029 Category Detail'!W46*'2025-2029 Category Detail'!$AC$46))</f>
        <v>28900</v>
      </c>
      <c r="S14" s="142">
        <f>SUM(('2025-2029 Category Detail'!X45*'2025-2029 Category Detail'!$AC$45),('2025-2029 Category Detail'!X46*'2025-2029 Category Detail'!$AC$46))</f>
        <v>0</v>
      </c>
      <c r="T14" s="152">
        <f t="shared" si="7"/>
        <v>71500</v>
      </c>
      <c r="U14" s="147">
        <f>SUM(('2025-2029 Category Detail'!Z45*'2025-2029 Category Detail'!$AC$45),('2025-2029 Category Detail'!Z46*'2025-2029 Category Detail'!$AC$46))</f>
        <v>2750</v>
      </c>
      <c r="V14" s="62">
        <f t="shared" si="3"/>
        <v>0.17263234140158146</v>
      </c>
      <c r="X14" s="142">
        <f>SUM(('2025-2029 Category Detail'!AF45*'2025-2029 Category Detail'!$AM$45),('2025-2029 Category Detail'!AF46*'2025-2029 Category Detail'!$AM$46))</f>
        <v>45250</v>
      </c>
      <c r="Y14" s="142">
        <f>SUM(('2025-2029 Category Detail'!AG45*'2025-2029 Category Detail'!$AM$45),('2025-2029 Category Detail'!AG46*'2025-2029 Category Detail'!$AM$46))</f>
        <v>29625</v>
      </c>
      <c r="Z14" s="142">
        <f>SUM(('2025-2029 Category Detail'!AH45*'2025-2029 Category Detail'!$AM$45),('2025-2029 Category Detail'!AH46*'2025-2029 Category Detail'!$AM$46))</f>
        <v>0</v>
      </c>
      <c r="AA14" s="152">
        <f t="shared" si="8"/>
        <v>74875</v>
      </c>
      <c r="AB14" s="142">
        <f>SUM(('2025-2029 Category Detail'!AJ45*'2025-2029 Category Detail'!$AM$45),('2025-2029 Category Detail'!AJ46*'2025-2029 Category Detail'!$AM$46))</f>
        <v>2750</v>
      </c>
      <c r="AC14" s="62">
        <f t="shared" si="4"/>
        <v>0.16790940180523631</v>
      </c>
      <c r="AE14" s="142">
        <f>SUM(('2025-2029 Category Detail'!AP45*'2025-2029 Category Detail'!$AW$45),('2025-2029 Category Detail'!AP46*'2025-2029 Category Detail'!$AW$46))</f>
        <v>45675</v>
      </c>
      <c r="AF14" s="142">
        <f>SUM(('2025-2029 Category Detail'!AQ45*'2025-2029 Category Detail'!$AW$45),('2025-2029 Category Detail'!AQ46*'2025-2029 Category Detail'!$AW$46))</f>
        <v>30375</v>
      </c>
      <c r="AG14" s="142">
        <f>SUM(('2025-2029 Category Detail'!AR45*'2025-2029 Category Detail'!$AW$45),('2025-2029 Category Detail'!AR46*'2025-2029 Category Detail'!$AW$46))</f>
        <v>0</v>
      </c>
      <c r="AH14" s="152">
        <f t="shared" si="9"/>
        <v>76050</v>
      </c>
      <c r="AI14" s="147">
        <f>SUM(('2025-2029 Category Detail'!AT45*'2025-2029 Category Detail'!$AW$45),('2025-2029 Category Detail'!AT46*'2025-2029 Category Detail'!$AW$46))</f>
        <v>2750</v>
      </c>
      <c r="AJ14" s="62">
        <f t="shared" si="5"/>
        <v>0.19623274416204362</v>
      </c>
    </row>
    <row r="15" spans="2:36" ht="31.5" customHeight="1" x14ac:dyDescent="0.25">
      <c r="B15" s="58" t="s">
        <v>252</v>
      </c>
      <c r="C15" s="142">
        <f>SUM(('2025-2029 Category Detail'!B48*'2025-2029 Category Detail'!$I$48),('2025-2029 Category Detail'!B49*'2025-2029 Category Detail'!$I$49))</f>
        <v>0</v>
      </c>
      <c r="D15" s="142">
        <f>SUM(('2025-2029 Category Detail'!C48*'2025-2029 Category Detail'!$I$48),('2025-2029 Category Detail'!C49*'2025-2029 Category Detail'!$I$49))</f>
        <v>0</v>
      </c>
      <c r="E15" s="142">
        <f>SUM(('2025-2029 Category Detail'!D48*'2025-2029 Category Detail'!$I$48),('2025-2029 Category Detail'!D49*'2025-2029 Category Detail'!$I$49))</f>
        <v>0</v>
      </c>
      <c r="F15" s="152">
        <f t="shared" si="0"/>
        <v>0</v>
      </c>
      <c r="G15" s="147">
        <f>SUM(('2025-2029 Category Detail'!F48*'2025-2029 Category Detail'!$I$48),('2025-2029 Category Detail'!F49*'2025-2029 Category Detail'!$I$49))</f>
        <v>0</v>
      </c>
      <c r="H15" s="62">
        <f t="shared" si="1"/>
        <v>0</v>
      </c>
      <c r="I15" s="26"/>
      <c r="J15" s="142">
        <f>SUM(('2025-2029 Category Detail'!L48*'2025-2029 Category Detail'!$S$48),('2025-2029 Category Detail'!L49*'2025-2029 Category Detail'!$S$49))</f>
        <v>0</v>
      </c>
      <c r="K15" s="142">
        <f>SUM(('2025-2029 Category Detail'!M48*'2025-2029 Category Detail'!$S$48),('2025-2029 Category Detail'!M49*'2025-2029 Category Detail'!$S$49))</f>
        <v>0</v>
      </c>
      <c r="L15" s="142">
        <f>SUM(('2025-2029 Category Detail'!N48*'2025-2029 Category Detail'!$S$48),('2025-2029 Category Detail'!N49*'2025-2029 Category Detail'!$S$49))</f>
        <v>0</v>
      </c>
      <c r="M15" s="152">
        <f t="shared" si="6"/>
        <v>0</v>
      </c>
      <c r="N15" s="147">
        <f>SUM(('2025-2029 Category Detail'!P48*'2025-2029 Category Detail'!$S$48),('2025-2029 Category Detail'!P49*'2025-2029 Category Detail'!$S$49))</f>
        <v>0</v>
      </c>
      <c r="O15" s="62">
        <f t="shared" si="2"/>
        <v>0</v>
      </c>
      <c r="P15" s="10"/>
      <c r="Q15" s="142">
        <f>SUM(('2025-2029 Category Detail'!V48*'2025-2029 Category Detail'!$AC$48),('2025-2029 Category Detail'!V49*'2025-2029 Category Detail'!$AC$49))</f>
        <v>0</v>
      </c>
      <c r="R15" s="142">
        <f>SUM(('2025-2029 Category Detail'!W48*'2025-2029 Category Detail'!$AC$48),('2025-2029 Category Detail'!W49*'2025-2029 Category Detail'!$AC$49))</f>
        <v>0</v>
      </c>
      <c r="S15" s="142">
        <f>SUM(('2025-2029 Category Detail'!X48*'2025-2029 Category Detail'!$AC$48),('2025-2029 Category Detail'!X49*'2025-2029 Category Detail'!$AC$49))</f>
        <v>0</v>
      </c>
      <c r="T15" s="152">
        <f t="shared" si="7"/>
        <v>0</v>
      </c>
      <c r="U15" s="147">
        <f>SUM(('2025-2029 Category Detail'!Z48*'2025-2029 Category Detail'!$AC$48),('2025-2029 Category Detail'!Z49*'2025-2029 Category Detail'!$AC$49))</f>
        <v>0</v>
      </c>
      <c r="V15" s="62">
        <f t="shared" si="3"/>
        <v>0</v>
      </c>
      <c r="X15" s="142">
        <f>SUM(('2025-2029 Category Detail'!AF48*'2025-2029 Category Detail'!$AM$48),('2025-2029 Category Detail'!AF49*'2025-2029 Category Detail'!$AM$49))</f>
        <v>0</v>
      </c>
      <c r="Y15" s="142">
        <f>SUM(('2025-2029 Category Detail'!AG48*'2025-2029 Category Detail'!$AM$48),('2025-2029 Category Detail'!AG49*'2025-2029 Category Detail'!$AM$49))</f>
        <v>0</v>
      </c>
      <c r="Z15" s="142">
        <f>SUM(('2025-2029 Category Detail'!AH48*'2025-2029 Category Detail'!$AM$48),('2025-2029 Category Detail'!AH49*'2025-2029 Category Detail'!$AM$49))</f>
        <v>0</v>
      </c>
      <c r="AA15" s="152">
        <f t="shared" si="8"/>
        <v>0</v>
      </c>
      <c r="AB15" s="142">
        <f>SUM(('2025-2029 Category Detail'!AJ48*'2025-2029 Category Detail'!$AM$48),('2025-2029 Category Detail'!AJ49*'2025-2029 Category Detail'!$AM$49))</f>
        <v>0</v>
      </c>
      <c r="AC15" s="62">
        <f t="shared" si="4"/>
        <v>0</v>
      </c>
      <c r="AE15" s="142">
        <f>SUM(('2025-2029 Category Detail'!AP48*'2025-2029 Category Detail'!$AW$48),('2025-2029 Category Detail'!AP49*'2025-2029 Category Detail'!$AW$49))</f>
        <v>0</v>
      </c>
      <c r="AF15" s="142">
        <f>SUM(('2025-2029 Category Detail'!AQ48*'2025-2029 Category Detail'!$AW$48),('2025-2029 Category Detail'!AQ49*'2025-2029 Category Detail'!$AW$49))</f>
        <v>0</v>
      </c>
      <c r="AG15" s="142">
        <f>SUM(('2025-2029 Category Detail'!AR48*'2025-2029 Category Detail'!$AW$48),('2025-2029 Category Detail'!AR49*'2025-2029 Category Detail'!$AW$49))</f>
        <v>0</v>
      </c>
      <c r="AH15" s="152">
        <f t="shared" si="9"/>
        <v>0</v>
      </c>
      <c r="AI15" s="147">
        <f>SUM(('2025-2029 Category Detail'!AT48*'2025-2029 Category Detail'!$AW$48),('2025-2029 Category Detail'!AT49*'2025-2029 Category Detail'!$AW$49))</f>
        <v>0</v>
      </c>
      <c r="AJ15" s="62">
        <f t="shared" si="5"/>
        <v>0</v>
      </c>
    </row>
    <row r="16" spans="2:36" ht="31.5" customHeight="1" x14ac:dyDescent="0.25">
      <c r="B16" s="58" t="s">
        <v>254</v>
      </c>
      <c r="C16" s="142">
        <f>SUM(('2025-2029 Category Detail'!B51*'2025-2029 Category Detail'!$I$51),('2025-2029 Category Detail'!B52*'2025-2029 Category Detail'!$I$52),('2025-2029 Category Detail'!B53*'2025-2029 Category Detail'!$I$53),('2025-2029 Category Detail'!B54*'2025-2029 Category Detail'!$I$54),('2025-2029 Category Detail'!B55*'2025-2029 Category Detail'!$I$55),('2025-2029 Category Detail'!B56*'2025-2029 Category Detail'!$I$56),('2025-2029 Category Detail'!B57*'2025-2029 Category Detail'!$I$57))</f>
        <v>1750</v>
      </c>
      <c r="D16" s="142">
        <f>SUM(('2025-2029 Category Detail'!C51*'2025-2029 Category Detail'!$I$51),('2025-2029 Category Detail'!C52*'2025-2029 Category Detail'!$I$52),('2025-2029 Category Detail'!C53*'2025-2029 Category Detail'!$I$53),('2025-2029 Category Detail'!C54*'2025-2029 Category Detail'!$I$54),('2025-2029 Category Detail'!C55*'2025-2029 Category Detail'!$I$55),('2025-2029 Category Detail'!C56*'2025-2029 Category Detail'!$I$56),('2025-2029 Category Detail'!C57*'2025-2029 Category Detail'!$I$57))</f>
        <v>1250</v>
      </c>
      <c r="E16" s="142">
        <f>SUM(('2025-2029 Category Detail'!D51*'2025-2029 Category Detail'!$I$51),('2025-2029 Category Detail'!D52*'2025-2029 Category Detail'!$I$52),('2025-2029 Category Detail'!D53*'2025-2029 Category Detail'!$I$53),('2025-2029 Category Detail'!D54*'2025-2029 Category Detail'!$I$54),('2025-2029 Category Detail'!D55*'2025-2029 Category Detail'!$I$55),('2025-2029 Category Detail'!D56*'2025-2029 Category Detail'!$I$56),('2025-2029 Category Detail'!D57*'2025-2029 Category Detail'!$I$57))</f>
        <v>39625</v>
      </c>
      <c r="F16" s="152">
        <f t="shared" si="0"/>
        <v>42625</v>
      </c>
      <c r="G16" s="147">
        <f>SUM(('2025-2029 Category Detail'!F51*'2025-2029 Category Detail'!$I$51),('2025-2029 Category Detail'!F52*'2025-2029 Category Detail'!$I$52),('2025-2029 Category Detail'!F53*'2025-2029 Category Detail'!$I$53),('2025-2029 Category Detail'!F54*'2025-2029 Category Detail'!$I$54),('2025-2029 Category Detail'!F55*'2025-2029 Category Detail'!$I$55),('2025-2029 Category Detail'!F56*'2025-2029 Category Detail'!$I$56),('2025-2029 Category Detail'!F57*'2025-2029 Category Detail'!$I$57))</f>
        <v>16050</v>
      </c>
      <c r="H16" s="62">
        <f t="shared" si="1"/>
        <v>0.10241470446900529</v>
      </c>
      <c r="I16" s="27"/>
      <c r="J16" s="142">
        <f>SUM(('2025-2029 Category Detail'!L51*'2025-2029 Category Detail'!$S$51),('2025-2029 Category Detail'!L52*'2025-2029 Category Detail'!$S$52),('2025-2029 Category Detail'!L53*'2025-2029 Category Detail'!$S$53),('2025-2029 Category Detail'!L54*'2025-2029 Category Detail'!$S$54),('2025-2029 Category Detail'!L55*'2025-2029 Category Detail'!$S$55),('2025-2029 Category Detail'!L56*'2025-2029 Category Detail'!$S$56),('2025-2029 Category Detail'!L57*'2025-2029 Category Detail'!$S$57))</f>
        <v>1750</v>
      </c>
      <c r="K16" s="142">
        <f>SUM(('2025-2029 Category Detail'!M51*'2025-2029 Category Detail'!$S$51),('2025-2029 Category Detail'!M52*'2025-2029 Category Detail'!$S$52),('2025-2029 Category Detail'!M53*'2025-2029 Category Detail'!$S$53),('2025-2029 Category Detail'!M54*'2025-2029 Category Detail'!$S$54),('2025-2029 Category Detail'!M55*'2025-2029 Category Detail'!$S$55),('2025-2029 Category Detail'!M56*'2025-2029 Category Detail'!$S$56),('2025-2029 Category Detail'!M57*'2025-2029 Category Detail'!$S$57))</f>
        <v>1250</v>
      </c>
      <c r="L16" s="142">
        <f>SUM(('2025-2029 Category Detail'!N51*'2025-2029 Category Detail'!$S$51),('2025-2029 Category Detail'!N52*'2025-2029 Category Detail'!$S$52),('2025-2029 Category Detail'!N53*'2025-2029 Category Detail'!$S$53),('2025-2029 Category Detail'!N54*'2025-2029 Category Detail'!$S$54),('2025-2029 Category Detail'!N55*'2025-2029 Category Detail'!$S$55),('2025-2029 Category Detail'!N56*'2025-2029 Category Detail'!$S$56),('2025-2029 Category Detail'!N57*'2025-2029 Category Detail'!$S$57))</f>
        <v>41500</v>
      </c>
      <c r="M16" s="152">
        <f t="shared" si="6"/>
        <v>44500</v>
      </c>
      <c r="N16" s="147">
        <f>SUM(('2025-2029 Category Detail'!P51*'2025-2029 Category Detail'!$S$51),('2025-2029 Category Detail'!P52*'2025-2029 Category Detail'!$S$52),('2025-2029 Category Detail'!P53*'2025-2029 Category Detail'!$S$53),('2025-2029 Category Detail'!P54*'2025-2029 Category Detail'!$S$54),('2025-2029 Category Detail'!P55*'2025-2029 Category Detail'!$S$55),('2025-2029 Category Detail'!P56*'2025-2029 Category Detail'!$S$56),('2025-2029 Category Detail'!P57*'2025-2029 Category Detail'!$S$57))</f>
        <v>15255</v>
      </c>
      <c r="O16" s="62">
        <f t="shared" si="2"/>
        <v>0.12046154366730957</v>
      </c>
      <c r="P16" s="10"/>
      <c r="Q16" s="142">
        <f>SUM(('2025-2029 Category Detail'!V51*'2025-2029 Category Detail'!$AC$51),('2025-2029 Category Detail'!V52*'2025-2029 Category Detail'!$AC$52),('2025-2029 Category Detail'!V53*'2025-2029 Category Detail'!$AC$53),('2025-2029 Category Detail'!V54*'2025-2029 Category Detail'!$AC$54),('2025-2029 Category Detail'!V55*'2025-2029 Category Detail'!$AC$55),('2025-2029 Category Detail'!V56*'2025-2029 Category Detail'!$AC$56),('2025-2029 Category Detail'!V57*'2025-2029 Category Detail'!$AC$57))</f>
        <v>1750</v>
      </c>
      <c r="R16" s="142">
        <f>SUM(('2025-2029 Category Detail'!W51*'2025-2029 Category Detail'!$AC$51),('2025-2029 Category Detail'!W52*'2025-2029 Category Detail'!$AC$52),('2025-2029 Category Detail'!W53*'2025-2029 Category Detail'!$AC$53),('2025-2029 Category Detail'!W54*'2025-2029 Category Detail'!$AC$54),('2025-2029 Category Detail'!W55*'2025-2029 Category Detail'!$AC$55),('2025-2029 Category Detail'!W56*'2025-2029 Category Detail'!$AC$56),('2025-2029 Category Detail'!W57*'2025-2029 Category Detail'!$AC$57))</f>
        <v>1250</v>
      </c>
      <c r="S16" s="142">
        <f>SUM(('2025-2029 Category Detail'!X51*'2025-2029 Category Detail'!$AC$51),('2025-2029 Category Detail'!X52*'2025-2029 Category Detail'!$AC$52),('2025-2029 Category Detail'!X53*'2025-2029 Category Detail'!$AC$53),('2025-2029 Category Detail'!X54*'2025-2029 Category Detail'!$AC$54),('2025-2029 Category Detail'!X55*'2025-2029 Category Detail'!$AC$55),('2025-2029 Category Detail'!X56*'2025-2029 Category Detail'!$AC$56),('2025-2029 Category Detail'!X57*'2025-2029 Category Detail'!$AC$57))</f>
        <v>41875</v>
      </c>
      <c r="T16" s="152">
        <f t="shared" si="7"/>
        <v>44875</v>
      </c>
      <c r="U16" s="147">
        <f>SUM(('2025-2029 Category Detail'!Z51*'2025-2029 Category Detail'!$AC$51),('2025-2029 Category Detail'!Z52*'2025-2029 Category Detail'!$AC$52),('2025-2029 Category Detail'!Z53*'2025-2029 Category Detail'!$AC$53),('2025-2029 Category Detail'!Z54*'2025-2029 Category Detail'!$AC$54),('2025-2029 Category Detail'!Z55*'2025-2029 Category Detail'!$AC$55),('2025-2029 Category Detail'!Z56*'2025-2029 Category Detail'!$AC$56),('2025-2029 Category Detail'!Z57*'2025-2029 Category Detail'!$AC$57))</f>
        <v>13857.5</v>
      </c>
      <c r="V16" s="62">
        <f t="shared" si="3"/>
        <v>0.10834792056497858</v>
      </c>
      <c r="X16" s="142">
        <f>SUM(('2025-2029 Category Detail'!AF51*'2025-2029 Category Detail'!$AM$51),('2025-2029 Category Detail'!AF52*'2025-2029 Category Detail'!$AM$52),('2025-2029 Category Detail'!AF53*'2025-2029 Category Detail'!$AM$53),('2025-2029 Category Detail'!AF54*'2025-2029 Category Detail'!$AM$54),('2025-2029 Category Detail'!AF55*'2025-2029 Category Detail'!$AM$55),('2025-2029 Category Detail'!AF56*'2025-2029 Category Detail'!$AM$56),('2025-2029 Category Detail'!AF57*'2025-2029 Category Detail'!$AM$57))</f>
        <v>1750</v>
      </c>
      <c r="Y16" s="142">
        <f>SUM(('2025-2029 Category Detail'!AG51*'2025-2029 Category Detail'!$AM$51),('2025-2029 Category Detail'!AG52*'2025-2029 Category Detail'!$AM$52),('2025-2029 Category Detail'!AG53*'2025-2029 Category Detail'!$AM$53),('2025-2029 Category Detail'!AG54*'2025-2029 Category Detail'!$AM$54),('2025-2029 Category Detail'!AG55*'2025-2029 Category Detail'!$AM$55),('2025-2029 Category Detail'!AG56*'2025-2029 Category Detail'!$AM$56),('2025-2029 Category Detail'!AG57*'2025-2029 Category Detail'!$AM$57))</f>
        <v>1250</v>
      </c>
      <c r="Z16" s="142">
        <f>SUM(('2025-2029 Category Detail'!AH51*'2025-2029 Category Detail'!$AM$51),('2025-2029 Category Detail'!AH52*'2025-2029 Category Detail'!$AM$52),('2025-2029 Category Detail'!AH53*'2025-2029 Category Detail'!$AM$53),('2025-2029 Category Detail'!AH54*'2025-2029 Category Detail'!$AM$54),('2025-2029 Category Detail'!AH55*'2025-2029 Category Detail'!$AM$55),('2025-2029 Category Detail'!AH56*'2025-2029 Category Detail'!$AM$56),('2025-2029 Category Detail'!AH57*'2025-2029 Category Detail'!$AM$57))</f>
        <v>43750</v>
      </c>
      <c r="AA16" s="152">
        <f t="shared" si="8"/>
        <v>46750</v>
      </c>
      <c r="AB16" s="142">
        <f>SUM(('2025-2029 Category Detail'!AJ51*'2025-2029 Category Detail'!$AM$51),('2025-2029 Category Detail'!AJ52*'2025-2029 Category Detail'!$AM$52),('2025-2029 Category Detail'!AJ53*'2025-2029 Category Detail'!$AM$53),('2025-2029 Category Detail'!AJ54*'2025-2029 Category Detail'!$AM$54),('2025-2029 Category Detail'!AJ55*'2025-2029 Category Detail'!$AM$55),('2025-2029 Category Detail'!AJ56*'2025-2029 Category Detail'!$AM$56),('2025-2029 Category Detail'!AJ57*'2025-2029 Category Detail'!$AM$57))</f>
        <v>13857.5</v>
      </c>
      <c r="AC16" s="62">
        <f t="shared" si="4"/>
        <v>0.1048382575545215</v>
      </c>
      <c r="AE16" s="142">
        <f>SUM(('2025-2029 Category Detail'!AP51*'2025-2029 Category Detail'!$AW$51),('2025-2029 Category Detail'!AP52*'2025-2029 Category Detail'!$AW$52),('2025-2029 Category Detail'!AP53*'2025-2029 Category Detail'!$AW$53),('2025-2029 Category Detail'!AP54*'2025-2029 Category Detail'!$AW$54),('2025-2029 Category Detail'!AP55*'2025-2029 Category Detail'!$AW$55),('2025-2029 Category Detail'!AP56*'2025-2029 Category Detail'!$AW$56),('2025-2029 Category Detail'!AP57*'2025-2029 Category Detail'!$AW$57))</f>
        <v>1750</v>
      </c>
      <c r="AF16" s="142">
        <f>SUM(('2025-2029 Category Detail'!AQ51*'2025-2029 Category Detail'!$AW$51),('2025-2029 Category Detail'!AQ52*'2025-2029 Category Detail'!$AW$52),('2025-2029 Category Detail'!AQ53*'2025-2029 Category Detail'!$AW$53),('2025-2029 Category Detail'!AQ54*'2025-2029 Category Detail'!$AW$54),('2025-2029 Category Detail'!AQ55*'2025-2029 Category Detail'!$AW$55),('2025-2029 Category Detail'!AQ56*'2025-2029 Category Detail'!$AW$56),('2025-2029 Category Detail'!AQ57*'2025-2029 Category Detail'!$AW$57))</f>
        <v>1250</v>
      </c>
      <c r="AG16" s="142">
        <f>SUM(('2025-2029 Category Detail'!AR51*'2025-2029 Category Detail'!$AW$51),('2025-2029 Category Detail'!AR52*'2025-2029 Category Detail'!$AW$52),('2025-2029 Category Detail'!AR53*'2025-2029 Category Detail'!$AW$53),('2025-2029 Category Detail'!AR54*'2025-2029 Category Detail'!$AW$54),('2025-2029 Category Detail'!AR55*'2025-2029 Category Detail'!$AW$55),('2025-2029 Category Detail'!AR56*'2025-2029 Category Detail'!$AW$56),('2025-2029 Category Detail'!AR57*'2025-2029 Category Detail'!$AW$57))</f>
        <v>44125</v>
      </c>
      <c r="AH16" s="152">
        <f t="shared" si="9"/>
        <v>47125</v>
      </c>
      <c r="AI16" s="147">
        <f>SUM(('2025-2029 Category Detail'!AT51*'2025-2029 Category Detail'!$AW$51),('2025-2029 Category Detail'!AT52*'2025-2029 Category Detail'!$AW$52),('2025-2029 Category Detail'!AT53*'2025-2029 Category Detail'!$AW$53),('2025-2029 Category Detail'!AT54*'2025-2029 Category Detail'!$AW$54),('2025-2029 Category Detail'!AT55*'2025-2029 Category Detail'!$AW$55),('2025-2029 Category Detail'!AT56*'2025-2029 Category Detail'!$AW$56),('2025-2029 Category Detail'!AT57*'2025-2029 Category Detail'!$AW$57))</f>
        <v>17712.5</v>
      </c>
      <c r="AJ16" s="62">
        <f t="shared" si="5"/>
        <v>0.1215972132628048</v>
      </c>
    </row>
    <row r="17" spans="2:36" ht="38.25" customHeight="1" x14ac:dyDescent="0.25">
      <c r="B17" s="40" t="s">
        <v>249</v>
      </c>
      <c r="C17" s="33">
        <f t="shared" ref="C17:H17" si="10">SUM(C7:C16)</f>
        <v>115925</v>
      </c>
      <c r="D17" s="33">
        <f t="shared" si="10"/>
        <v>260650</v>
      </c>
      <c r="E17" s="33">
        <f t="shared" si="10"/>
        <v>39625</v>
      </c>
      <c r="F17" s="128">
        <f t="shared" si="10"/>
        <v>416200</v>
      </c>
      <c r="G17" s="252">
        <f t="shared" si="10"/>
        <v>29700</v>
      </c>
      <c r="H17" s="43">
        <f t="shared" si="10"/>
        <v>1</v>
      </c>
      <c r="I17" s="27"/>
      <c r="J17" s="33">
        <f t="shared" ref="J17:O17" si="11">SUM(J7:J16)</f>
        <v>89337.5</v>
      </c>
      <c r="K17" s="33">
        <f t="shared" si="11"/>
        <v>238575</v>
      </c>
      <c r="L17" s="33">
        <f t="shared" si="11"/>
        <v>41500</v>
      </c>
      <c r="M17" s="128">
        <f t="shared" si="11"/>
        <v>369412.5</v>
      </c>
      <c r="N17" s="45">
        <f t="shared" si="11"/>
        <v>28275</v>
      </c>
      <c r="O17" s="43">
        <f t="shared" si="11"/>
        <v>1</v>
      </c>
      <c r="P17" s="10"/>
      <c r="Q17" s="33">
        <f t="shared" ref="Q17:V17" si="12">SUM(Q7:Q16)</f>
        <v>123550</v>
      </c>
      <c r="R17" s="33">
        <f t="shared" si="12"/>
        <v>248750</v>
      </c>
      <c r="S17" s="33">
        <f t="shared" si="12"/>
        <v>41875</v>
      </c>
      <c r="T17" s="128">
        <f t="shared" si="12"/>
        <v>414175</v>
      </c>
      <c r="U17" s="45">
        <f t="shared" si="12"/>
        <v>29327.5</v>
      </c>
      <c r="V17" s="43">
        <f t="shared" si="12"/>
        <v>1</v>
      </c>
      <c r="X17" s="33">
        <f t="shared" ref="X17:AC17" si="13">SUM(X7:X16)</f>
        <v>173300</v>
      </c>
      <c r="Y17" s="33">
        <f t="shared" si="13"/>
        <v>228875</v>
      </c>
      <c r="Z17" s="33">
        <f t="shared" si="13"/>
        <v>43750</v>
      </c>
      <c r="AA17" s="128">
        <f t="shared" si="13"/>
        <v>445925</v>
      </c>
      <c r="AB17" s="45">
        <f t="shared" si="13"/>
        <v>31752.5</v>
      </c>
      <c r="AC17" s="43">
        <f t="shared" si="13"/>
        <v>1</v>
      </c>
      <c r="AE17" s="33">
        <f t="shared" ref="AE17:AJ17" si="14">SUM(AE7:AE16)</f>
        <v>110975</v>
      </c>
      <c r="AF17" s="33">
        <f t="shared" si="14"/>
        <v>232450</v>
      </c>
      <c r="AG17" s="33">
        <f t="shared" si="14"/>
        <v>44125</v>
      </c>
      <c r="AH17" s="128">
        <f t="shared" si="14"/>
        <v>387550</v>
      </c>
      <c r="AI17" s="45">
        <f t="shared" si="14"/>
        <v>31802.5</v>
      </c>
      <c r="AJ17" s="43">
        <f t="shared" si="14"/>
        <v>1</v>
      </c>
    </row>
    <row r="20" spans="2:36" x14ac:dyDescent="0.2">
      <c r="B20" s="125"/>
      <c r="C20" s="166" t="s">
        <v>255</v>
      </c>
      <c r="D20" s="166" t="s">
        <v>425</v>
      </c>
      <c r="E20" s="166" t="s">
        <v>426</v>
      </c>
      <c r="F20" s="166" t="s">
        <v>427</v>
      </c>
      <c r="G20" s="166" t="s">
        <v>428</v>
      </c>
    </row>
    <row r="21" spans="2:36" x14ac:dyDescent="0.2">
      <c r="B21" s="157" t="s">
        <v>245</v>
      </c>
      <c r="C21" s="154">
        <f>C17</f>
        <v>115925</v>
      </c>
      <c r="D21" s="154">
        <f>J17</f>
        <v>89337.5</v>
      </c>
      <c r="E21" s="154">
        <f>Q17</f>
        <v>123550</v>
      </c>
      <c r="F21" s="154">
        <f>X17</f>
        <v>173300</v>
      </c>
      <c r="G21" s="154">
        <f>AE17</f>
        <v>110975</v>
      </c>
    </row>
    <row r="22" spans="2:36" x14ac:dyDescent="0.2">
      <c r="B22" s="157" t="s">
        <v>297</v>
      </c>
      <c r="C22" s="154">
        <f>D17</f>
        <v>260650</v>
      </c>
      <c r="D22" s="154">
        <f>K17</f>
        <v>238575</v>
      </c>
      <c r="E22" s="154">
        <f>R17</f>
        <v>248750</v>
      </c>
      <c r="F22" s="154">
        <f>Y17</f>
        <v>228875</v>
      </c>
      <c r="G22" s="154">
        <f>AF17</f>
        <v>232450</v>
      </c>
    </row>
    <row r="23" spans="2:36" x14ac:dyDescent="0.2">
      <c r="B23" s="157" t="s">
        <v>453</v>
      </c>
      <c r="C23" s="154">
        <f>E17</f>
        <v>39625</v>
      </c>
      <c r="D23" s="154">
        <f>L17</f>
        <v>41500</v>
      </c>
      <c r="E23" s="154">
        <f>S17</f>
        <v>41875</v>
      </c>
      <c r="F23" s="154">
        <f>Z17</f>
        <v>43750</v>
      </c>
      <c r="G23" s="154">
        <f>AG17</f>
        <v>44125</v>
      </c>
    </row>
    <row r="24" spans="2:36" x14ac:dyDescent="0.2">
      <c r="B24" s="157" t="s">
        <v>298</v>
      </c>
      <c r="C24" s="154">
        <f>F17</f>
        <v>416200</v>
      </c>
      <c r="D24" s="154">
        <f>M17</f>
        <v>369412.5</v>
      </c>
      <c r="E24" s="154">
        <f>T17</f>
        <v>414175</v>
      </c>
      <c r="F24" s="154">
        <f>AA17</f>
        <v>445925</v>
      </c>
      <c r="G24" s="154">
        <f>AH17</f>
        <v>387550</v>
      </c>
    </row>
    <row r="25" spans="2:36" x14ac:dyDescent="0.2">
      <c r="B25" s="157" t="s">
        <v>454</v>
      </c>
      <c r="C25" s="155">
        <f>G17</f>
        <v>29700</v>
      </c>
      <c r="D25" s="154">
        <f>N17</f>
        <v>28275</v>
      </c>
      <c r="E25" s="154">
        <f>U17</f>
        <v>29327.5</v>
      </c>
      <c r="F25" s="154">
        <f>AB17</f>
        <v>31752.5</v>
      </c>
      <c r="G25" s="154">
        <f>AI17</f>
        <v>31802.5</v>
      </c>
    </row>
    <row r="28" spans="2:36" x14ac:dyDescent="0.2">
      <c r="B28" s="167" t="s">
        <v>298</v>
      </c>
      <c r="C28" s="166" t="s">
        <v>255</v>
      </c>
      <c r="D28" s="166" t="s">
        <v>425</v>
      </c>
      <c r="E28" s="166" t="s">
        <v>426</v>
      </c>
      <c r="F28" s="166" t="s">
        <v>427</v>
      </c>
      <c r="G28" s="166" t="s">
        <v>428</v>
      </c>
    </row>
    <row r="29" spans="2:36" x14ac:dyDescent="0.2">
      <c r="B29" s="158" t="s">
        <v>455</v>
      </c>
      <c r="C29" s="159">
        <f>SUM(F7:F9)</f>
        <v>262125</v>
      </c>
      <c r="D29" s="159">
        <f>SUM(M7:M9)</f>
        <v>227187.5</v>
      </c>
      <c r="E29" s="159">
        <f>SUM(T7:T9)</f>
        <v>231550</v>
      </c>
      <c r="F29" s="159">
        <f>SUM(AA7:AA9)</f>
        <v>215550</v>
      </c>
      <c r="G29" s="159">
        <f>SUM(AH7:AH9)</f>
        <v>225700</v>
      </c>
    </row>
    <row r="30" spans="2:36" x14ac:dyDescent="0.2">
      <c r="B30" s="160" t="s">
        <v>456</v>
      </c>
      <c r="C30" s="161">
        <f>SUM(F10:F11)</f>
        <v>41900</v>
      </c>
      <c r="D30" s="161">
        <f>SUM(M10:M11)</f>
        <v>27200</v>
      </c>
      <c r="E30" s="161">
        <f>SUM(T10:T11)</f>
        <v>66250</v>
      </c>
      <c r="F30" s="161">
        <f>SUM(AA10:AA11)</f>
        <v>108750</v>
      </c>
      <c r="G30" s="161">
        <f>SUM(AH10:AH11)</f>
        <v>38675</v>
      </c>
    </row>
    <row r="31" spans="2:36" x14ac:dyDescent="0.2">
      <c r="B31" s="162" t="s">
        <v>251</v>
      </c>
      <c r="C31" s="163">
        <f>F12</f>
        <v>0</v>
      </c>
      <c r="D31" s="163">
        <f>M12</f>
        <v>0</v>
      </c>
      <c r="E31" s="163">
        <f>T12</f>
        <v>0</v>
      </c>
      <c r="F31" s="163">
        <f>SUM(AA12)</f>
        <v>0</v>
      </c>
      <c r="G31" s="163">
        <f>AH12</f>
        <v>0</v>
      </c>
    </row>
    <row r="32" spans="2:36" hidden="1" x14ac:dyDescent="0.2">
      <c r="B32" s="162" t="s">
        <v>334</v>
      </c>
      <c r="C32" s="163">
        <f>F13</f>
        <v>0</v>
      </c>
      <c r="D32" s="163">
        <f>M13</f>
        <v>0</v>
      </c>
      <c r="E32" s="163">
        <f>T13</f>
        <v>0</v>
      </c>
      <c r="F32" s="163">
        <f>AA13</f>
        <v>0</v>
      </c>
      <c r="G32" s="163">
        <f>AH13</f>
        <v>0</v>
      </c>
    </row>
    <row r="33" spans="2:7" x14ac:dyDescent="0.2">
      <c r="B33" s="164" t="s">
        <v>254</v>
      </c>
      <c r="C33" s="169">
        <f>SUM(F14:F16)</f>
        <v>112175</v>
      </c>
      <c r="D33" s="165">
        <f>SUM(M14:M16)</f>
        <v>115025</v>
      </c>
      <c r="E33" s="165">
        <f>SUM(T14:T16)</f>
        <v>116375</v>
      </c>
      <c r="F33" s="165">
        <f>SUM(AA14:AA16)</f>
        <v>121625</v>
      </c>
      <c r="G33" s="165">
        <f>SUM(AH14:AH16)</f>
        <v>123175</v>
      </c>
    </row>
    <row r="36" spans="2:7" x14ac:dyDescent="0.2">
      <c r="B36" s="167" t="s">
        <v>457</v>
      </c>
      <c r="C36" s="166" t="s">
        <v>255</v>
      </c>
      <c r="D36" s="166" t="s">
        <v>425</v>
      </c>
      <c r="E36" s="166" t="s">
        <v>426</v>
      </c>
      <c r="F36" s="166" t="s">
        <v>427</v>
      </c>
      <c r="G36" s="166" t="s">
        <v>428</v>
      </c>
    </row>
    <row r="37" spans="2:7" x14ac:dyDescent="0.2">
      <c r="B37" s="158" t="s">
        <v>455</v>
      </c>
      <c r="C37" s="159">
        <f>SUM(F7:G9)</f>
        <v>267775</v>
      </c>
      <c r="D37" s="159">
        <f>SUM(M7:N9)</f>
        <v>231207.5</v>
      </c>
      <c r="E37" s="159">
        <f>SUM(T7:U9)</f>
        <v>235960</v>
      </c>
      <c r="F37" s="159">
        <f>SUM(AA7:AB9)</f>
        <v>221570</v>
      </c>
      <c r="G37" s="159">
        <f>SUM(AH7:AI9)</f>
        <v>230665</v>
      </c>
    </row>
    <row r="38" spans="2:7" x14ac:dyDescent="0.2">
      <c r="B38" s="160" t="s">
        <v>456</v>
      </c>
      <c r="C38" s="161">
        <f>SUM(F10:G11)</f>
        <v>47400</v>
      </c>
      <c r="D38" s="161">
        <f>SUM(M10:N11)</f>
        <v>33450</v>
      </c>
      <c r="E38" s="161">
        <f>SUM(T10:U11)</f>
        <v>74560</v>
      </c>
      <c r="F38" s="161">
        <f>SUM(AA10:AB11)</f>
        <v>117875</v>
      </c>
      <c r="G38" s="161">
        <f>SUM(AH10:AI11)</f>
        <v>45050</v>
      </c>
    </row>
    <row r="39" spans="2:7" x14ac:dyDescent="0.2">
      <c r="B39" s="162" t="s">
        <v>251</v>
      </c>
      <c r="C39" s="163">
        <f>SUM(F12:G12)</f>
        <v>0</v>
      </c>
      <c r="D39" s="163">
        <f>SUM(M12:N12)</f>
        <v>0</v>
      </c>
      <c r="E39" s="163">
        <f>SUM(T12:U12)</f>
        <v>0</v>
      </c>
      <c r="F39" s="163">
        <f>SUM(AA12:AB12)</f>
        <v>0</v>
      </c>
      <c r="G39" s="163">
        <f>SUM(AH12:AI12)</f>
        <v>0</v>
      </c>
    </row>
    <row r="40" spans="2:7" hidden="1" x14ac:dyDescent="0.2">
      <c r="B40" s="162" t="s">
        <v>334</v>
      </c>
      <c r="C40" s="163">
        <f>SUM(F13:G13)</f>
        <v>0</v>
      </c>
      <c r="D40" s="163">
        <f>SUM(M13:N13)</f>
        <v>0</v>
      </c>
      <c r="E40" s="163">
        <f>SUM(T13:U13)</f>
        <v>0</v>
      </c>
      <c r="F40" s="163">
        <f>SUM(AA13:AB13)</f>
        <v>0</v>
      </c>
      <c r="G40" s="163">
        <f>SUM(AH13:AI13)</f>
        <v>0</v>
      </c>
    </row>
    <row r="41" spans="2:7" x14ac:dyDescent="0.2">
      <c r="B41" s="164" t="s">
        <v>254</v>
      </c>
      <c r="C41" s="169">
        <f>SUM(F14:G16)</f>
        <v>130725</v>
      </c>
      <c r="D41" s="165">
        <f>SUM(M14:N16)</f>
        <v>133030</v>
      </c>
      <c r="E41" s="165">
        <f>SUM(T14:U16)</f>
        <v>132982.5</v>
      </c>
      <c r="F41" s="165">
        <f>SUM(AA14:AB16)</f>
        <v>138232.5</v>
      </c>
      <c r="G41" s="165">
        <f>SUM(AH14:AI16)</f>
        <v>143637.5</v>
      </c>
    </row>
    <row r="44" spans="2:7" x14ac:dyDescent="0.2">
      <c r="B44" s="167" t="s">
        <v>458</v>
      </c>
      <c r="C44" s="166" t="s">
        <v>255</v>
      </c>
      <c r="D44" s="166" t="s">
        <v>425</v>
      </c>
      <c r="E44" s="166" t="s">
        <v>426</v>
      </c>
      <c r="F44" s="166" t="s">
        <v>427</v>
      </c>
      <c r="G44" s="166" t="s">
        <v>428</v>
      </c>
    </row>
    <row r="45" spans="2:7" x14ac:dyDescent="0.2">
      <c r="B45" s="157" t="s">
        <v>459</v>
      </c>
      <c r="C45" s="168"/>
      <c r="D45" s="154">
        <f>D24-C24</f>
        <v>-46787.5</v>
      </c>
      <c r="E45" s="154">
        <f t="shared" ref="E45:G45" si="15">E24-D24</f>
        <v>44762.5</v>
      </c>
      <c r="F45" s="154">
        <f>F24-E24</f>
        <v>31750</v>
      </c>
      <c r="G45" s="154">
        <f t="shared" si="15"/>
        <v>-58375</v>
      </c>
    </row>
    <row r="46" spans="2:7" x14ac:dyDescent="0.2">
      <c r="B46" s="157" t="s">
        <v>460</v>
      </c>
      <c r="C46" s="168"/>
      <c r="D46" s="154">
        <f>D24-$C$24</f>
        <v>-46787.5</v>
      </c>
      <c r="E46" s="154">
        <f t="shared" ref="E46:G46" si="16">E24-$C$24</f>
        <v>-2025</v>
      </c>
      <c r="F46" s="154">
        <f t="shared" si="16"/>
        <v>29725</v>
      </c>
      <c r="G46" s="154">
        <f t="shared" si="16"/>
        <v>-28650</v>
      </c>
    </row>
  </sheetData>
  <mergeCells count="5">
    <mergeCell ref="C5:G5"/>
    <mergeCell ref="J5:N5"/>
    <mergeCell ref="Q5:U5"/>
    <mergeCell ref="X5:AB5"/>
    <mergeCell ref="AE5:A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63DC0-1C08-48CF-9145-9102686F91BC}">
  <dimension ref="B1:AJ46"/>
  <sheetViews>
    <sheetView topLeftCell="Z1" workbookViewId="0">
      <selection activeCell="AH7" sqref="AH7:AH8"/>
    </sheetView>
  </sheetViews>
  <sheetFormatPr defaultRowHeight="12.75" x14ac:dyDescent="0.2"/>
  <cols>
    <col min="2" max="2" width="59.140625" customWidth="1"/>
    <col min="3" max="8" width="14.140625" customWidth="1"/>
    <col min="10" max="14" width="14.140625" customWidth="1"/>
    <col min="15" max="15" width="8.140625" customWidth="1"/>
    <col min="16" max="16" width="9.140625" customWidth="1"/>
    <col min="17" max="21" width="14.7109375" customWidth="1"/>
    <col min="22" max="22" width="8.140625" customWidth="1"/>
    <col min="23" max="23" width="9.140625" customWidth="1"/>
    <col min="24" max="28" width="14.7109375" customWidth="1"/>
    <col min="29" max="29" width="8.140625" customWidth="1"/>
    <col min="30" max="30" width="9.140625" customWidth="1"/>
    <col min="31" max="35" width="14.7109375" customWidth="1"/>
    <col min="36" max="36" width="8.140625" bestFit="1" customWidth="1"/>
  </cols>
  <sheetData>
    <row r="1" spans="2:36" ht="18.75" x14ac:dyDescent="0.3">
      <c r="B1" s="4" t="s">
        <v>462</v>
      </c>
    </row>
    <row r="2" spans="2:36" ht="15" x14ac:dyDescent="0.25">
      <c r="B2" s="7" t="str">
        <f>'Table of Contents'!$B$2</f>
        <v>DRAFT Proposed 5-Year Funding Levels (2025-2029) for discussion at March 26, 2024 RTF Policy Advisory Committee Meeting</v>
      </c>
    </row>
    <row r="3" spans="2:36" ht="15" x14ac:dyDescent="0.25">
      <c r="B3" s="138" t="s">
        <v>449</v>
      </c>
    </row>
    <row r="5" spans="2:36" ht="26.25" customHeight="1" x14ac:dyDescent="0.25">
      <c r="B5" s="10"/>
      <c r="C5" s="357" t="s">
        <v>255</v>
      </c>
      <c r="D5" s="358"/>
      <c r="E5" s="358"/>
      <c r="F5" s="358"/>
      <c r="G5" s="359"/>
      <c r="H5" s="10"/>
      <c r="J5" s="357" t="s">
        <v>425</v>
      </c>
      <c r="K5" s="358"/>
      <c r="L5" s="358"/>
      <c r="M5" s="358"/>
      <c r="N5" s="359"/>
      <c r="Q5" s="357" t="s">
        <v>426</v>
      </c>
      <c r="R5" s="358"/>
      <c r="S5" s="358"/>
      <c r="T5" s="358"/>
      <c r="U5" s="359"/>
      <c r="X5" s="357" t="s">
        <v>427</v>
      </c>
      <c r="Y5" s="358"/>
      <c r="Z5" s="358"/>
      <c r="AA5" s="358"/>
      <c r="AB5" s="359"/>
      <c r="AE5" s="357" t="s">
        <v>428</v>
      </c>
      <c r="AF5" s="358"/>
      <c r="AG5" s="358"/>
      <c r="AH5" s="358"/>
      <c r="AI5" s="359"/>
    </row>
    <row r="6" spans="2:36" ht="63" x14ac:dyDescent="0.25">
      <c r="B6" s="51" t="s">
        <v>237</v>
      </c>
      <c r="C6" s="52" t="s">
        <v>257</v>
      </c>
      <c r="D6" s="52" t="s">
        <v>258</v>
      </c>
      <c r="E6" s="53" t="s">
        <v>259</v>
      </c>
      <c r="F6" s="148" t="s">
        <v>260</v>
      </c>
      <c r="G6" s="143" t="s">
        <v>261</v>
      </c>
      <c r="H6" s="52" t="s">
        <v>243</v>
      </c>
      <c r="I6" s="10"/>
      <c r="J6" s="52" t="s">
        <v>429</v>
      </c>
      <c r="K6" s="52" t="s">
        <v>430</v>
      </c>
      <c r="L6" s="53" t="s">
        <v>431</v>
      </c>
      <c r="M6" s="148" t="s">
        <v>432</v>
      </c>
      <c r="N6" s="143" t="s">
        <v>433</v>
      </c>
      <c r="O6" s="52" t="s">
        <v>243</v>
      </c>
      <c r="P6" s="10"/>
      <c r="Q6" s="52" t="s">
        <v>434</v>
      </c>
      <c r="R6" s="52" t="s">
        <v>435</v>
      </c>
      <c r="S6" s="53" t="s">
        <v>436</v>
      </c>
      <c r="T6" s="148" t="s">
        <v>437</v>
      </c>
      <c r="U6" s="143" t="s">
        <v>438</v>
      </c>
      <c r="V6" s="52" t="s">
        <v>243</v>
      </c>
      <c r="X6" s="52" t="s">
        <v>439</v>
      </c>
      <c r="Y6" s="52" t="s">
        <v>440</v>
      </c>
      <c r="Z6" s="53" t="s">
        <v>441</v>
      </c>
      <c r="AA6" s="148" t="s">
        <v>442</v>
      </c>
      <c r="AB6" s="143" t="s">
        <v>443</v>
      </c>
      <c r="AC6" s="52" t="s">
        <v>243</v>
      </c>
      <c r="AE6" s="52" t="s">
        <v>444</v>
      </c>
      <c r="AF6" s="52" t="s">
        <v>445</v>
      </c>
      <c r="AG6" s="53" t="s">
        <v>446</v>
      </c>
      <c r="AH6" s="148" t="s">
        <v>447</v>
      </c>
      <c r="AI6" s="143" t="s">
        <v>448</v>
      </c>
      <c r="AJ6" s="52" t="s">
        <v>243</v>
      </c>
    </row>
    <row r="7" spans="2:36" ht="31.5" customHeight="1" x14ac:dyDescent="0.25">
      <c r="B7" s="46" t="s">
        <v>244</v>
      </c>
      <c r="C7" s="139">
        <f>SUM(('2025-2029 Category Detail'!B8*'2025-2029 Category Detail'!$J$8),('2025-2029 Category Detail'!B9*'2025-2029 Category Detail'!$J$9),('2025-2029 Category Detail'!B10*'2025-2029 Category Detail'!$J$10),('2025-2029 Category Detail'!B11*'2025-2029 Category Detail'!$J$11),('2025-2029 Category Detail'!B12*'2025-2029 Category Detail'!$J$12),('2025-2029 Category Detail'!B13*'2025-2029 Category Detail'!$J$13),('2025-2029 Category Detail'!B14*'2025-2029 Category Detail'!$J$14),('2025-2029 Category Detail'!B15*'2025-2029 Category Detail'!$J$15))</f>
        <v>5500</v>
      </c>
      <c r="D7" s="139">
        <f>SUM(('2025-2029 Category Detail'!C8*'2025-2029 Category Detail'!$J$8),('2025-2029 Category Detail'!C9*'2025-2029 Category Detail'!$J$9),('2025-2029 Category Detail'!C10*'2025-2029 Category Detail'!$J$10),('2025-2029 Category Detail'!C11*'2025-2029 Category Detail'!$J$11),('2025-2029 Category Detail'!C12*'2025-2029 Category Detail'!$J$12),('2025-2029 Category Detail'!C13*'2025-2029 Category Detail'!$J$13),('2025-2029 Category Detail'!C14*'2025-2029 Category Detail'!$J$14),('2025-2029 Category Detail'!C15*'2025-2029 Category Detail'!$J$15))</f>
        <v>16500</v>
      </c>
      <c r="E7" s="139">
        <f>SUM(('2025-2029 Category Detail'!D8*'2025-2029 Category Detail'!$J$8),('2025-2029 Category Detail'!D9*'2025-2029 Category Detail'!$J$9),('2025-2029 Category Detail'!D10*'2025-2029 Category Detail'!$J$10),('2025-2029 Category Detail'!D11*'2025-2029 Category Detail'!$J$11),('2025-2029 Category Detail'!D12*'2025-2029 Category Detail'!$J$12),('2025-2029 Category Detail'!D13*'2025-2029 Category Detail'!$J$13),('2025-2029 Category Detail'!D14*'2025-2029 Category Detail'!$J$14),('2025-2029 Category Detail'!D15*'2025-2029 Category Detail'!$J$15))</f>
        <v>0</v>
      </c>
      <c r="F7" s="231">
        <f t="shared" ref="F7:F16" si="0">SUM(C7:E7)</f>
        <v>22000</v>
      </c>
      <c r="G7" s="144">
        <f>SUM(('2025-2029 Category Detail'!F8*'2025-2029 Category Detail'!$J$8),('2025-2029 Category Detail'!F9*'2025-2029 Category Detail'!$J$9),('2025-2029 Category Detail'!F10*'2025-2029 Category Detail'!$J$10),('2025-2029 Category Detail'!F11*'2025-2029 Category Detail'!$J$11),('2025-2029 Category Detail'!F12*'2025-2029 Category Detail'!$J$12),('2025-2029 Category Detail'!F13*'2025-2029 Category Detail'!$J$13),('2025-2029 Category Detail'!F14*'2025-2029 Category Detail'!$J$14),('2025-2029 Category Detail'!F15*'2025-2029 Category Detail'!$J$15))</f>
        <v>800</v>
      </c>
      <c r="H7" s="49">
        <f t="shared" ref="H7:H16" si="1">F7/$F$17</f>
        <v>0.15291051259774111</v>
      </c>
      <c r="I7" s="26"/>
      <c r="J7" s="139">
        <f>SUM(('2025-2029 Category Detail'!L8*'2025-2029 Category Detail'!$T$8),('2025-2029 Category Detail'!L9*'2025-2029 Category Detail'!$T$9),('2025-2029 Category Detail'!L10*'2025-2029 Category Detail'!$T$10),('2025-2029 Category Detail'!L11*'2025-2029 Category Detail'!$T$11),('2025-2029 Category Detail'!L12*'2025-2029 Category Detail'!$T$12),('2025-2029 Category Detail'!L13*'2025-2029 Category Detail'!$T$13),('2025-2029 Category Detail'!L14*'2025-2029 Category Detail'!$T$14),('2025-2029 Category Detail'!L15*'2025-2029 Category Detail'!$T$15))</f>
        <v>5650</v>
      </c>
      <c r="K7" s="139">
        <f>SUM(('2025-2029 Category Detail'!M8*'2025-2029 Category Detail'!$T$8),('2025-2029 Category Detail'!M9*'2025-2029 Category Detail'!$T$9),('2025-2029 Category Detail'!M10*'2025-2029 Category Detail'!$T$10),('2025-2029 Category Detail'!M11*'2025-2029 Category Detail'!$T$11),('2025-2029 Category Detail'!M12*'2025-2029 Category Detail'!$T$12),('2025-2029 Category Detail'!M13*'2025-2029 Category Detail'!$T$13),('2025-2029 Category Detail'!M14*'2025-2029 Category Detail'!$T$14),('2025-2029 Category Detail'!M15*'2025-2029 Category Detail'!$T$15))</f>
        <v>16900</v>
      </c>
      <c r="L7" s="139">
        <f>SUM(('2025-2029 Category Detail'!N8*'2025-2029 Category Detail'!$T$8),('2025-2029 Category Detail'!N9*'2025-2029 Category Detail'!$T$9),('2025-2029 Category Detail'!N10*'2025-2029 Category Detail'!$T$10),('2025-2029 Category Detail'!N11*'2025-2029 Category Detail'!$T$11),('2025-2029 Category Detail'!N12*'2025-2029 Category Detail'!$T$12),('2025-2029 Category Detail'!N13*'2025-2029 Category Detail'!$T$13),('2025-2029 Category Detail'!N14*'2025-2029 Category Detail'!$T$14),('2025-2029 Category Detail'!N15*'2025-2029 Category Detail'!$T$15))</f>
        <v>0</v>
      </c>
      <c r="M7" s="231">
        <f>SUM(J7:L7)</f>
        <v>22550</v>
      </c>
      <c r="N7" s="144">
        <f>SUM(('2025-2029 Category Detail'!P8*'2025-2029 Category Detail'!$T$8),('2025-2029 Category Detail'!P9*'2025-2029 Category Detail'!$T$9),('2025-2029 Category Detail'!P10*'2025-2029 Category Detail'!$T$10),('2025-2029 Category Detail'!P11*'2025-2029 Category Detail'!$T$11),('2025-2029 Category Detail'!P12*'2025-2029 Category Detail'!$T$12),('2025-2029 Category Detail'!P13*'2025-2029 Category Detail'!$T$13),('2025-2029 Category Detail'!P14*'2025-2029 Category Detail'!$T$14),('2025-2029 Category Detail'!P15*'2025-2029 Category Detail'!$T$15))</f>
        <v>820</v>
      </c>
      <c r="O7" s="49">
        <f t="shared" ref="O7:O16" si="2">M7/$M$17</f>
        <v>0.16477895506028498</v>
      </c>
      <c r="P7" s="10"/>
      <c r="Q7" s="235">
        <f>SUM(('2025-2029 Category Detail'!V8*'2025-2029 Category Detail'!$AD$8),('2025-2029 Category Detail'!V9*'2025-2029 Category Detail'!$AD$9),('2025-2029 Category Detail'!V10*'2025-2029 Category Detail'!$AD$10),('2025-2029 Category Detail'!V11*'2025-2029 Category Detail'!$AD$11),('2025-2029 Category Detail'!V12*'2025-2029 Category Detail'!$AD$12),('2025-2029 Category Detail'!V13*'2025-2029 Category Detail'!$AD$13),('2025-2029 Category Detail'!V14*'2025-2029 Category Detail'!$AD$14),('2025-2029 Category Detail'!V15*'2025-2029 Category Detail'!$AD$15))</f>
        <v>10150</v>
      </c>
      <c r="R7" s="235">
        <f>SUM(('2025-2029 Category Detail'!W8*'2025-2029 Category Detail'!$AD$8),('2025-2029 Category Detail'!W9*'2025-2029 Category Detail'!$AD$9),('2025-2029 Category Detail'!W10*'2025-2029 Category Detail'!$AD$10),('2025-2029 Category Detail'!W11*'2025-2029 Category Detail'!$AD$11),('2025-2029 Category Detail'!W12*'2025-2029 Category Detail'!$AD$12),('2025-2029 Category Detail'!W13*'2025-2029 Category Detail'!$AD$13),('2025-2029 Category Detail'!W14*'2025-2029 Category Detail'!$AD$14),('2025-2029 Category Detail'!W15*'2025-2029 Category Detail'!$AD$15))</f>
        <v>30275</v>
      </c>
      <c r="S7" s="235">
        <f>SUM(('2025-2029 Category Detail'!X8*'2025-2029 Category Detail'!$AD$8),('2025-2029 Category Detail'!X9*'2025-2029 Category Detail'!$AD$9),('2025-2029 Category Detail'!X10*'2025-2029 Category Detail'!$AD$10),('2025-2029 Category Detail'!X11*'2025-2029 Category Detail'!$AD$11),('2025-2029 Category Detail'!X12*'2025-2029 Category Detail'!$AD$12),('2025-2029 Category Detail'!X13*'2025-2029 Category Detail'!$AD$13),('2025-2029 Category Detail'!X14*'2025-2029 Category Detail'!$AD$14),('2025-2029 Category Detail'!X15*'2025-2029 Category Detail'!$AD$15))</f>
        <v>0</v>
      </c>
      <c r="T7" s="149">
        <f>SUM(Q7:S7)</f>
        <v>40425</v>
      </c>
      <c r="U7" s="236">
        <f>SUM(('2025-2029 Category Detail'!Z8*'2025-2029 Category Detail'!$AD$8),('2025-2029 Category Detail'!Z9*'2025-2029 Category Detail'!$AD$9),('2025-2029 Category Detail'!Z10*'2025-2029 Category Detail'!$AD$10),('2025-2029 Category Detail'!Z11*'2025-2029 Category Detail'!$AD$11),('2025-2029 Category Detail'!Z12*'2025-2029 Category Detail'!$AD$12),('2025-2029 Category Detail'!Z13*'2025-2029 Category Detail'!$AD$13),('2025-2029 Category Detail'!Z14*'2025-2029 Category Detail'!$AD$14),('2025-2029 Category Detail'!Z15*'2025-2029 Category Detail'!$AD$15))</f>
        <v>1470</v>
      </c>
      <c r="V7" s="49">
        <f t="shared" ref="V7:V16" si="3">T7/$T$17</f>
        <v>0.32646880678376744</v>
      </c>
      <c r="X7" s="235">
        <f>SUM(('2025-2029 Category Detail'!AF8*'2025-2029 Category Detail'!$AN$8),('2025-2029 Category Detail'!AF9*'2025-2029 Category Detail'!$AN$9),('2025-2029 Category Detail'!AF10*'2025-2029 Category Detail'!$AN$10),('2025-2029 Category Detail'!AF11*'2025-2029 Category Detail'!$AN$11),('2025-2029 Category Detail'!AF12*'2025-2029 Category Detail'!$AN$12),('2025-2029 Category Detail'!AF13*'2025-2029 Category Detail'!$AN$13),('2025-2029 Category Detail'!AF14*'2025-2029 Category Detail'!$AN$14),('2025-2029 Category Detail'!AF15*'2025-2029 Category Detail'!$AN$15))</f>
        <v>4425</v>
      </c>
      <c r="Y7" s="235">
        <f>SUM(('2025-2029 Category Detail'!AG8*'2025-2029 Category Detail'!$AN$8),('2025-2029 Category Detail'!AG9*'2025-2029 Category Detail'!$AN$9),('2025-2029 Category Detail'!AG10*'2025-2029 Category Detail'!$AN$10),('2025-2029 Category Detail'!AG11*'2025-2029 Category Detail'!$AN$11),('2025-2029 Category Detail'!AG12*'2025-2029 Category Detail'!$AN$12),('2025-2029 Category Detail'!AG13*'2025-2029 Category Detail'!$AN$13),('2025-2029 Category Detail'!AG14*'2025-2029 Category Detail'!$AN$14),('2025-2029 Category Detail'!AG15*'2025-2029 Category Detail'!$AN$15))</f>
        <v>13350</v>
      </c>
      <c r="Z7" s="235">
        <f>SUM(('2025-2029 Category Detail'!AH8*'2025-2029 Category Detail'!$AN$8),('2025-2029 Category Detail'!AH9*'2025-2029 Category Detail'!$AN$9),('2025-2029 Category Detail'!AH10*'2025-2029 Category Detail'!$AN$10),('2025-2029 Category Detail'!AH11*'2025-2029 Category Detail'!$AN$11),('2025-2029 Category Detail'!AH12*'2025-2029 Category Detail'!$AN$12),('2025-2029 Category Detail'!AH13*'2025-2029 Category Detail'!$AN$13),('2025-2029 Category Detail'!AH14*'2025-2029 Category Detail'!$AN$14),('2025-2029 Category Detail'!AH15*'2025-2029 Category Detail'!$AN$15))</f>
        <v>0</v>
      </c>
      <c r="AA7" s="149">
        <f>SUM(X7:Z7)</f>
        <v>17775</v>
      </c>
      <c r="AB7" s="235">
        <f>SUM(('2025-2029 Category Detail'!AJ8*'2025-2029 Category Detail'!$AN$8),('2025-2029 Category Detail'!AJ9*'2025-2029 Category Detail'!$AN$9),('2025-2029 Category Detail'!AJ10*'2025-2029 Category Detail'!$AN$10),('2025-2029 Category Detail'!AJ11*'2025-2029 Category Detail'!$AN$11),('2025-2029 Category Detail'!AJ12*'2025-2029 Category Detail'!$AN$12),('2025-2029 Category Detail'!AJ13*'2025-2029 Category Detail'!$AN$13),('2025-2029 Category Detail'!AJ14*'2025-2029 Category Detail'!$AN$14),('2025-2029 Category Detail'!AJ15*'2025-2029 Category Detail'!$AN$15))</f>
        <v>645</v>
      </c>
      <c r="AC7" s="49">
        <f t="shared" ref="AC7:AC16" si="4">AA7/$AA$17</f>
        <v>0.14632640461000207</v>
      </c>
      <c r="AE7" s="235">
        <f>SUM(('2025-2029 Category Detail'!AP8*'2025-2029 Category Detail'!$AX$8),('2025-2029 Category Detail'!AP9*'2025-2029 Category Detail'!$AX$9),('2025-2029 Category Detail'!AP10*'2025-2029 Category Detail'!$AX$10),('2025-2029 Category Detail'!AP11*'2025-2029 Category Detail'!$AX$11),('2025-2029 Category Detail'!AP12*'2025-2029 Category Detail'!$AX$12),('2025-2029 Category Detail'!AP13*'2025-2029 Category Detail'!$AX$13),('2025-2029 Category Detail'!AP14*'2025-2029 Category Detail'!$AX$14),('2025-2029 Category Detail'!AP15*'2025-2029 Category Detail'!$AX$15))</f>
        <v>4575</v>
      </c>
      <c r="AF7" s="235">
        <f>SUM(('2025-2029 Category Detail'!AQ8*'2025-2029 Category Detail'!$AX$8),('2025-2029 Category Detail'!AQ9*'2025-2029 Category Detail'!$AX$9),('2025-2029 Category Detail'!AQ10*'2025-2029 Category Detail'!$AX$10),('2025-2029 Category Detail'!AQ11*'2025-2029 Category Detail'!$AX$11),('2025-2029 Category Detail'!AQ12*'2025-2029 Category Detail'!$AX$12),('2025-2029 Category Detail'!AQ13*'2025-2029 Category Detail'!$AX$13),('2025-2029 Category Detail'!AQ14*'2025-2029 Category Detail'!$AX$14),('2025-2029 Category Detail'!AQ15*'2025-2029 Category Detail'!$AX$15))</f>
        <v>13650</v>
      </c>
      <c r="AG7" s="235">
        <f>SUM(('2025-2029 Category Detail'!AR8*'2025-2029 Category Detail'!$AX$8),('2025-2029 Category Detail'!AR9*'2025-2029 Category Detail'!$AX$9),('2025-2029 Category Detail'!AR10*'2025-2029 Category Detail'!$AX$10),('2025-2029 Category Detail'!AR11*'2025-2029 Category Detail'!$AX$11),('2025-2029 Category Detail'!AR12*'2025-2029 Category Detail'!$AX$12),('2025-2029 Category Detail'!AR13*'2025-2029 Category Detail'!$AX$13),('2025-2029 Category Detail'!AR14*'2025-2029 Category Detail'!$AX$14),('2025-2029 Category Detail'!AR15*'2025-2029 Category Detail'!$AX$15))</f>
        <v>0</v>
      </c>
      <c r="AH7" s="149">
        <f>SUM(AE7:AG7)</f>
        <v>18225</v>
      </c>
      <c r="AI7" s="236">
        <f>SUM(('2025-2029 Category Detail'!AT8*'2025-2029 Category Detail'!$AX$8),('2025-2029 Category Detail'!AT9*'2025-2029 Category Detail'!$AX$9),('2025-2029 Category Detail'!AT10*'2025-2029 Category Detail'!$AX$10),('2025-2029 Category Detail'!AT11*'2025-2029 Category Detail'!$AX$11),('2025-2029 Category Detail'!AT12*'2025-2029 Category Detail'!$AX$12),('2025-2029 Category Detail'!AT13*'2025-2029 Category Detail'!$AX$13),('2025-2029 Category Detail'!AT14*'2025-2029 Category Detail'!$AX$14),('2025-2029 Category Detail'!AT15*'2025-2029 Category Detail'!$AX$15))</f>
        <v>660</v>
      </c>
      <c r="AJ7" s="49">
        <f t="shared" ref="AJ7:AJ16" si="5">AH7/$AH$17</f>
        <v>0.15174854288093256</v>
      </c>
    </row>
    <row r="8" spans="2:36" ht="31.5" customHeight="1" x14ac:dyDescent="0.25">
      <c r="B8" s="46" t="s">
        <v>246</v>
      </c>
      <c r="C8" s="139">
        <f>SUM(('2025-2029 Category Detail'!B17*'2025-2029 Category Detail'!$J$17),('2025-2029 Category Detail'!B18*'2025-2029 Category Detail'!$J$18),('2025-2029 Category Detail'!B19*'2025-2029 Category Detail'!$J$19),('2025-2029 Category Detail'!B20*'2025-2029 Category Detail'!$J$20),('2025-2029 Category Detail'!B21*'2025-2029 Category Detail'!$J$21),('2025-2029 Category Detail'!B22*'2025-2029 Category Detail'!$J$22))</f>
        <v>1375</v>
      </c>
      <c r="D8" s="139">
        <f>SUM(('2025-2029 Category Detail'!C17*'2025-2029 Category Detail'!$J$17),('2025-2029 Category Detail'!C18*'2025-2029 Category Detail'!$J$18),('2025-2029 Category Detail'!C19*'2025-2029 Category Detail'!$J$19),('2025-2029 Category Detail'!C20*'2025-2029 Category Detail'!$J$20),('2025-2029 Category Detail'!C21*'2025-2029 Category Detail'!$J$21),('2025-2029 Category Detail'!C22*'2025-2029 Category Detail'!$J$22))</f>
        <v>10000</v>
      </c>
      <c r="E8" s="139">
        <f>SUM(('2025-2029 Category Detail'!D17*'2025-2029 Category Detail'!$J$17),('2025-2029 Category Detail'!D18*'2025-2029 Category Detail'!$J$18),('2025-2029 Category Detail'!D19*'2025-2029 Category Detail'!$J$19),('2025-2029 Category Detail'!D20*'2025-2029 Category Detail'!$J$20),('2025-2029 Category Detail'!D21*'2025-2029 Category Detail'!$J$21),('2025-2029 Category Detail'!D22*'2025-2029 Category Detail'!$J$22))</f>
        <v>0</v>
      </c>
      <c r="F8" s="231">
        <f t="shared" si="0"/>
        <v>11375</v>
      </c>
      <c r="G8" s="144">
        <f>SUM(('2025-2029 Category Detail'!F17*'2025-2029 Category Detail'!$J$17),('2025-2029 Category Detail'!F18*'2025-2029 Category Detail'!$J$18),('2025-2029 Category Detail'!F19*'2025-2029 Category Detail'!$J$19),('2025-2029 Category Detail'!F20*'2025-2029 Category Detail'!$J$20),('2025-2029 Category Detail'!F21*'2025-2029 Category Detail'!$J$21),('2025-2029 Category Detail'!F22*'2025-2029 Category Detail'!$J$22))</f>
        <v>200</v>
      </c>
      <c r="H8" s="49">
        <f t="shared" si="1"/>
        <v>7.9061685490877498E-2</v>
      </c>
      <c r="I8" s="27"/>
      <c r="J8" s="139">
        <f>SUM(('2025-2029 Category Detail'!L17*'2025-2029 Category Detail'!$T$17),('2025-2029 Category Detail'!L18*'2025-2029 Category Detail'!$T$18),('2025-2029 Category Detail'!L19*'2025-2029 Category Detail'!$T$19),('2025-2029 Category Detail'!L20*'2025-2029 Category Detail'!$T$20),('2025-2029 Category Detail'!L21*'2025-2029 Category Detail'!$T$21),('2025-2029 Category Detail'!L22*'2025-2029 Category Detail'!$T$22))</f>
        <v>0</v>
      </c>
      <c r="K8" s="139">
        <f>SUM(('2025-2029 Category Detail'!M17*'2025-2029 Category Detail'!$T$17),('2025-2029 Category Detail'!M18*'2025-2029 Category Detail'!$T$18),('2025-2029 Category Detail'!M19*'2025-2029 Category Detail'!$T$19),('2025-2029 Category Detail'!M20*'2025-2029 Category Detail'!$T$20),('2025-2029 Category Detail'!M21*'2025-2029 Category Detail'!$T$21),('2025-2029 Category Detail'!M22*'2025-2029 Category Detail'!$T$22))</f>
        <v>0</v>
      </c>
      <c r="L8" s="139">
        <f>SUM(('2025-2029 Category Detail'!N17*'2025-2029 Category Detail'!$T$17),('2025-2029 Category Detail'!N18*'2025-2029 Category Detail'!$T$18),('2025-2029 Category Detail'!N19*'2025-2029 Category Detail'!$T$19),('2025-2029 Category Detail'!N20*'2025-2029 Category Detail'!$T$20),('2025-2029 Category Detail'!N21*'2025-2029 Category Detail'!$T$21),('2025-2029 Category Detail'!N22*'2025-2029 Category Detail'!$T$22))</f>
        <v>0</v>
      </c>
      <c r="M8" s="231">
        <f t="shared" ref="M8:M16" si="6">SUM(J8:L8)</f>
        <v>0</v>
      </c>
      <c r="N8" s="144">
        <f>SUM(('2025-2029 Category Detail'!P17*'2025-2029 Category Detail'!$T$17),('2025-2029 Category Detail'!P18*'2025-2029 Category Detail'!$T$18),('2025-2029 Category Detail'!P19*'2025-2029 Category Detail'!$T$19),('2025-2029 Category Detail'!P20*'2025-2029 Category Detail'!$T$20),('2025-2029 Category Detail'!P21*'2025-2029 Category Detail'!$T$21),('2025-2029 Category Detail'!P22*'2025-2029 Category Detail'!$T$22))</f>
        <v>0</v>
      </c>
      <c r="O8" s="49">
        <f t="shared" si="2"/>
        <v>0</v>
      </c>
      <c r="P8" s="10"/>
      <c r="Q8" s="235">
        <f>SUM(('2025-2029 Category Detail'!V17*'2025-2029 Category Detail'!$AD$17),('2025-2029 Category Detail'!V18*'2025-2029 Category Detail'!$AD$18),('2025-2029 Category Detail'!V19*'2025-2029 Category Detail'!$AD$19),('2025-2029 Category Detail'!V20*'2025-2029 Category Detail'!$AD$20),('2025-2029 Category Detail'!V21*'2025-2029 Category Detail'!$AD$21),('2025-2029 Category Detail'!V22*'2025-2029 Category Detail'!$AD$22))</f>
        <v>0</v>
      </c>
      <c r="R8" s="235">
        <f>SUM(('2025-2029 Category Detail'!W17*'2025-2029 Category Detail'!$AD$17),('2025-2029 Category Detail'!W18*'2025-2029 Category Detail'!$AD$18),('2025-2029 Category Detail'!W19*'2025-2029 Category Detail'!$AD$19),('2025-2029 Category Detail'!W20*'2025-2029 Category Detail'!$AD$20),('2025-2029 Category Detail'!W21*'2025-2029 Category Detail'!$AD$21),('2025-2029 Category Detail'!W22*'2025-2029 Category Detail'!$AD$22))</f>
        <v>0</v>
      </c>
      <c r="S8" s="235">
        <f>SUM(('2025-2029 Category Detail'!X17*'2025-2029 Category Detail'!$AD$17),('2025-2029 Category Detail'!X18*'2025-2029 Category Detail'!$AD$18),('2025-2029 Category Detail'!X19*'2025-2029 Category Detail'!$AD$19),('2025-2029 Category Detail'!X20*'2025-2029 Category Detail'!$AD$20),('2025-2029 Category Detail'!X21*'2025-2029 Category Detail'!$AD$21),('2025-2029 Category Detail'!X22*'2025-2029 Category Detail'!$AD$22))</f>
        <v>0</v>
      </c>
      <c r="T8" s="149">
        <f t="shared" ref="T8:T16" si="7">SUM(Q8:S8)</f>
        <v>0</v>
      </c>
      <c r="U8" s="236">
        <f>SUM(('2025-2029 Category Detail'!Z17*'2025-2029 Category Detail'!$AD$17),('2025-2029 Category Detail'!Z18*'2025-2029 Category Detail'!$AD$18),('2025-2029 Category Detail'!Z19*'2025-2029 Category Detail'!$AD$19),('2025-2029 Category Detail'!Z20*'2025-2029 Category Detail'!$AD$20),('2025-2029 Category Detail'!Z21*'2025-2029 Category Detail'!$AD$21),('2025-2029 Category Detail'!Z22*'2025-2029 Category Detail'!$AD$22))</f>
        <v>0</v>
      </c>
      <c r="V8" s="49">
        <f t="shared" si="3"/>
        <v>0</v>
      </c>
      <c r="X8" s="235">
        <f>SUM(('2025-2029 Category Detail'!AF17*'2025-2029 Category Detail'!$AN$17),('2025-2029 Category Detail'!AF18*'2025-2029 Category Detail'!$AN$18),('2025-2029 Category Detail'!AF19*'2025-2029 Category Detail'!$AN$19),('2025-2029 Category Detail'!AF20*'2025-2029 Category Detail'!$AN$20),('2025-2029 Category Detail'!AF21*'2025-2029 Category Detail'!$AN$21),('2025-2029 Category Detail'!AF22*'2025-2029 Category Detail'!$AN$22))</f>
        <v>0</v>
      </c>
      <c r="Y8" s="235">
        <f>SUM(('2025-2029 Category Detail'!AG17*'2025-2029 Category Detail'!$AN$17),('2025-2029 Category Detail'!AG18*'2025-2029 Category Detail'!$AN$18),('2025-2029 Category Detail'!AG19*'2025-2029 Category Detail'!$AN$19),('2025-2029 Category Detail'!AG20*'2025-2029 Category Detail'!$AN$20),('2025-2029 Category Detail'!AG21*'2025-2029 Category Detail'!$AN$21),('2025-2029 Category Detail'!AG22*'2025-2029 Category Detail'!$AN$22))</f>
        <v>0</v>
      </c>
      <c r="Z8" s="235">
        <f>SUM(('2025-2029 Category Detail'!AH17*'2025-2029 Category Detail'!$AN$17),('2025-2029 Category Detail'!AH18*'2025-2029 Category Detail'!$AN$18),('2025-2029 Category Detail'!AH19*'2025-2029 Category Detail'!$AN$19),('2025-2029 Category Detail'!AH20*'2025-2029 Category Detail'!$AN$20),('2025-2029 Category Detail'!AH21*'2025-2029 Category Detail'!$AN$21),('2025-2029 Category Detail'!AH22*'2025-2029 Category Detail'!$AN$22))</f>
        <v>0</v>
      </c>
      <c r="AA8" s="149">
        <f t="shared" ref="AA8:AA16" si="8">SUM(X8:Z8)</f>
        <v>0</v>
      </c>
      <c r="AB8" s="235">
        <f>SUM(('2025-2029 Category Detail'!AJ17*'2025-2029 Category Detail'!$AN$17),('2025-2029 Category Detail'!AJ18*'2025-2029 Category Detail'!$AN$18),('2025-2029 Category Detail'!AJ19*'2025-2029 Category Detail'!$AN$19),('2025-2029 Category Detail'!AJ20*'2025-2029 Category Detail'!$AN$20),('2025-2029 Category Detail'!AJ21*'2025-2029 Category Detail'!$AN$21),('2025-2029 Category Detail'!AJ22*'2025-2029 Category Detail'!$AN$22))</f>
        <v>0</v>
      </c>
      <c r="AC8" s="49">
        <f t="shared" si="4"/>
        <v>0</v>
      </c>
      <c r="AE8" s="235">
        <f>SUM(('2025-2029 Category Detail'!AP17*'2025-2029 Category Detail'!$AX$17),('2025-2029 Category Detail'!AP18*'2025-2029 Category Detail'!$AX$18),('2025-2029 Category Detail'!AP19*'2025-2029 Category Detail'!$AX$19),('2025-2029 Category Detail'!AP20*'2025-2029 Category Detail'!$AX$20),('2025-2029 Category Detail'!AP21*'2025-2029 Category Detail'!$AX$21),('2025-2029 Category Detail'!AP22*'2025-2029 Category Detail'!$AX$22))</f>
        <v>1525</v>
      </c>
      <c r="AF8" s="235">
        <f>SUM(('2025-2029 Category Detail'!AQ17*'2025-2029 Category Detail'!$AX$17),('2025-2029 Category Detail'!AQ18*'2025-2029 Category Detail'!$AX$18),('2025-2029 Category Detail'!AQ19*'2025-2029 Category Detail'!$AX$19),('2025-2029 Category Detail'!AQ20*'2025-2029 Category Detail'!$AX$20),('2025-2029 Category Detail'!AQ21*'2025-2029 Category Detail'!$AX$21),('2025-2029 Category Detail'!AQ22*'2025-2029 Category Detail'!$AX$22))</f>
        <v>11050</v>
      </c>
      <c r="AG8" s="235">
        <f>SUM(('2025-2029 Category Detail'!AR17*'2025-2029 Category Detail'!$AX$17),('2025-2029 Category Detail'!AR18*'2025-2029 Category Detail'!$AX$18),('2025-2029 Category Detail'!AR19*'2025-2029 Category Detail'!$AX$19),('2025-2029 Category Detail'!AR20*'2025-2029 Category Detail'!$AX$20),('2025-2029 Category Detail'!AR21*'2025-2029 Category Detail'!$AX$21),('2025-2029 Category Detail'!AR22*'2025-2029 Category Detail'!$AX$22))</f>
        <v>0</v>
      </c>
      <c r="AH8" s="149">
        <f t="shared" ref="AH8:AH16" si="9">SUM(AE8:AG8)</f>
        <v>12575</v>
      </c>
      <c r="AI8" s="236">
        <f>SUM(('2025-2029 Category Detail'!AT17*'2025-2029 Category Detail'!$AX$17),('2025-2029 Category Detail'!AT18*'2025-2029 Category Detail'!$AX$18),('2025-2029 Category Detail'!AT19*'2025-2029 Category Detail'!$AX$19),('2025-2029 Category Detail'!AT20*'2025-2029 Category Detail'!$AX$20),('2025-2029 Category Detail'!AT21*'2025-2029 Category Detail'!$AX$21),('2025-2029 Category Detail'!AT22*'2025-2029 Category Detail'!$AX$22))</f>
        <v>220</v>
      </c>
      <c r="AJ8" s="49">
        <f t="shared" si="5"/>
        <v>0.10470441298917568</v>
      </c>
    </row>
    <row r="9" spans="2:36" ht="31.5" customHeight="1" x14ac:dyDescent="0.25">
      <c r="B9" s="46" t="s">
        <v>247</v>
      </c>
      <c r="C9" s="139">
        <f>SUM(('2025-2029 Category Detail'!B24*'2025-2029 Category Detail'!$J$24),('2025-2029 Category Detail'!B25*'2025-2029 Category Detail'!$J$25),('2025-2029 Category Detail'!B26*'2025-2029 Category Detail'!$J$26))</f>
        <v>0</v>
      </c>
      <c r="D9" s="139">
        <f>SUM(('2025-2029 Category Detail'!C24*'2025-2029 Category Detail'!$J$24),('2025-2029 Category Detail'!C25*'2025-2029 Category Detail'!$J$25),('2025-2029 Category Detail'!C26*'2025-2029 Category Detail'!$J$26))</f>
        <v>0</v>
      </c>
      <c r="E9" s="139">
        <f>SUM(('2025-2029 Category Detail'!D24*'2025-2029 Category Detail'!$J$24),('2025-2029 Category Detail'!D25*'2025-2029 Category Detail'!$J$25),('2025-2029 Category Detail'!D26*'2025-2029 Category Detail'!$J$26))</f>
        <v>0</v>
      </c>
      <c r="F9" s="231">
        <f t="shared" si="0"/>
        <v>0</v>
      </c>
      <c r="G9" s="144">
        <f>SUM(('2025-2029 Category Detail'!F24*'2025-2029 Category Detail'!$J$24),('2025-2029 Category Detail'!F25*'2025-2029 Category Detail'!$J$25),('2025-2029 Category Detail'!F26*'2025-2029 Category Detail'!$J$26))</f>
        <v>0</v>
      </c>
      <c r="H9" s="49">
        <f t="shared" si="1"/>
        <v>0</v>
      </c>
      <c r="I9" s="27"/>
      <c r="J9" s="139">
        <f>SUM(('2025-2029 Category Detail'!L24*'2025-2029 Category Detail'!$T$24),('2025-2029 Category Detail'!L25*'2025-2029 Category Detail'!$T$25),('2025-2029 Category Detail'!L26*'2025-2029 Category Detail'!$T$26))</f>
        <v>0</v>
      </c>
      <c r="K9" s="139">
        <f>SUM(('2025-2029 Category Detail'!M24*'2025-2029 Category Detail'!$T$24),('2025-2029 Category Detail'!M25*'2025-2029 Category Detail'!$T$25),('2025-2029 Category Detail'!M26*'2025-2029 Category Detail'!$T$26))</f>
        <v>0</v>
      </c>
      <c r="L9" s="139">
        <f>SUM(('2025-2029 Category Detail'!N24*'2025-2029 Category Detail'!$T$24),('2025-2029 Category Detail'!N25*'2025-2029 Category Detail'!$T$25),('2025-2029 Category Detail'!N26*'2025-2029 Category Detail'!$T$26))</f>
        <v>0</v>
      </c>
      <c r="M9" s="231">
        <f t="shared" si="6"/>
        <v>0</v>
      </c>
      <c r="N9" s="144">
        <f>SUM(('2025-2029 Category Detail'!P24*'2025-2029 Category Detail'!$T$24),('2025-2029 Category Detail'!P25*'2025-2029 Category Detail'!$T$25),('2025-2029 Category Detail'!P26*'2025-2029 Category Detail'!$T$26))</f>
        <v>0</v>
      </c>
      <c r="O9" s="49">
        <f t="shared" si="2"/>
        <v>0</v>
      </c>
      <c r="P9" s="10"/>
      <c r="Q9" s="235">
        <f>SUM(('2025-2029 Category Detail'!V24*'2025-2029 Category Detail'!$AD$24),('2025-2029 Category Detail'!V25*'2025-2029 Category Detail'!$AD$25),('2025-2029 Category Detail'!V26*'2025-2029 Category Detail'!$AD$26))</f>
        <v>0</v>
      </c>
      <c r="R9" s="235">
        <f>SUM(('2025-2029 Category Detail'!W24*'2025-2029 Category Detail'!$AD$24),('2025-2029 Category Detail'!W25*'2025-2029 Category Detail'!$AD$25),('2025-2029 Category Detail'!W26*'2025-2029 Category Detail'!$AD$26))</f>
        <v>0</v>
      </c>
      <c r="S9" s="235">
        <f>SUM(('2025-2029 Category Detail'!X24*'2025-2029 Category Detail'!$AD$24),('2025-2029 Category Detail'!X25*'2025-2029 Category Detail'!$AD$25),('2025-2029 Category Detail'!X26*'2025-2029 Category Detail'!$AD$26))</f>
        <v>0</v>
      </c>
      <c r="T9" s="149">
        <f t="shared" si="7"/>
        <v>0</v>
      </c>
      <c r="U9" s="236">
        <f>SUM(('2025-2029 Category Detail'!Z24*'2025-2029 Category Detail'!$AD$24),('2025-2029 Category Detail'!Z25*'2025-2029 Category Detail'!$AD$25),('2025-2029 Category Detail'!Z26*'2025-2029 Category Detail'!$AD$26))</f>
        <v>0</v>
      </c>
      <c r="V9" s="49">
        <f t="shared" si="3"/>
        <v>0</v>
      </c>
      <c r="X9" s="235">
        <f>SUM(('2025-2029 Category Detail'!AF24*'2025-2029 Category Detail'!$AN$24),('2025-2029 Category Detail'!AF25*'2025-2029 Category Detail'!$AN$25),('2025-2029 Category Detail'!AF26*'2025-2029 Category Detail'!$AN$26))</f>
        <v>0</v>
      </c>
      <c r="Y9" s="235">
        <f>SUM(('2025-2029 Category Detail'!AG24*'2025-2029 Category Detail'!$AN$24),('2025-2029 Category Detail'!AG25*'2025-2029 Category Detail'!$AN$25),('2025-2029 Category Detail'!AG26*'2025-2029 Category Detail'!$AN$26))</f>
        <v>0</v>
      </c>
      <c r="Z9" s="235">
        <f>SUM(('2025-2029 Category Detail'!AH24*'2025-2029 Category Detail'!$AN$24),('2025-2029 Category Detail'!AH25*'2025-2029 Category Detail'!$AN$25),('2025-2029 Category Detail'!AH26*'2025-2029 Category Detail'!$AN$26))</f>
        <v>0</v>
      </c>
      <c r="AA9" s="149">
        <f t="shared" si="8"/>
        <v>0</v>
      </c>
      <c r="AB9" s="235">
        <f>SUM(('2025-2029 Category Detail'!AJ24*'2025-2029 Category Detail'!$AN$24),('2025-2029 Category Detail'!AJ25*'2025-2029 Category Detail'!$AN$25),('2025-2029 Category Detail'!AJ26*'2025-2029 Category Detail'!$AN$26))</f>
        <v>0</v>
      </c>
      <c r="AC9" s="49">
        <f t="shared" si="4"/>
        <v>0</v>
      </c>
      <c r="AE9" s="235">
        <f>SUM(('2025-2029 Category Detail'!AP24*'2025-2029 Category Detail'!$AX$24),('2025-2029 Category Detail'!AP25*'2025-2029 Category Detail'!$AX$25),('2025-2029 Category Detail'!AP26*'2025-2029 Category Detail'!$AX$26))</f>
        <v>0</v>
      </c>
      <c r="AF9" s="235">
        <f>SUM(('2025-2029 Category Detail'!AQ24*'2025-2029 Category Detail'!$AX$24),('2025-2029 Category Detail'!AQ25*'2025-2029 Category Detail'!$AX$25),('2025-2029 Category Detail'!AQ26*'2025-2029 Category Detail'!$AX$26))</f>
        <v>0</v>
      </c>
      <c r="AG9" s="235">
        <f>SUM(('2025-2029 Category Detail'!AR24*'2025-2029 Category Detail'!$AX$24),('2025-2029 Category Detail'!AR25*'2025-2029 Category Detail'!$AX$25),('2025-2029 Category Detail'!AR26*'2025-2029 Category Detail'!$AX$26))</f>
        <v>0</v>
      </c>
      <c r="AH9" s="149">
        <f t="shared" si="9"/>
        <v>0</v>
      </c>
      <c r="AI9" s="236">
        <f>SUM(('2025-2029 Category Detail'!AT24*'2025-2029 Category Detail'!$AX$24),('2025-2029 Category Detail'!AT25*'2025-2029 Category Detail'!$AX$25),('2025-2029 Category Detail'!AT26*'2025-2029 Category Detail'!$AX$26))</f>
        <v>0</v>
      </c>
      <c r="AJ9" s="49">
        <f t="shared" si="5"/>
        <v>0</v>
      </c>
    </row>
    <row r="10" spans="2:36" ht="31.5" customHeight="1" x14ac:dyDescent="0.25">
      <c r="B10" s="28" t="s">
        <v>248</v>
      </c>
      <c r="C10" s="140">
        <f>SUM(('2025-2029 Category Detail'!B28*'2025-2029 Category Detail'!$J$28),('2025-2029 Category Detail'!B29*'2025-2029 Category Detail'!$J$29),('2025-2029 Category Detail'!B30*'2025-2029 Category Detail'!$J$30))</f>
        <v>0</v>
      </c>
      <c r="D10" s="140">
        <f>SUM(('2025-2029 Category Detail'!C28*'2025-2029 Category Detail'!$J$28),('2025-2029 Category Detail'!C29*'2025-2029 Category Detail'!$J$29),('2025-2029 Category Detail'!C30*'2025-2029 Category Detail'!$J$30))</f>
        <v>0</v>
      </c>
      <c r="E10" s="140">
        <f>SUM(('2025-2029 Category Detail'!D28*'2025-2029 Category Detail'!$J$28),('2025-2029 Category Detail'!D29*'2025-2029 Category Detail'!$J$29),('2025-2029 Category Detail'!D30*'2025-2029 Category Detail'!$J$30))</f>
        <v>0</v>
      </c>
      <c r="F10" s="232">
        <f t="shared" si="0"/>
        <v>0</v>
      </c>
      <c r="G10" s="145">
        <f>SUM(('2025-2029 Category Detail'!F28*'2025-2029 Category Detail'!$J$28),('2025-2029 Category Detail'!F29*'2025-2029 Category Detail'!$J$29),('2025-2029 Category Detail'!F30*'2025-2029 Category Detail'!$J$30))</f>
        <v>0</v>
      </c>
      <c r="H10" s="32">
        <f t="shared" si="1"/>
        <v>0</v>
      </c>
      <c r="I10" s="26"/>
      <c r="J10" s="140">
        <f>SUM(('2025-2029 Category Detail'!L28*'2025-2029 Category Detail'!$T$28),('2025-2029 Category Detail'!L29*'2025-2029 Category Detail'!$T$29),('2025-2029 Category Detail'!L30*'2025-2029 Category Detail'!$T$30))</f>
        <v>0</v>
      </c>
      <c r="K10" s="140">
        <f>SUM(('2025-2029 Category Detail'!M28*'2025-2029 Category Detail'!$T$28),('2025-2029 Category Detail'!M29*'2025-2029 Category Detail'!$T$29),('2025-2029 Category Detail'!M30*'2025-2029 Category Detail'!$T$30))</f>
        <v>0</v>
      </c>
      <c r="L10" s="140">
        <f>SUM(('2025-2029 Category Detail'!N28*'2025-2029 Category Detail'!$T$28),('2025-2029 Category Detail'!N29*'2025-2029 Category Detail'!$T$29),('2025-2029 Category Detail'!N30*'2025-2029 Category Detail'!$T$30))</f>
        <v>0</v>
      </c>
      <c r="M10" s="232">
        <f t="shared" si="6"/>
        <v>0</v>
      </c>
      <c r="N10" s="145">
        <f>SUM(('2025-2029 Category Detail'!P28*'2025-2029 Category Detail'!$T$28),('2025-2029 Category Detail'!P29*'2025-2029 Category Detail'!$T$29),('2025-2029 Category Detail'!P30*'2025-2029 Category Detail'!$T$30))</f>
        <v>0</v>
      </c>
      <c r="O10" s="32">
        <f t="shared" si="2"/>
        <v>0</v>
      </c>
      <c r="P10" s="10"/>
      <c r="Q10" s="237">
        <f>SUM(('2025-2029 Category Detail'!V28*'2025-2029 Category Detail'!$AD$28),('2025-2029 Category Detail'!V29*'2025-2029 Category Detail'!$AD$29),('2025-2029 Category Detail'!V30*'2025-2029 Category Detail'!$AD$30))</f>
        <v>0</v>
      </c>
      <c r="R10" s="237">
        <f>SUM(('2025-2029 Category Detail'!W28*'2025-2029 Category Detail'!$AD$28),('2025-2029 Category Detail'!W29*'2025-2029 Category Detail'!$AD$29),('2025-2029 Category Detail'!W30*'2025-2029 Category Detail'!$AD$30))</f>
        <v>0</v>
      </c>
      <c r="S10" s="237">
        <f>SUM(('2025-2029 Category Detail'!X28*'2025-2029 Category Detail'!$AD$28),('2025-2029 Category Detail'!X29*'2025-2029 Category Detail'!$AD$29),('2025-2029 Category Detail'!X30*'2025-2029 Category Detail'!$AD$30))</f>
        <v>0</v>
      </c>
      <c r="T10" s="150">
        <f t="shared" si="7"/>
        <v>0</v>
      </c>
      <c r="U10" s="238">
        <f>SUM(('2025-2029 Category Detail'!Z28*'2025-2029 Category Detail'!$AD$28),('2025-2029 Category Detail'!Z29*'2025-2029 Category Detail'!$AD$29),('2025-2029 Category Detail'!Z30*'2025-2029 Category Detail'!$AD$30))</f>
        <v>0</v>
      </c>
      <c r="V10" s="32">
        <f t="shared" si="3"/>
        <v>0</v>
      </c>
      <c r="X10" s="237">
        <f>SUM(('2025-2029 Category Detail'!AF28*'2025-2029 Category Detail'!$AN$28),('2025-2029 Category Detail'!AF29*'2025-2029 Category Detail'!$AN$29),('2025-2029 Category Detail'!AF30*'2025-2029 Category Detail'!$AN$30))</f>
        <v>0</v>
      </c>
      <c r="Y10" s="237">
        <f>SUM(('2025-2029 Category Detail'!AG28*'2025-2029 Category Detail'!$AN$28),('2025-2029 Category Detail'!AG29*'2025-2029 Category Detail'!$AN$29),('2025-2029 Category Detail'!AG30*'2025-2029 Category Detail'!$AN$30))</f>
        <v>0</v>
      </c>
      <c r="Z10" s="237">
        <f>SUM(('2025-2029 Category Detail'!AH28*'2025-2029 Category Detail'!$AN$28),('2025-2029 Category Detail'!AH29*'2025-2029 Category Detail'!$AN$29),('2025-2029 Category Detail'!AH30*'2025-2029 Category Detail'!$AN$30))</f>
        <v>0</v>
      </c>
      <c r="AA10" s="150">
        <f t="shared" si="8"/>
        <v>0</v>
      </c>
      <c r="AB10" s="237">
        <f>SUM(('2025-2029 Category Detail'!AJ28*'2025-2029 Category Detail'!$AN$28),('2025-2029 Category Detail'!AJ29*'2025-2029 Category Detail'!$AN$29),('2025-2029 Category Detail'!AJ30*'2025-2029 Category Detail'!$AN$30))</f>
        <v>0</v>
      </c>
      <c r="AC10" s="32">
        <f t="shared" si="4"/>
        <v>0</v>
      </c>
      <c r="AE10" s="237">
        <f>SUM(('2025-2029 Category Detail'!AP28*'2025-2029 Category Detail'!$AX$28),('2025-2029 Category Detail'!AP29*'2025-2029 Category Detail'!$AX$29),('2025-2029 Category Detail'!AP30*'2025-2029 Category Detail'!$AX$30))</f>
        <v>0</v>
      </c>
      <c r="AF10" s="237">
        <f>SUM(('2025-2029 Category Detail'!AQ28*'2025-2029 Category Detail'!$AX$28),('2025-2029 Category Detail'!AQ29*'2025-2029 Category Detail'!$AX$29),('2025-2029 Category Detail'!AQ30*'2025-2029 Category Detail'!$AX$30))</f>
        <v>0</v>
      </c>
      <c r="AG10" s="237">
        <f>SUM(('2025-2029 Category Detail'!AR28*'2025-2029 Category Detail'!$AX$28),('2025-2029 Category Detail'!AR29*'2025-2029 Category Detail'!$AX$29),('2025-2029 Category Detail'!AR30*'2025-2029 Category Detail'!$AX$30))</f>
        <v>0</v>
      </c>
      <c r="AH10" s="150">
        <f t="shared" si="9"/>
        <v>0</v>
      </c>
      <c r="AI10" s="238">
        <f>SUM(('2025-2029 Category Detail'!AT28*'2025-2029 Category Detail'!$AX$28),('2025-2029 Category Detail'!AT29*'2025-2029 Category Detail'!$AX$29),('2025-2029 Category Detail'!AT30*'2025-2029 Category Detail'!$AX$30))</f>
        <v>0</v>
      </c>
      <c r="AJ10" s="39">
        <f t="shared" si="5"/>
        <v>0</v>
      </c>
    </row>
    <row r="11" spans="2:36" ht="31.5" customHeight="1" x14ac:dyDescent="0.25">
      <c r="B11" s="28" t="s">
        <v>250</v>
      </c>
      <c r="C11" s="140">
        <f>SUM(('2025-2029 Category Detail'!B32*'2025-2029 Category Detail'!$J$32),('2025-2029 Category Detail'!B33*'2025-2029 Category Detail'!$J$33),('2025-2029 Category Detail'!B34*'2025-2029 Category Detail'!$J$34),('2025-2029 Category Detail'!B35*'2025-2029 Category Detail'!$J$35),('2025-2029 Category Detail'!B36*'2025-2029 Category Detail'!$J$36))</f>
        <v>0</v>
      </c>
      <c r="D11" s="140">
        <f>SUM(('2025-2029 Category Detail'!C32*'2025-2029 Category Detail'!$J$32),('2025-2029 Category Detail'!C33*'2025-2029 Category Detail'!$J$33),('2025-2029 Category Detail'!C34*'2025-2029 Category Detail'!$J$34),('2025-2029 Category Detail'!C35*'2025-2029 Category Detail'!$J$35),('2025-2029 Category Detail'!C36*'2025-2029 Category Detail'!$J$36))</f>
        <v>0</v>
      </c>
      <c r="E11" s="140">
        <f>SUM(('2025-2029 Category Detail'!D32*'2025-2029 Category Detail'!$J$32),('2025-2029 Category Detail'!D33*'2025-2029 Category Detail'!$J$33),('2025-2029 Category Detail'!D34*'2025-2029 Category Detail'!$J$34),('2025-2029 Category Detail'!D35*'2025-2029 Category Detail'!$J$35),('2025-2029 Category Detail'!D36*'2025-2029 Category Detail'!$J$36))</f>
        <v>0</v>
      </c>
      <c r="F11" s="232">
        <f t="shared" si="0"/>
        <v>0</v>
      </c>
      <c r="G11" s="145">
        <f>SUM(('2025-2029 Category Detail'!F32*'2025-2029 Category Detail'!$J$32),('2025-2029 Category Detail'!F33*'2025-2029 Category Detail'!$J$33),('2025-2029 Category Detail'!F34*'2025-2029 Category Detail'!$J$34),('2025-2029 Category Detail'!F35*'2025-2029 Category Detail'!$J$35),('2025-2029 Category Detail'!F36*'2025-2029 Category Detail'!$J$36))</f>
        <v>0</v>
      </c>
      <c r="H11" s="32">
        <f t="shared" si="1"/>
        <v>0</v>
      </c>
      <c r="I11" s="27"/>
      <c r="J11" s="140">
        <f>SUM(('2025-2029 Category Detail'!L32*'2025-2029 Category Detail'!$T$32),('2025-2029 Category Detail'!L33*'2025-2029 Category Detail'!$T$33),('2025-2029 Category Detail'!L34*'2025-2029 Category Detail'!$T$34),('2025-2029 Category Detail'!L35*'2025-2029 Category Detail'!$T$35),('2025-2029 Category Detail'!L36*'2025-2029 Category Detail'!$T$36))</f>
        <v>0</v>
      </c>
      <c r="K11" s="140">
        <f>SUM(('2025-2029 Category Detail'!M32*'2025-2029 Category Detail'!$T$32),('2025-2029 Category Detail'!M33*'2025-2029 Category Detail'!$T$33),('2025-2029 Category Detail'!M34*'2025-2029 Category Detail'!$T$34),('2025-2029 Category Detail'!M35*'2025-2029 Category Detail'!$T$35),('2025-2029 Category Detail'!M36*'2025-2029 Category Detail'!$T$36))</f>
        <v>0</v>
      </c>
      <c r="L11" s="140">
        <f>SUM(('2025-2029 Category Detail'!N32*'2025-2029 Category Detail'!$T$32),('2025-2029 Category Detail'!N33*'2025-2029 Category Detail'!$T$33),('2025-2029 Category Detail'!N34*'2025-2029 Category Detail'!$T$34),('2025-2029 Category Detail'!N35*'2025-2029 Category Detail'!$T$35),('2025-2029 Category Detail'!N36*'2025-2029 Category Detail'!$T$36))</f>
        <v>0</v>
      </c>
      <c r="M11" s="232">
        <f t="shared" si="6"/>
        <v>0</v>
      </c>
      <c r="N11" s="145">
        <f>SUM(('2025-2029 Category Detail'!P32*'2025-2029 Category Detail'!$T$32),('2025-2029 Category Detail'!P33*'2025-2029 Category Detail'!$T$33),('2025-2029 Category Detail'!P34*'2025-2029 Category Detail'!$T$34),('2025-2029 Category Detail'!P35*'2025-2029 Category Detail'!$T$35),('2025-2029 Category Detail'!P36*'2025-2029 Category Detail'!$T$36))</f>
        <v>0</v>
      </c>
      <c r="O11" s="32">
        <f t="shared" si="2"/>
        <v>0</v>
      </c>
      <c r="P11" s="10"/>
      <c r="Q11" s="237">
        <f>SUM(('2025-2029 Category Detail'!V32*'2025-2029 Category Detail'!$AD$32),('2025-2029 Category Detail'!V33*'2025-2029 Category Detail'!$AD$33),('2025-2029 Category Detail'!V34*'2025-2029 Category Detail'!$AD$34),('2025-2029 Category Detail'!V35*'2025-2029 Category Detail'!$AD$35),('2025-2029 Category Detail'!V36*'2025-2029 Category Detail'!$AD$36))</f>
        <v>0</v>
      </c>
      <c r="R11" s="237">
        <f>SUM(('2025-2029 Category Detail'!W32*'2025-2029 Category Detail'!$AD$32),('2025-2029 Category Detail'!W33*'2025-2029 Category Detail'!$AD$33),('2025-2029 Category Detail'!W34*'2025-2029 Category Detail'!$AD$34),('2025-2029 Category Detail'!W35*'2025-2029 Category Detail'!$AD$35),('2025-2029 Category Detail'!W36*'2025-2029 Category Detail'!$AD$36))</f>
        <v>0</v>
      </c>
      <c r="S11" s="237">
        <f>SUM(('2025-2029 Category Detail'!X32*'2025-2029 Category Detail'!$AD$32),('2025-2029 Category Detail'!X33*'2025-2029 Category Detail'!$AD$33),('2025-2029 Category Detail'!X34*'2025-2029 Category Detail'!$AD$34),('2025-2029 Category Detail'!X35*'2025-2029 Category Detail'!$AD$35),('2025-2029 Category Detail'!X36*'2025-2029 Category Detail'!$AD$36))</f>
        <v>0</v>
      </c>
      <c r="T11" s="150">
        <f t="shared" si="7"/>
        <v>0</v>
      </c>
      <c r="U11" s="238">
        <f>SUM(('2025-2029 Category Detail'!Z32*'2025-2029 Category Detail'!$AD$32),('2025-2029 Category Detail'!Z33*'2025-2029 Category Detail'!$AD$33),('2025-2029 Category Detail'!Z34*'2025-2029 Category Detail'!$AD$34),('2025-2029 Category Detail'!Z35*'2025-2029 Category Detail'!$AD$35),('2025-2029 Category Detail'!Z36*'2025-2029 Category Detail'!$AD$36))</f>
        <v>0</v>
      </c>
      <c r="V11" s="32">
        <f t="shared" si="3"/>
        <v>0</v>
      </c>
      <c r="X11" s="237">
        <f>SUM(('2025-2029 Category Detail'!AF32*'2025-2029 Category Detail'!$AN$32),('2025-2029 Category Detail'!AF33*'2025-2029 Category Detail'!$AN$33),('2025-2029 Category Detail'!AF34*'2025-2029 Category Detail'!$AN$34),('2025-2029 Category Detail'!AF35*'2025-2029 Category Detail'!$AN$35),('2025-2029 Category Detail'!AF36*'2025-2029 Category Detail'!$AN$36))</f>
        <v>0</v>
      </c>
      <c r="Y11" s="237">
        <f>SUM(('2025-2029 Category Detail'!AG32*'2025-2029 Category Detail'!$AN$32),('2025-2029 Category Detail'!AG33*'2025-2029 Category Detail'!$AN$33),('2025-2029 Category Detail'!AG34*'2025-2029 Category Detail'!$AN$34),('2025-2029 Category Detail'!AG35*'2025-2029 Category Detail'!$AN$35),('2025-2029 Category Detail'!AG36*'2025-2029 Category Detail'!$AN$36))</f>
        <v>0</v>
      </c>
      <c r="Z11" s="237">
        <f>SUM(('2025-2029 Category Detail'!AH32*'2025-2029 Category Detail'!$AN$32),('2025-2029 Category Detail'!AH33*'2025-2029 Category Detail'!$AN$33),('2025-2029 Category Detail'!AH34*'2025-2029 Category Detail'!$AN$34),('2025-2029 Category Detail'!AH35*'2025-2029 Category Detail'!$AN$35),('2025-2029 Category Detail'!AH36*'2025-2029 Category Detail'!$AN$36))</f>
        <v>0</v>
      </c>
      <c r="AA11" s="150">
        <f t="shared" si="8"/>
        <v>0</v>
      </c>
      <c r="AB11" s="237">
        <f>SUM(('2025-2029 Category Detail'!AJ32*'2025-2029 Category Detail'!$AN$32),('2025-2029 Category Detail'!AJ33*'2025-2029 Category Detail'!$AN$33),('2025-2029 Category Detail'!AJ34*'2025-2029 Category Detail'!$AN$34),('2025-2029 Category Detail'!AJ35*'2025-2029 Category Detail'!$AN$35),('2025-2029 Category Detail'!AJ36*'2025-2029 Category Detail'!$AN$36))</f>
        <v>0</v>
      </c>
      <c r="AC11" s="32">
        <f t="shared" si="4"/>
        <v>0</v>
      </c>
      <c r="AE11" s="237">
        <f>SUM(('2025-2029 Category Detail'!AP32*'2025-2029 Category Detail'!$AX$32),('2025-2029 Category Detail'!AP33*'2025-2029 Category Detail'!$AX$33),('2025-2029 Category Detail'!AP34*'2025-2029 Category Detail'!$AX$34),('2025-2029 Category Detail'!AP35*'2025-2029 Category Detail'!$AX$35),('2025-2029 Category Detail'!AP36*'2025-2029 Category Detail'!$AX$36))</f>
        <v>0</v>
      </c>
      <c r="AF11" s="237">
        <f>SUM(('2025-2029 Category Detail'!AQ32*'2025-2029 Category Detail'!$AX$32),('2025-2029 Category Detail'!AQ33*'2025-2029 Category Detail'!$AX$33),('2025-2029 Category Detail'!AQ34*'2025-2029 Category Detail'!$AX$34),('2025-2029 Category Detail'!AQ35*'2025-2029 Category Detail'!$AX$35),('2025-2029 Category Detail'!AQ36*'2025-2029 Category Detail'!$AX$36))</f>
        <v>0</v>
      </c>
      <c r="AG11" s="237">
        <f>SUM(('2025-2029 Category Detail'!AR32*'2025-2029 Category Detail'!$AX$32),('2025-2029 Category Detail'!AR33*'2025-2029 Category Detail'!$AX$33),('2025-2029 Category Detail'!AR34*'2025-2029 Category Detail'!$AX$34),('2025-2029 Category Detail'!AR35*'2025-2029 Category Detail'!$AX$35),('2025-2029 Category Detail'!AR36*'2025-2029 Category Detail'!$AX$36))</f>
        <v>0</v>
      </c>
      <c r="AH11" s="150">
        <f t="shared" si="9"/>
        <v>0</v>
      </c>
      <c r="AI11" s="238">
        <f>SUM(('2025-2029 Category Detail'!AT32*'2025-2029 Category Detail'!$AX$32),('2025-2029 Category Detail'!AT33*'2025-2029 Category Detail'!$AX$33),('2025-2029 Category Detail'!AT34*'2025-2029 Category Detail'!$AX$34),('2025-2029 Category Detail'!AT35*'2025-2029 Category Detail'!$AX$35),('2025-2029 Category Detail'!AT36*'2025-2029 Category Detail'!$AX$36))</f>
        <v>0</v>
      </c>
      <c r="AJ11" s="39">
        <f t="shared" si="5"/>
        <v>0</v>
      </c>
    </row>
    <row r="12" spans="2:36" ht="31.5" customHeight="1" x14ac:dyDescent="0.25">
      <c r="B12" s="34" t="s">
        <v>251</v>
      </c>
      <c r="C12" s="141">
        <f>SUM(('2025-2029 Category Detail'!B38*'2025-2029 Category Detail'!$J$38),('2025-2029 Category Detail'!B39*'2025-2029 Category Detail'!$J$39),('2025-2029 Category Detail'!B40*'2025-2029 Category Detail'!$J$40))</f>
        <v>55500</v>
      </c>
      <c r="D12" s="141">
        <f>SUM(('2025-2029 Category Detail'!C38*'2025-2029 Category Detail'!$J$38),('2025-2029 Category Detail'!C39*'2025-2029 Category Detail'!$J$39),('2025-2029 Category Detail'!C40*'2025-2029 Category Detail'!$J$40))</f>
        <v>55000</v>
      </c>
      <c r="E12" s="141">
        <f>SUM(('2025-2029 Category Detail'!D38*'2025-2029 Category Detail'!$J$38),('2025-2029 Category Detail'!D39*'2025-2029 Category Detail'!$J$39),('2025-2029 Category Detail'!D40*'2025-2029 Category Detail'!$J$40))</f>
        <v>0</v>
      </c>
      <c r="F12" s="233">
        <f t="shared" si="0"/>
        <v>110500</v>
      </c>
      <c r="G12" s="146">
        <f>SUM(('2025-2029 Category Detail'!F38*'2025-2029 Category Detail'!$J$38),('2025-2029 Category Detail'!F39*'2025-2029 Category Detail'!$J$39),('2025-2029 Category Detail'!F40*'2025-2029 Category Detail'!$J$40))</f>
        <v>800</v>
      </c>
      <c r="H12" s="38">
        <f t="shared" si="1"/>
        <v>0.76802780191138142</v>
      </c>
      <c r="I12" s="27"/>
      <c r="J12" s="141">
        <f>SUM(('2025-2029 Category Detail'!L38*'2025-2029 Category Detail'!$T$38),('2025-2029 Category Detail'!L39*'2025-2029 Category Detail'!$T$39),('2025-2029 Category Detail'!L40*'2025-2029 Category Detail'!$T$40))</f>
        <v>51300</v>
      </c>
      <c r="K12" s="141">
        <f>SUM(('2025-2029 Category Detail'!M38*'2025-2029 Category Detail'!$T$38),('2025-2029 Category Detail'!M39*'2025-2029 Category Detail'!$T$39),('2025-2029 Category Detail'!M40*'2025-2029 Category Detail'!$T$40))</f>
        <v>63000</v>
      </c>
      <c r="L12" s="141">
        <f>SUM(('2025-2029 Category Detail'!N38*'2025-2029 Category Detail'!$T$38),('2025-2029 Category Detail'!N39*'2025-2029 Category Detail'!$T$39),('2025-2029 Category Detail'!N40*'2025-2029 Category Detail'!$T$40))</f>
        <v>0</v>
      </c>
      <c r="M12" s="233">
        <f t="shared" si="6"/>
        <v>114300</v>
      </c>
      <c r="N12" s="146">
        <f>SUM(('2025-2029 Category Detail'!P38*'2025-2029 Category Detail'!$T$38),('2025-2029 Category Detail'!P39*'2025-2029 Category Detail'!$T$39),('2025-2029 Category Detail'!P40*'2025-2029 Category Detail'!$T$40))</f>
        <v>1640</v>
      </c>
      <c r="O12" s="38">
        <f t="shared" si="2"/>
        <v>0.83522104493971505</v>
      </c>
      <c r="P12" s="10"/>
      <c r="Q12" s="239">
        <f>SUM(('2025-2029 Category Detail'!V38*'2025-2029 Category Detail'!$AD$38),('2025-2029 Category Detail'!V39*'2025-2029 Category Detail'!$AD$39),('2025-2029 Category Detail'!V40*'2025-2029 Category Detail'!$AD$40))</f>
        <v>75000</v>
      </c>
      <c r="R12" s="239">
        <f>SUM(('2025-2029 Category Detail'!W38*'2025-2029 Category Detail'!$AD$38),('2025-2029 Category Detail'!W39*'2025-2029 Category Detail'!$AD$39),('2025-2029 Category Detail'!W40*'2025-2029 Category Detail'!$AD$40))</f>
        <v>8400</v>
      </c>
      <c r="S12" s="239">
        <f>SUM(('2025-2029 Category Detail'!X38*'2025-2029 Category Detail'!$AD$38),('2025-2029 Category Detail'!X39*'2025-2029 Category Detail'!$AD$39),('2025-2029 Category Detail'!X40*'2025-2029 Category Detail'!$AD$40))</f>
        <v>0</v>
      </c>
      <c r="T12" s="151">
        <f t="shared" si="7"/>
        <v>83400</v>
      </c>
      <c r="U12" s="240">
        <f>SUM(('2025-2029 Category Detail'!Z38*'2025-2029 Category Detail'!$AD$38),('2025-2029 Category Detail'!Z39*'2025-2029 Category Detail'!$AD$39),('2025-2029 Category Detail'!Z40*'2025-2029 Category Detail'!$AD$40))</f>
        <v>0</v>
      </c>
      <c r="V12" s="38">
        <f t="shared" si="3"/>
        <v>0.67353119321623256</v>
      </c>
      <c r="X12" s="239">
        <f>SUM(('2025-2029 Category Detail'!AF38*'2025-2029 Category Detail'!$AN$38),('2025-2029 Category Detail'!AF39*'2025-2029 Category Detail'!$AN$39),('2025-2029 Category Detail'!AF40*'2025-2029 Category Detail'!$AN$40))</f>
        <v>80900</v>
      </c>
      <c r="Y12" s="239">
        <f>SUM(('2025-2029 Category Detail'!AG38*'2025-2029 Category Detail'!$AN$38),('2025-2029 Category Detail'!AG39*'2025-2029 Category Detail'!$AN$39),('2025-2029 Category Detail'!AG40*'2025-2029 Category Detail'!$AN$40))</f>
        <v>22800</v>
      </c>
      <c r="Z12" s="239">
        <f>SUM(('2025-2029 Category Detail'!AH38*'2025-2029 Category Detail'!$AN$38),('2025-2029 Category Detail'!AH39*'2025-2029 Category Detail'!$AN$39),('2025-2029 Category Detail'!AH40*'2025-2029 Category Detail'!$AN$40))</f>
        <v>0</v>
      </c>
      <c r="AA12" s="151">
        <f t="shared" si="8"/>
        <v>103700</v>
      </c>
      <c r="AB12" s="239">
        <f>SUM(('2025-2029 Category Detail'!AJ38*'2025-2029 Category Detail'!$AN$38),('2025-2029 Category Detail'!AJ39*'2025-2029 Category Detail'!$AN$39),('2025-2029 Category Detail'!AJ40*'2025-2029 Category Detail'!$AN$40))</f>
        <v>860</v>
      </c>
      <c r="AC12" s="38">
        <f t="shared" si="4"/>
        <v>0.85367359538999799</v>
      </c>
      <c r="AE12" s="239">
        <f>SUM(('2025-2029 Category Detail'!AP38*'2025-2029 Category Detail'!$AX$38),('2025-2029 Category Detail'!AP39*'2025-2029 Category Detail'!$AX$39),('2025-2029 Category Detail'!AP40*'2025-2029 Category Detail'!$AX$40))</f>
        <v>66100</v>
      </c>
      <c r="AF12" s="239">
        <f>SUM(('2025-2029 Category Detail'!AQ38*'2025-2029 Category Detail'!$AX$38),('2025-2029 Category Detail'!AQ39*'2025-2029 Category Detail'!$AX$39),('2025-2029 Category Detail'!AQ40*'2025-2029 Category Detail'!$AX$40))</f>
        <v>23200</v>
      </c>
      <c r="AG12" s="239">
        <f>SUM(('2025-2029 Category Detail'!AR38*'2025-2029 Category Detail'!$AX$38),('2025-2029 Category Detail'!AR39*'2025-2029 Category Detail'!$AX$39),('2025-2029 Category Detail'!AR40*'2025-2029 Category Detail'!$AX$40))</f>
        <v>0</v>
      </c>
      <c r="AH12" s="151">
        <f t="shared" si="9"/>
        <v>89300</v>
      </c>
      <c r="AI12" s="240">
        <f>SUM(('2025-2029 Category Detail'!AT38*'2025-2029 Category Detail'!$AX$38),('2025-2029 Category Detail'!AT39*'2025-2029 Category Detail'!$AX$39),('2025-2029 Category Detail'!AT40*'2025-2029 Category Detail'!$AX$40))</f>
        <v>880</v>
      </c>
      <c r="AJ12" s="38">
        <f t="shared" si="5"/>
        <v>0.74354704412989181</v>
      </c>
    </row>
    <row r="13" spans="2:36" ht="31.5" hidden="1" customHeight="1" x14ac:dyDescent="0.25">
      <c r="B13" s="34" t="s">
        <v>334</v>
      </c>
      <c r="C13" s="141">
        <f>SUM(('2025-2029 Category Detail'!B42*'2025-2029 Category Detail'!$J$42),('2025-2029 Category Detail'!B43*'2025-2029 Category Detail'!$J$43))</f>
        <v>0</v>
      </c>
      <c r="D13" s="141">
        <f>SUM(('2025-2029 Category Detail'!C42*'2025-2029 Category Detail'!$J$42),('2025-2029 Category Detail'!C43*'2025-2029 Category Detail'!$J$43))</f>
        <v>0</v>
      </c>
      <c r="E13" s="141">
        <f>SUM(('2025-2029 Category Detail'!D42*'2025-2029 Category Detail'!$J$42),('2025-2029 Category Detail'!D43*'2025-2029 Category Detail'!$J$43))</f>
        <v>0</v>
      </c>
      <c r="F13" s="233">
        <f t="shared" si="0"/>
        <v>0</v>
      </c>
      <c r="G13" s="146">
        <f>SUM(('2025-2029 Category Detail'!F42*'2025-2029 Category Detail'!$J$42),('2025-2029 Category Detail'!F43*'2025-2029 Category Detail'!$J$43))</f>
        <v>0</v>
      </c>
      <c r="H13" s="38">
        <f t="shared" si="1"/>
        <v>0</v>
      </c>
      <c r="I13" s="27"/>
      <c r="J13" s="141">
        <f>SUM(('2025-2029 Category Detail'!L42*'2025-2029 Category Detail'!$T$42),('2025-2029 Category Detail'!L43*'2025-2029 Category Detail'!$T$43))</f>
        <v>0</v>
      </c>
      <c r="K13" s="141">
        <f>SUM(('2025-2029 Category Detail'!M42*'2025-2029 Category Detail'!$T$42),('2025-2029 Category Detail'!M43*'2025-2029 Category Detail'!$T$43))</f>
        <v>0</v>
      </c>
      <c r="L13" s="141">
        <f>SUM(('2025-2029 Category Detail'!N42*'2025-2029 Category Detail'!$T$42),('2025-2029 Category Detail'!N43*'2025-2029 Category Detail'!$T$43))</f>
        <v>0</v>
      </c>
      <c r="M13" s="233">
        <f t="shared" si="6"/>
        <v>0</v>
      </c>
      <c r="N13" s="146">
        <f>SUM(('2025-2029 Category Detail'!P42*'2025-2029 Category Detail'!$T$42),('2025-2029 Category Detail'!P43*'2025-2029 Category Detail'!$T$43))</f>
        <v>0</v>
      </c>
      <c r="O13" s="38">
        <f t="shared" si="2"/>
        <v>0</v>
      </c>
      <c r="P13" s="10"/>
      <c r="Q13" s="239">
        <f>SUM(('2025-2029 Category Detail'!V42*'2025-2029 Category Detail'!$AD$42),('2025-2029 Category Detail'!V43*'2025-2029 Category Detail'!$AD$43))</f>
        <v>0</v>
      </c>
      <c r="R13" s="239">
        <f>SUM(('2025-2029 Category Detail'!W42*'2025-2029 Category Detail'!$AD$42),('2025-2029 Category Detail'!W43*'2025-2029 Category Detail'!$AD$43))</f>
        <v>0</v>
      </c>
      <c r="S13" s="239">
        <f>SUM(('2025-2029 Category Detail'!X42*'2025-2029 Category Detail'!$AD$42),('2025-2029 Category Detail'!X43*'2025-2029 Category Detail'!$AD$43))</f>
        <v>0</v>
      </c>
      <c r="T13" s="151">
        <f t="shared" si="7"/>
        <v>0</v>
      </c>
      <c r="U13" s="240">
        <f>SUM(('2025-2029 Category Detail'!Z42*'2025-2029 Category Detail'!$AD$42),('2025-2029 Category Detail'!Z43*'2025-2029 Category Detail'!$AD$43))</f>
        <v>0</v>
      </c>
      <c r="V13" s="38">
        <f t="shared" si="3"/>
        <v>0</v>
      </c>
      <c r="X13" s="239">
        <f>SUM(('2025-2029 Category Detail'!AF42*'2025-2029 Category Detail'!$AN$42),('2025-2029 Category Detail'!AF43*'2025-2029 Category Detail'!$AN$43))</f>
        <v>0</v>
      </c>
      <c r="Y13" s="239">
        <f>SUM(('2025-2029 Category Detail'!AG42*'2025-2029 Category Detail'!$AN$42),('2025-2029 Category Detail'!AG43*'2025-2029 Category Detail'!$AN$43))</f>
        <v>0</v>
      </c>
      <c r="Z13" s="239">
        <f>SUM(('2025-2029 Category Detail'!AH42*'2025-2029 Category Detail'!$AN$42),('2025-2029 Category Detail'!AH43*'2025-2029 Category Detail'!$AN$43))</f>
        <v>0</v>
      </c>
      <c r="AA13" s="151">
        <f t="shared" si="8"/>
        <v>0</v>
      </c>
      <c r="AB13" s="239">
        <f>SUM(('2025-2029 Category Detail'!AJ42*'2025-2029 Category Detail'!$AN$42),('2025-2029 Category Detail'!AJ43*'2025-2029 Category Detail'!$AN$43))</f>
        <v>0</v>
      </c>
      <c r="AC13" s="38">
        <f t="shared" si="4"/>
        <v>0</v>
      </c>
      <c r="AE13" s="239">
        <f>SUM(('2025-2029 Category Detail'!AP42*'2025-2029 Category Detail'!$AX$42),('2025-2029 Category Detail'!AP43*'2025-2029 Category Detail'!$AX$43))</f>
        <v>0</v>
      </c>
      <c r="AF13" s="239">
        <f>SUM(('2025-2029 Category Detail'!AQ42*'2025-2029 Category Detail'!$AX$42),('2025-2029 Category Detail'!AQ43*'2025-2029 Category Detail'!$AX$43))</f>
        <v>0</v>
      </c>
      <c r="AG13" s="239">
        <f>SUM(('2025-2029 Category Detail'!AR42*'2025-2029 Category Detail'!$AX$42),('2025-2029 Category Detail'!AR43*'2025-2029 Category Detail'!$AX$43))</f>
        <v>0</v>
      </c>
      <c r="AH13" s="151">
        <f t="shared" si="9"/>
        <v>0</v>
      </c>
      <c r="AI13" s="240">
        <f>SUM(('2025-2029 Category Detail'!AT42*'2025-2029 Category Detail'!$AX$42),('2025-2029 Category Detail'!AT43*'2025-2029 Category Detail'!$AX$43))</f>
        <v>0</v>
      </c>
      <c r="AJ13" s="38">
        <f t="shared" si="5"/>
        <v>0</v>
      </c>
    </row>
    <row r="14" spans="2:36" ht="31.5" customHeight="1" x14ac:dyDescent="0.25">
      <c r="B14" s="58" t="s">
        <v>253</v>
      </c>
      <c r="C14" s="142">
        <f>SUM(('2025-2029 Category Detail'!B45*'2025-2029 Category Detail'!$J$45),('2025-2029 Category Detail'!B46*'2025-2029 Category Detail'!$J$46))</f>
        <v>0</v>
      </c>
      <c r="D14" s="142">
        <f>SUM(('2025-2029 Category Detail'!C45*'2025-2029 Category Detail'!$J$45),('2025-2029 Category Detail'!C46*'2025-2029 Category Detail'!$J$46))</f>
        <v>0</v>
      </c>
      <c r="E14" s="142">
        <f>SUM(('2025-2029 Category Detail'!D45*'2025-2029 Category Detail'!$J$45),('2025-2029 Category Detail'!D46*'2025-2029 Category Detail'!$J$46))</f>
        <v>0</v>
      </c>
      <c r="F14" s="234">
        <f t="shared" si="0"/>
        <v>0</v>
      </c>
      <c r="G14" s="147">
        <f>SUM(('2025-2029 Category Detail'!F45*'2025-2029 Category Detail'!$J$45),('2025-2029 Category Detail'!F46*'2025-2029 Category Detail'!$J$46))</f>
        <v>0</v>
      </c>
      <c r="H14" s="62">
        <f t="shared" si="1"/>
        <v>0</v>
      </c>
      <c r="I14" s="27"/>
      <c r="J14" s="142">
        <f>SUM(('2025-2029 Category Detail'!L45*'2025-2029 Category Detail'!$T$45),('2025-2029 Category Detail'!L46*'2025-2029 Category Detail'!$T$46))</f>
        <v>0</v>
      </c>
      <c r="K14" s="142">
        <f>SUM(('2025-2029 Category Detail'!M45*'2025-2029 Category Detail'!$T$45),('2025-2029 Category Detail'!M46*'2025-2029 Category Detail'!$T$46))</f>
        <v>0</v>
      </c>
      <c r="L14" s="142">
        <f>SUM(('2025-2029 Category Detail'!N45*'2025-2029 Category Detail'!$T$45),('2025-2029 Category Detail'!N46*'2025-2029 Category Detail'!$T$46))</f>
        <v>0</v>
      </c>
      <c r="M14" s="234">
        <f t="shared" si="6"/>
        <v>0</v>
      </c>
      <c r="N14" s="147">
        <f>SUM(('2025-2029 Category Detail'!P45*'2025-2029 Category Detail'!$T$45),('2025-2029 Category Detail'!P46*'2025-2029 Category Detail'!$T$46))</f>
        <v>0</v>
      </c>
      <c r="O14" s="62">
        <f t="shared" si="2"/>
        <v>0</v>
      </c>
      <c r="P14" s="10"/>
      <c r="Q14" s="241">
        <f>SUM(('2025-2029 Category Detail'!V45*'2025-2029 Category Detail'!$AD$45),('2025-2029 Category Detail'!V46*'2025-2029 Category Detail'!$AD$46))</f>
        <v>0</v>
      </c>
      <c r="R14" s="241">
        <f>SUM(('2025-2029 Category Detail'!W45*'2025-2029 Category Detail'!$AD$45),('2025-2029 Category Detail'!W46*'2025-2029 Category Detail'!$AD$46))</f>
        <v>0</v>
      </c>
      <c r="S14" s="241">
        <f>SUM(('2025-2029 Category Detail'!X45*'2025-2029 Category Detail'!$AD$45),('2025-2029 Category Detail'!X46*'2025-2029 Category Detail'!$AD$46))</f>
        <v>0</v>
      </c>
      <c r="T14" s="152">
        <f t="shared" si="7"/>
        <v>0</v>
      </c>
      <c r="U14" s="242">
        <f>SUM(('2025-2029 Category Detail'!Z45*'2025-2029 Category Detail'!$AD$45),('2025-2029 Category Detail'!Z46*'2025-2029 Category Detail'!$AD$46))</f>
        <v>0</v>
      </c>
      <c r="V14" s="62">
        <f t="shared" si="3"/>
        <v>0</v>
      </c>
      <c r="X14" s="241">
        <f>SUM(('2025-2029 Category Detail'!AF45*'2025-2029 Category Detail'!$AN$45),('2025-2029 Category Detail'!AF46*'2025-2029 Category Detail'!$AN$46))</f>
        <v>0</v>
      </c>
      <c r="Y14" s="241">
        <f>SUM(('2025-2029 Category Detail'!AG45*'2025-2029 Category Detail'!$AN$45),('2025-2029 Category Detail'!AG46*'2025-2029 Category Detail'!$AN$46))</f>
        <v>0</v>
      </c>
      <c r="Z14" s="241">
        <f>SUM(('2025-2029 Category Detail'!AH45*'2025-2029 Category Detail'!$AN$45),('2025-2029 Category Detail'!AH46*'2025-2029 Category Detail'!$AN$46))</f>
        <v>0</v>
      </c>
      <c r="AA14" s="152">
        <f t="shared" si="8"/>
        <v>0</v>
      </c>
      <c r="AB14" s="241">
        <f>SUM(('2025-2029 Category Detail'!AJ45*'2025-2029 Category Detail'!$AN$45),('2025-2029 Category Detail'!AJ46*'2025-2029 Category Detail'!$AN$46))</f>
        <v>0</v>
      </c>
      <c r="AC14" s="62">
        <f t="shared" si="4"/>
        <v>0</v>
      </c>
      <c r="AE14" s="241">
        <f>SUM(('2025-2029 Category Detail'!AP45*'2025-2029 Category Detail'!$AX$45),('2025-2029 Category Detail'!AP46*'2025-2029 Category Detail'!$AX$46))</f>
        <v>0</v>
      </c>
      <c r="AF14" s="241">
        <f>SUM(('2025-2029 Category Detail'!AQ45*'2025-2029 Category Detail'!$AX$45),('2025-2029 Category Detail'!AQ46*'2025-2029 Category Detail'!$AX$46))</f>
        <v>0</v>
      </c>
      <c r="AG14" s="241">
        <f>SUM(('2025-2029 Category Detail'!AR45*'2025-2029 Category Detail'!$AX$45),('2025-2029 Category Detail'!AR46*'2025-2029 Category Detail'!$AX$46))</f>
        <v>0</v>
      </c>
      <c r="AH14" s="152">
        <f t="shared" si="9"/>
        <v>0</v>
      </c>
      <c r="AI14" s="242">
        <f>SUM(('2025-2029 Category Detail'!AT45*'2025-2029 Category Detail'!$AX$45),('2025-2029 Category Detail'!AT46*'2025-2029 Category Detail'!$AX$46))</f>
        <v>0</v>
      </c>
      <c r="AJ14" s="62">
        <f t="shared" si="5"/>
        <v>0</v>
      </c>
    </row>
    <row r="15" spans="2:36" ht="31.5" customHeight="1" x14ac:dyDescent="0.25">
      <c r="B15" s="58" t="s">
        <v>252</v>
      </c>
      <c r="C15" s="142">
        <f>SUM(('2025-2029 Category Detail'!B48*'2025-2029 Category Detail'!$J$48),('2025-2029 Category Detail'!B49*'2025-2029 Category Detail'!$J$49))</f>
        <v>0</v>
      </c>
      <c r="D15" s="142">
        <f>SUM(('2025-2029 Category Detail'!C48*'2025-2029 Category Detail'!$J$48),('2025-2029 Category Detail'!C49*'2025-2029 Category Detail'!$J$49))</f>
        <v>0</v>
      </c>
      <c r="E15" s="142">
        <f>SUM(('2025-2029 Category Detail'!D48*'2025-2029 Category Detail'!$J$48),('2025-2029 Category Detail'!D49*'2025-2029 Category Detail'!$J$49))</f>
        <v>0</v>
      </c>
      <c r="F15" s="234">
        <f t="shared" si="0"/>
        <v>0</v>
      </c>
      <c r="G15" s="147">
        <f>SUM(('2025-2029 Category Detail'!F48*'2025-2029 Category Detail'!$J$48),('2025-2029 Category Detail'!F49*'2025-2029 Category Detail'!$J$49))</f>
        <v>0</v>
      </c>
      <c r="H15" s="62">
        <f t="shared" si="1"/>
        <v>0</v>
      </c>
      <c r="I15" s="26"/>
      <c r="J15" s="142">
        <f>SUM(('2025-2029 Category Detail'!L48*'2025-2029 Category Detail'!$T$48),('2025-2029 Category Detail'!L49*'2025-2029 Category Detail'!$T$49))</f>
        <v>0</v>
      </c>
      <c r="K15" s="142">
        <f>SUM(('2025-2029 Category Detail'!M48*'2025-2029 Category Detail'!$T$48),('2025-2029 Category Detail'!M49*'2025-2029 Category Detail'!$T$49))</f>
        <v>0</v>
      </c>
      <c r="L15" s="142">
        <f>SUM(('2025-2029 Category Detail'!N48*'2025-2029 Category Detail'!$T$48),('2025-2029 Category Detail'!N49*'2025-2029 Category Detail'!$T$49))</f>
        <v>0</v>
      </c>
      <c r="M15" s="234">
        <f t="shared" si="6"/>
        <v>0</v>
      </c>
      <c r="N15" s="147">
        <f>SUM(('2025-2029 Category Detail'!P48*'2025-2029 Category Detail'!$T$48),('2025-2029 Category Detail'!P49*'2025-2029 Category Detail'!$T$49))</f>
        <v>0</v>
      </c>
      <c r="O15" s="62">
        <f t="shared" si="2"/>
        <v>0</v>
      </c>
      <c r="P15" s="10"/>
      <c r="Q15" s="241">
        <f>SUM(('2025-2029 Category Detail'!V48*'2025-2029 Category Detail'!$AD$48),('2025-2029 Category Detail'!V49*'2025-2029 Category Detail'!$AD$49))</f>
        <v>0</v>
      </c>
      <c r="R15" s="241">
        <f>SUM(('2025-2029 Category Detail'!W48*'2025-2029 Category Detail'!$AD$48),('2025-2029 Category Detail'!W49*'2025-2029 Category Detail'!$AD$49))</f>
        <v>0</v>
      </c>
      <c r="S15" s="241">
        <f>SUM(('2025-2029 Category Detail'!X48*'2025-2029 Category Detail'!$AD$48),('2025-2029 Category Detail'!X49*'2025-2029 Category Detail'!$AD$49))</f>
        <v>0</v>
      </c>
      <c r="T15" s="152">
        <f t="shared" si="7"/>
        <v>0</v>
      </c>
      <c r="U15" s="242">
        <f>SUM(('2025-2029 Category Detail'!Z48*'2025-2029 Category Detail'!$AD$48),('2025-2029 Category Detail'!Z49*'2025-2029 Category Detail'!$AD$49))</f>
        <v>0</v>
      </c>
      <c r="V15" s="62">
        <f t="shared" si="3"/>
        <v>0</v>
      </c>
      <c r="X15" s="241">
        <f>SUM(('2025-2029 Category Detail'!AF48*'2025-2029 Category Detail'!$AN$48),('2025-2029 Category Detail'!AF49*'2025-2029 Category Detail'!$AN$49))</f>
        <v>0</v>
      </c>
      <c r="Y15" s="241">
        <f>SUM(('2025-2029 Category Detail'!AG48*'2025-2029 Category Detail'!$AN$48),('2025-2029 Category Detail'!AG49*'2025-2029 Category Detail'!$AN$49))</f>
        <v>0</v>
      </c>
      <c r="Z15" s="241">
        <f>SUM(('2025-2029 Category Detail'!AH48*'2025-2029 Category Detail'!$AN$48),('2025-2029 Category Detail'!AH49*'2025-2029 Category Detail'!$AN$49))</f>
        <v>0</v>
      </c>
      <c r="AA15" s="152">
        <f t="shared" si="8"/>
        <v>0</v>
      </c>
      <c r="AB15" s="241">
        <f>SUM(('2025-2029 Category Detail'!AJ48*'2025-2029 Category Detail'!$AN$48),('2025-2029 Category Detail'!AJ49*'2025-2029 Category Detail'!$AN$49))</f>
        <v>0</v>
      </c>
      <c r="AC15" s="62">
        <f t="shared" si="4"/>
        <v>0</v>
      </c>
      <c r="AE15" s="241">
        <f>SUM(('2025-2029 Category Detail'!AP48*'2025-2029 Category Detail'!$AX$48),('2025-2029 Category Detail'!AP49*'2025-2029 Category Detail'!$AX$49))</f>
        <v>0</v>
      </c>
      <c r="AF15" s="241">
        <f>SUM(('2025-2029 Category Detail'!AQ48*'2025-2029 Category Detail'!$AX$48),('2025-2029 Category Detail'!AQ49*'2025-2029 Category Detail'!$AX$49))</f>
        <v>0</v>
      </c>
      <c r="AG15" s="241">
        <f>SUM(('2025-2029 Category Detail'!AR48*'2025-2029 Category Detail'!$AX$48),('2025-2029 Category Detail'!AR49*'2025-2029 Category Detail'!$AX$49))</f>
        <v>0</v>
      </c>
      <c r="AH15" s="152">
        <f t="shared" si="9"/>
        <v>0</v>
      </c>
      <c r="AI15" s="242">
        <f>SUM(('2025-2029 Category Detail'!AT48*'2025-2029 Category Detail'!$AX$48),('2025-2029 Category Detail'!AT49*'2025-2029 Category Detail'!$AX$49))</f>
        <v>0</v>
      </c>
      <c r="AJ15" s="62">
        <f t="shared" si="5"/>
        <v>0</v>
      </c>
    </row>
    <row r="16" spans="2:36" ht="31.5" customHeight="1" x14ac:dyDescent="0.25">
      <c r="B16" s="58" t="s">
        <v>254</v>
      </c>
      <c r="C16" s="142">
        <f>SUM(('2025-2029 Category Detail'!B51*'2025-2029 Category Detail'!$J$51),('2025-2029 Category Detail'!B52*'2025-2029 Category Detail'!$J$52),('2025-2029 Category Detail'!B53*'2025-2029 Category Detail'!$J$53),('2025-2029 Category Detail'!B54*'2025-2029 Category Detail'!$J$54),('2025-2029 Category Detail'!B55*'2025-2029 Category Detail'!$J$55),('2025-2029 Category Detail'!B56*'2025-2029 Category Detail'!$J$56),('2025-2029 Category Detail'!B57*'2025-2029 Category Detail'!$J$57))</f>
        <v>0</v>
      </c>
      <c r="D16" s="142">
        <f>SUM(('2025-2029 Category Detail'!C51*'2025-2029 Category Detail'!$J$51),('2025-2029 Category Detail'!C52*'2025-2029 Category Detail'!$J$52),('2025-2029 Category Detail'!C53*'2025-2029 Category Detail'!$J$53),('2025-2029 Category Detail'!C54*'2025-2029 Category Detail'!$J$54),('2025-2029 Category Detail'!C55*'2025-2029 Category Detail'!$J$55),('2025-2029 Category Detail'!C56*'2025-2029 Category Detail'!$J$56),('2025-2029 Category Detail'!C57*'2025-2029 Category Detail'!$J$57))</f>
        <v>0</v>
      </c>
      <c r="E16" s="142">
        <f>SUM(('2025-2029 Category Detail'!D51*'2025-2029 Category Detail'!$J$51),('2025-2029 Category Detail'!D52*'2025-2029 Category Detail'!$J$52),('2025-2029 Category Detail'!D53*'2025-2029 Category Detail'!$J$53),('2025-2029 Category Detail'!D54*'2025-2029 Category Detail'!$J$54),('2025-2029 Category Detail'!D55*'2025-2029 Category Detail'!$J$55),('2025-2029 Category Detail'!D56*'2025-2029 Category Detail'!$J$56),('2025-2029 Category Detail'!D57*'2025-2029 Category Detail'!$J$57))</f>
        <v>0</v>
      </c>
      <c r="F16" s="234">
        <f t="shared" si="0"/>
        <v>0</v>
      </c>
      <c r="G16" s="147">
        <f>SUM(('2025-2029 Category Detail'!F51*'2025-2029 Category Detail'!$J$51),('2025-2029 Category Detail'!F52*'2025-2029 Category Detail'!$J$52),('2025-2029 Category Detail'!F53*'2025-2029 Category Detail'!$J$53),('2025-2029 Category Detail'!F54*'2025-2029 Category Detail'!$J$54),('2025-2029 Category Detail'!F55*'2025-2029 Category Detail'!$J$55),('2025-2029 Category Detail'!F56*'2025-2029 Category Detail'!$J$56),('2025-2029 Category Detail'!F57*'2025-2029 Category Detail'!$J$57))</f>
        <v>0</v>
      </c>
      <c r="H16" s="62">
        <f t="shared" si="1"/>
        <v>0</v>
      </c>
      <c r="I16" s="27"/>
      <c r="J16" s="142">
        <f>SUM(('2025-2029 Category Detail'!L51*'2025-2029 Category Detail'!$T$51),('2025-2029 Category Detail'!L52*'2025-2029 Category Detail'!$T$52),('2025-2029 Category Detail'!L53*'2025-2029 Category Detail'!$T$53),('2025-2029 Category Detail'!L54*'2025-2029 Category Detail'!$T$54),('2025-2029 Category Detail'!L55*'2025-2029 Category Detail'!$T$55),('2025-2029 Category Detail'!L56*'2025-2029 Category Detail'!$T$56),('2025-2029 Category Detail'!L57*'2025-2029 Category Detail'!$T$57))</f>
        <v>0</v>
      </c>
      <c r="K16" s="142">
        <f>SUM(('2025-2029 Category Detail'!M51*'2025-2029 Category Detail'!$T$51),('2025-2029 Category Detail'!M52*'2025-2029 Category Detail'!$T$52),('2025-2029 Category Detail'!M53*'2025-2029 Category Detail'!$T$53),('2025-2029 Category Detail'!M54*'2025-2029 Category Detail'!$T$54),('2025-2029 Category Detail'!M55*'2025-2029 Category Detail'!$T$55),('2025-2029 Category Detail'!M56*'2025-2029 Category Detail'!$T$56),('2025-2029 Category Detail'!M57*'2025-2029 Category Detail'!$T$57))</f>
        <v>0</v>
      </c>
      <c r="L16" s="142">
        <f>SUM(('2025-2029 Category Detail'!N51*'2025-2029 Category Detail'!$T$51),('2025-2029 Category Detail'!N52*'2025-2029 Category Detail'!$T$52),('2025-2029 Category Detail'!N53*'2025-2029 Category Detail'!$T$53),('2025-2029 Category Detail'!N54*'2025-2029 Category Detail'!$T$54),('2025-2029 Category Detail'!N55*'2025-2029 Category Detail'!$T$55),('2025-2029 Category Detail'!N56*'2025-2029 Category Detail'!$T$56),('2025-2029 Category Detail'!N57*'2025-2029 Category Detail'!$T$57))</f>
        <v>0</v>
      </c>
      <c r="M16" s="234">
        <f t="shared" si="6"/>
        <v>0</v>
      </c>
      <c r="N16" s="147">
        <f>SUM(('2025-2029 Category Detail'!P51*'2025-2029 Category Detail'!$T$51),('2025-2029 Category Detail'!P52*'2025-2029 Category Detail'!$T$52),('2025-2029 Category Detail'!P53*'2025-2029 Category Detail'!$T$53),('2025-2029 Category Detail'!P54*'2025-2029 Category Detail'!$T$54),('2025-2029 Category Detail'!P55*'2025-2029 Category Detail'!$T$55),('2025-2029 Category Detail'!P56*'2025-2029 Category Detail'!$T$56),('2025-2029 Category Detail'!P57*'2025-2029 Category Detail'!$T$57))</f>
        <v>0</v>
      </c>
      <c r="O16" s="62">
        <f t="shared" si="2"/>
        <v>0</v>
      </c>
      <c r="P16" s="10"/>
      <c r="Q16" s="241">
        <f>SUM(('2025-2029 Category Detail'!V51*'2025-2029 Category Detail'!$AD$51),('2025-2029 Category Detail'!V52*'2025-2029 Category Detail'!$AD$52),('2025-2029 Category Detail'!V53*'2025-2029 Category Detail'!$AD$53),('2025-2029 Category Detail'!V54*'2025-2029 Category Detail'!$AD$54),('2025-2029 Category Detail'!V55*'2025-2029 Category Detail'!$AD$55),('2025-2029 Category Detail'!V56*'2025-2029 Category Detail'!$AD$56),('2025-2029 Category Detail'!V57*'2025-2029 Category Detail'!$AD$57))</f>
        <v>0</v>
      </c>
      <c r="R16" s="241">
        <f>SUM(('2025-2029 Category Detail'!W51*'2025-2029 Category Detail'!$AD$51),('2025-2029 Category Detail'!W52*'2025-2029 Category Detail'!$AD$52),('2025-2029 Category Detail'!W53*'2025-2029 Category Detail'!$AD$53),('2025-2029 Category Detail'!W54*'2025-2029 Category Detail'!$AD$54),('2025-2029 Category Detail'!W55*'2025-2029 Category Detail'!$AD$55),('2025-2029 Category Detail'!W56*'2025-2029 Category Detail'!$AD$56),('2025-2029 Category Detail'!W57*'2025-2029 Category Detail'!$AD$57))</f>
        <v>0</v>
      </c>
      <c r="S16" s="241">
        <f>SUM(('2025-2029 Category Detail'!X51*'2025-2029 Category Detail'!$AD$51),('2025-2029 Category Detail'!X52*'2025-2029 Category Detail'!$AD$52),('2025-2029 Category Detail'!X53*'2025-2029 Category Detail'!$AD$53),('2025-2029 Category Detail'!X54*'2025-2029 Category Detail'!$AD$54),('2025-2029 Category Detail'!X55*'2025-2029 Category Detail'!$AD$55),('2025-2029 Category Detail'!X56*'2025-2029 Category Detail'!$AD$56),('2025-2029 Category Detail'!X57*'2025-2029 Category Detail'!$AD$57))</f>
        <v>0</v>
      </c>
      <c r="T16" s="152">
        <f t="shared" si="7"/>
        <v>0</v>
      </c>
      <c r="U16" s="242">
        <f>SUM(('2025-2029 Category Detail'!Z51*'2025-2029 Category Detail'!$AD$51),('2025-2029 Category Detail'!Z52*'2025-2029 Category Detail'!$AD$52),('2025-2029 Category Detail'!Z53*'2025-2029 Category Detail'!$AD$53),('2025-2029 Category Detail'!Z54*'2025-2029 Category Detail'!$AD$54),('2025-2029 Category Detail'!Z55*'2025-2029 Category Detail'!$AD$55),('2025-2029 Category Detail'!Z56*'2025-2029 Category Detail'!$AD$56),('2025-2029 Category Detail'!Z57*'2025-2029 Category Detail'!$AD$57))</f>
        <v>0</v>
      </c>
      <c r="V16" s="62">
        <f t="shared" si="3"/>
        <v>0</v>
      </c>
      <c r="X16" s="241">
        <f>SUM(('2025-2029 Category Detail'!AF51*'2025-2029 Category Detail'!$AN$51),('2025-2029 Category Detail'!AF52*'2025-2029 Category Detail'!$AN$52),('2025-2029 Category Detail'!AF53*'2025-2029 Category Detail'!$AN$53),('2025-2029 Category Detail'!AF54*'2025-2029 Category Detail'!$AN$54),('2025-2029 Category Detail'!AF55*'2025-2029 Category Detail'!$AN$55),('2025-2029 Category Detail'!AF56*'2025-2029 Category Detail'!$AN$56),('2025-2029 Category Detail'!AF57*'2025-2029 Category Detail'!$AN$57))</f>
        <v>0</v>
      </c>
      <c r="Y16" s="241">
        <f>SUM(('2025-2029 Category Detail'!AG51*'2025-2029 Category Detail'!$AN$51),('2025-2029 Category Detail'!AG52*'2025-2029 Category Detail'!$AN$52),('2025-2029 Category Detail'!AG53*'2025-2029 Category Detail'!$AN$53),('2025-2029 Category Detail'!AG54*'2025-2029 Category Detail'!$AN$54),('2025-2029 Category Detail'!AG55*'2025-2029 Category Detail'!$AN$55),('2025-2029 Category Detail'!AG56*'2025-2029 Category Detail'!$AN$56),('2025-2029 Category Detail'!AG57*'2025-2029 Category Detail'!$AN$57))</f>
        <v>0</v>
      </c>
      <c r="Z16" s="241">
        <f>SUM(('2025-2029 Category Detail'!AH51*'2025-2029 Category Detail'!$AN$51),('2025-2029 Category Detail'!AH52*'2025-2029 Category Detail'!$AN$52),('2025-2029 Category Detail'!AH53*'2025-2029 Category Detail'!$AN$53),('2025-2029 Category Detail'!AH54*'2025-2029 Category Detail'!$AN$54),('2025-2029 Category Detail'!AH55*'2025-2029 Category Detail'!$AN$55),('2025-2029 Category Detail'!AH56*'2025-2029 Category Detail'!$AN$56),('2025-2029 Category Detail'!AH57*'2025-2029 Category Detail'!$AN$57))</f>
        <v>0</v>
      </c>
      <c r="AA16" s="152">
        <f t="shared" si="8"/>
        <v>0</v>
      </c>
      <c r="AB16" s="241">
        <f>SUM(('2025-2029 Category Detail'!AJ51*'2025-2029 Category Detail'!$AN$51),('2025-2029 Category Detail'!AJ52*'2025-2029 Category Detail'!$AN$52),('2025-2029 Category Detail'!AJ53*'2025-2029 Category Detail'!$AN$53),('2025-2029 Category Detail'!AJ54*'2025-2029 Category Detail'!$AN$54),('2025-2029 Category Detail'!AJ55*'2025-2029 Category Detail'!$AN$55),('2025-2029 Category Detail'!AJ56*'2025-2029 Category Detail'!$AN$56),('2025-2029 Category Detail'!AJ57*'2025-2029 Category Detail'!$AN$57))</f>
        <v>0</v>
      </c>
      <c r="AC16" s="62">
        <f t="shared" si="4"/>
        <v>0</v>
      </c>
      <c r="AE16" s="241">
        <f>SUM(('2025-2029 Category Detail'!AP51*'2025-2029 Category Detail'!$AX$51),('2025-2029 Category Detail'!AP52*'2025-2029 Category Detail'!$AX$52),('2025-2029 Category Detail'!AP53*'2025-2029 Category Detail'!$AX$53),('2025-2029 Category Detail'!AP54*'2025-2029 Category Detail'!$AX$54),('2025-2029 Category Detail'!AP55*'2025-2029 Category Detail'!$AX$55),('2025-2029 Category Detail'!AP56*'2025-2029 Category Detail'!$AX$56),('2025-2029 Category Detail'!AP57*'2025-2029 Category Detail'!$AX$57))</f>
        <v>0</v>
      </c>
      <c r="AF16" s="241">
        <f>SUM(('2025-2029 Category Detail'!AQ51*'2025-2029 Category Detail'!$AX$51),('2025-2029 Category Detail'!AQ52*'2025-2029 Category Detail'!$AX$52),('2025-2029 Category Detail'!AQ53*'2025-2029 Category Detail'!$AX$53),('2025-2029 Category Detail'!AQ54*'2025-2029 Category Detail'!$AX$54),('2025-2029 Category Detail'!AQ55*'2025-2029 Category Detail'!$AX$55),('2025-2029 Category Detail'!AQ56*'2025-2029 Category Detail'!$AX$56),('2025-2029 Category Detail'!AQ57*'2025-2029 Category Detail'!$AX$57))</f>
        <v>0</v>
      </c>
      <c r="AG16" s="241">
        <f>SUM(('2025-2029 Category Detail'!AR51*'2025-2029 Category Detail'!$AX$51),('2025-2029 Category Detail'!AR52*'2025-2029 Category Detail'!$AX$52),('2025-2029 Category Detail'!AR53*'2025-2029 Category Detail'!$AX$53),('2025-2029 Category Detail'!AR54*'2025-2029 Category Detail'!$AX$54),('2025-2029 Category Detail'!AR55*'2025-2029 Category Detail'!$AX$55),('2025-2029 Category Detail'!AR56*'2025-2029 Category Detail'!$AX$56),('2025-2029 Category Detail'!AR57*'2025-2029 Category Detail'!$AX$57))</f>
        <v>0</v>
      </c>
      <c r="AH16" s="152">
        <f t="shared" si="9"/>
        <v>0</v>
      </c>
      <c r="AI16" s="242">
        <f>SUM(('2025-2029 Category Detail'!AT51*'2025-2029 Category Detail'!$AX$51),('2025-2029 Category Detail'!AT52*'2025-2029 Category Detail'!$AX$52),('2025-2029 Category Detail'!AT53*'2025-2029 Category Detail'!$AX$53),('2025-2029 Category Detail'!AT54*'2025-2029 Category Detail'!$AX$54),('2025-2029 Category Detail'!AT55*'2025-2029 Category Detail'!$AX$55),('2025-2029 Category Detail'!AT56*'2025-2029 Category Detail'!$AX$56),('2025-2029 Category Detail'!AT57*'2025-2029 Category Detail'!$AX$57))</f>
        <v>0</v>
      </c>
      <c r="AJ16" s="62">
        <f t="shared" si="5"/>
        <v>0</v>
      </c>
    </row>
    <row r="17" spans="2:36" ht="38.25" customHeight="1" x14ac:dyDescent="0.25">
      <c r="B17" s="40" t="s">
        <v>249</v>
      </c>
      <c r="C17" s="33">
        <f t="shared" ref="C17:H17" si="10">SUM(C7:C16)</f>
        <v>62375</v>
      </c>
      <c r="D17" s="33">
        <f t="shared" si="10"/>
        <v>81500</v>
      </c>
      <c r="E17" s="33">
        <f t="shared" si="10"/>
        <v>0</v>
      </c>
      <c r="F17" s="128">
        <f t="shared" si="10"/>
        <v>143875</v>
      </c>
      <c r="G17" s="153">
        <f t="shared" si="10"/>
        <v>1800</v>
      </c>
      <c r="H17" s="43">
        <f t="shared" si="10"/>
        <v>1</v>
      </c>
      <c r="I17" s="27"/>
      <c r="J17" s="33">
        <f t="shared" ref="J17:O17" si="11">SUM(J7:J16)</f>
        <v>56950</v>
      </c>
      <c r="K17" s="33">
        <f t="shared" si="11"/>
        <v>79900</v>
      </c>
      <c r="L17" s="33">
        <f t="shared" si="11"/>
        <v>0</v>
      </c>
      <c r="M17" s="128">
        <f t="shared" si="11"/>
        <v>136850</v>
      </c>
      <c r="N17" s="45">
        <f t="shared" si="11"/>
        <v>2460</v>
      </c>
      <c r="O17" s="43">
        <f t="shared" si="11"/>
        <v>1</v>
      </c>
      <c r="P17" s="10"/>
      <c r="Q17" s="33">
        <f t="shared" ref="Q17:V17" si="12">SUM(Q7:Q16)</f>
        <v>85150</v>
      </c>
      <c r="R17" s="33">
        <f t="shared" si="12"/>
        <v>38675</v>
      </c>
      <c r="S17" s="33">
        <f t="shared" si="12"/>
        <v>0</v>
      </c>
      <c r="T17" s="128">
        <f t="shared" si="12"/>
        <v>123825</v>
      </c>
      <c r="U17" s="45">
        <f t="shared" si="12"/>
        <v>1470</v>
      </c>
      <c r="V17" s="43">
        <f t="shared" si="12"/>
        <v>1</v>
      </c>
      <c r="X17" s="33">
        <f t="shared" ref="X17:AC17" si="13">SUM(X7:X16)</f>
        <v>85325</v>
      </c>
      <c r="Y17" s="33">
        <f t="shared" si="13"/>
        <v>36150</v>
      </c>
      <c r="Z17" s="33">
        <f t="shared" si="13"/>
        <v>0</v>
      </c>
      <c r="AA17" s="128">
        <f t="shared" si="13"/>
        <v>121475</v>
      </c>
      <c r="AB17" s="45">
        <f t="shared" si="13"/>
        <v>1505</v>
      </c>
      <c r="AC17" s="43">
        <f t="shared" si="13"/>
        <v>1</v>
      </c>
      <c r="AE17" s="323">
        <f t="shared" ref="AE17:AJ17" si="14">SUM(AE7:AE16)</f>
        <v>72200</v>
      </c>
      <c r="AF17" s="323">
        <f t="shared" si="14"/>
        <v>47900</v>
      </c>
      <c r="AG17" s="323">
        <f t="shared" si="14"/>
        <v>0</v>
      </c>
      <c r="AH17" s="324">
        <f t="shared" si="14"/>
        <v>120100</v>
      </c>
      <c r="AI17" s="325">
        <f t="shared" si="14"/>
        <v>1760</v>
      </c>
      <c r="AJ17" s="43">
        <f t="shared" si="14"/>
        <v>1</v>
      </c>
    </row>
    <row r="20" spans="2:36" x14ac:dyDescent="0.2">
      <c r="B20" s="125"/>
      <c r="C20" s="166" t="s">
        <v>255</v>
      </c>
      <c r="D20" s="166" t="s">
        <v>425</v>
      </c>
      <c r="E20" s="166" t="s">
        <v>426</v>
      </c>
      <c r="F20" s="166" t="s">
        <v>427</v>
      </c>
      <c r="G20" s="166" t="s">
        <v>428</v>
      </c>
    </row>
    <row r="21" spans="2:36" x14ac:dyDescent="0.2">
      <c r="B21" s="157" t="s">
        <v>245</v>
      </c>
      <c r="C21" s="155">
        <f>C17</f>
        <v>62375</v>
      </c>
      <c r="D21" s="155">
        <f>J17</f>
        <v>56950</v>
      </c>
      <c r="E21" s="155">
        <f>Q17</f>
        <v>85150</v>
      </c>
      <c r="F21" s="155">
        <f>X17</f>
        <v>85325</v>
      </c>
      <c r="G21" s="155">
        <f>AE17</f>
        <v>72200</v>
      </c>
    </row>
    <row r="22" spans="2:36" x14ac:dyDescent="0.2">
      <c r="B22" s="157" t="s">
        <v>297</v>
      </c>
      <c r="C22" s="155">
        <f>D17</f>
        <v>81500</v>
      </c>
      <c r="D22" s="155">
        <f>K17</f>
        <v>79900</v>
      </c>
      <c r="E22" s="155">
        <f>R17</f>
        <v>38675</v>
      </c>
      <c r="F22" s="155">
        <f>Y17</f>
        <v>36150</v>
      </c>
      <c r="G22" s="155">
        <f>AF17</f>
        <v>47900</v>
      </c>
    </row>
    <row r="23" spans="2:36" x14ac:dyDescent="0.2">
      <c r="B23" s="157" t="s">
        <v>453</v>
      </c>
      <c r="C23" s="155">
        <f>E17</f>
        <v>0</v>
      </c>
      <c r="D23" s="155">
        <f>L17</f>
        <v>0</v>
      </c>
      <c r="E23" s="155">
        <f>S17</f>
        <v>0</v>
      </c>
      <c r="F23" s="155">
        <f>Z17</f>
        <v>0</v>
      </c>
      <c r="G23" s="155">
        <f>AG17</f>
        <v>0</v>
      </c>
    </row>
    <row r="24" spans="2:36" x14ac:dyDescent="0.2">
      <c r="B24" s="157" t="s">
        <v>298</v>
      </c>
      <c r="C24" s="155">
        <f>F17</f>
        <v>143875</v>
      </c>
      <c r="D24" s="155">
        <f>M17</f>
        <v>136850</v>
      </c>
      <c r="E24" s="155">
        <f>T17</f>
        <v>123825</v>
      </c>
      <c r="F24" s="155">
        <f>AA17</f>
        <v>121475</v>
      </c>
      <c r="G24" s="155">
        <f>AH17</f>
        <v>120100</v>
      </c>
    </row>
    <row r="25" spans="2:36" x14ac:dyDescent="0.2">
      <c r="B25" s="157" t="s">
        <v>454</v>
      </c>
      <c r="C25" s="155">
        <f>G17</f>
        <v>1800</v>
      </c>
      <c r="D25" s="155">
        <f>N17</f>
        <v>2460</v>
      </c>
      <c r="E25" s="155">
        <f>U17</f>
        <v>1470</v>
      </c>
      <c r="F25" s="155">
        <f>AB17</f>
        <v>1505</v>
      </c>
      <c r="G25" s="155">
        <f>AI17</f>
        <v>1760</v>
      </c>
    </row>
    <row r="28" spans="2:36" x14ac:dyDescent="0.2">
      <c r="B28" s="167" t="s">
        <v>298</v>
      </c>
      <c r="C28" s="166" t="s">
        <v>255</v>
      </c>
      <c r="D28" s="166" t="s">
        <v>425</v>
      </c>
      <c r="E28" s="166" t="s">
        <v>426</v>
      </c>
      <c r="F28" s="166" t="s">
        <v>427</v>
      </c>
      <c r="G28" s="166" t="s">
        <v>428</v>
      </c>
    </row>
    <row r="29" spans="2:36" x14ac:dyDescent="0.2">
      <c r="B29" s="158" t="s">
        <v>455</v>
      </c>
      <c r="C29" s="159">
        <f>SUM(F7:F9)</f>
        <v>33375</v>
      </c>
      <c r="D29" s="159">
        <f>SUM(M7:M9)</f>
        <v>22550</v>
      </c>
      <c r="E29" s="159">
        <f>SUM(T7:T9)</f>
        <v>40425</v>
      </c>
      <c r="F29" s="159">
        <f>SUM(AA7:AA9)</f>
        <v>17775</v>
      </c>
      <c r="G29" s="159">
        <f>SUM(AH7:AH9)</f>
        <v>30800</v>
      </c>
    </row>
    <row r="30" spans="2:36" x14ac:dyDescent="0.2">
      <c r="B30" s="160" t="s">
        <v>456</v>
      </c>
      <c r="C30" s="161">
        <f>SUM(F10:F11)</f>
        <v>0</v>
      </c>
      <c r="D30" s="161">
        <f>SUM(M10:M11)</f>
        <v>0</v>
      </c>
      <c r="E30" s="161">
        <f>SUM(T10:T11)</f>
        <v>0</v>
      </c>
      <c r="F30" s="161">
        <f>SUM(AA10:AA11)</f>
        <v>0</v>
      </c>
      <c r="G30" s="161">
        <f>SUM(AH10:AH11)</f>
        <v>0</v>
      </c>
    </row>
    <row r="31" spans="2:36" x14ac:dyDescent="0.2">
      <c r="B31" s="162" t="s">
        <v>251</v>
      </c>
      <c r="C31" s="163">
        <f>F12</f>
        <v>110500</v>
      </c>
      <c r="D31" s="163">
        <f>M12</f>
        <v>114300</v>
      </c>
      <c r="E31" s="163">
        <f>T12</f>
        <v>83400</v>
      </c>
      <c r="F31" s="163">
        <f>SUM(AA12)</f>
        <v>103700</v>
      </c>
      <c r="G31" s="163">
        <f>AH12</f>
        <v>89300</v>
      </c>
    </row>
    <row r="32" spans="2:36" hidden="1" x14ac:dyDescent="0.2">
      <c r="B32" s="162" t="s">
        <v>334</v>
      </c>
      <c r="C32" s="163">
        <f>F13</f>
        <v>0</v>
      </c>
      <c r="D32" s="163">
        <f>M13</f>
        <v>0</v>
      </c>
      <c r="E32" s="163">
        <f>T13</f>
        <v>0</v>
      </c>
      <c r="F32" s="163">
        <f>AA13</f>
        <v>0</v>
      </c>
      <c r="G32" s="163">
        <f>AH13</f>
        <v>0</v>
      </c>
    </row>
    <row r="33" spans="2:7" x14ac:dyDescent="0.2">
      <c r="B33" s="164" t="s">
        <v>254</v>
      </c>
      <c r="C33" s="169">
        <f>SUM(F14:F16)</f>
        <v>0</v>
      </c>
      <c r="D33" s="165">
        <f>SUM(M14:M16)</f>
        <v>0</v>
      </c>
      <c r="E33" s="165">
        <f>SUM(T14:T16)</f>
        <v>0</v>
      </c>
      <c r="F33" s="165">
        <f>SUM(AA14:AA16)</f>
        <v>0</v>
      </c>
      <c r="G33" s="165">
        <f>SUM(AH14:AH16)</f>
        <v>0</v>
      </c>
    </row>
    <row r="36" spans="2:7" x14ac:dyDescent="0.2">
      <c r="B36" s="167" t="s">
        <v>457</v>
      </c>
      <c r="C36" s="166" t="s">
        <v>255</v>
      </c>
      <c r="D36" s="166" t="s">
        <v>425</v>
      </c>
      <c r="E36" s="166" t="s">
        <v>426</v>
      </c>
      <c r="F36" s="166" t="s">
        <v>427</v>
      </c>
      <c r="G36" s="166" t="s">
        <v>428</v>
      </c>
    </row>
    <row r="37" spans="2:7" x14ac:dyDescent="0.2">
      <c r="B37" s="158" t="s">
        <v>455</v>
      </c>
      <c r="C37" s="159">
        <f>SUM(F7:G9)</f>
        <v>34375</v>
      </c>
      <c r="D37" s="159">
        <f>SUM(M7:N9)</f>
        <v>23370</v>
      </c>
      <c r="E37" s="159">
        <f>SUM(T7:U9)</f>
        <v>41895</v>
      </c>
      <c r="F37" s="159">
        <f>SUM(AA7:AB9)</f>
        <v>18420</v>
      </c>
      <c r="G37" s="159">
        <f>SUM(AH7:AI9)</f>
        <v>31680</v>
      </c>
    </row>
    <row r="38" spans="2:7" x14ac:dyDescent="0.2">
      <c r="B38" s="160" t="s">
        <v>456</v>
      </c>
      <c r="C38" s="161">
        <f>SUM(F10:G11)</f>
        <v>0</v>
      </c>
      <c r="D38" s="161">
        <f>SUM(M10:N11)</f>
        <v>0</v>
      </c>
      <c r="E38" s="161">
        <f>SUM(T10:U11)</f>
        <v>0</v>
      </c>
      <c r="F38" s="161">
        <f>SUM(AA10:AB11)</f>
        <v>0</v>
      </c>
      <c r="G38" s="161">
        <f>SUM(AH10:AI11)</f>
        <v>0</v>
      </c>
    </row>
    <row r="39" spans="2:7" x14ac:dyDescent="0.2">
      <c r="B39" s="162" t="s">
        <v>251</v>
      </c>
      <c r="C39" s="163">
        <f>SUM(F12:G12)</f>
        <v>111300</v>
      </c>
      <c r="D39" s="163">
        <f>SUM(M12:N12)</f>
        <v>115940</v>
      </c>
      <c r="E39" s="163">
        <f>SUM(T12:U12)</f>
        <v>83400</v>
      </c>
      <c r="F39" s="163">
        <f>SUM(AA12:AB12)</f>
        <v>104560</v>
      </c>
      <c r="G39" s="163">
        <f>SUM(AH12:AI12)</f>
        <v>90180</v>
      </c>
    </row>
    <row r="40" spans="2:7" hidden="1" x14ac:dyDescent="0.2">
      <c r="B40" s="162" t="s">
        <v>334</v>
      </c>
      <c r="C40" s="163">
        <f>SUM(F13:G13)</f>
        <v>0</v>
      </c>
      <c r="D40" s="163">
        <f>SUM(M13:N13)</f>
        <v>0</v>
      </c>
      <c r="E40" s="163">
        <f>SUM(T13:U13)</f>
        <v>0</v>
      </c>
      <c r="F40" s="163">
        <f>SUM(AA13:AB13)</f>
        <v>0</v>
      </c>
      <c r="G40" s="163">
        <f>SUM(AH13:AI13)</f>
        <v>0</v>
      </c>
    </row>
    <row r="41" spans="2:7" x14ac:dyDescent="0.2">
      <c r="B41" s="164" t="s">
        <v>254</v>
      </c>
      <c r="C41" s="169">
        <f>SUM(F14:G16)</f>
        <v>0</v>
      </c>
      <c r="D41" s="165">
        <f>SUM(M14:N16)</f>
        <v>0</v>
      </c>
      <c r="E41" s="165">
        <f>SUM(T14:U16)</f>
        <v>0</v>
      </c>
      <c r="F41" s="165">
        <f>SUM(AA14:AB16)</f>
        <v>0</v>
      </c>
      <c r="G41" s="165">
        <f>SUM(AH14:AI16)</f>
        <v>0</v>
      </c>
    </row>
    <row r="44" spans="2:7" x14ac:dyDescent="0.2">
      <c r="B44" s="167" t="s">
        <v>458</v>
      </c>
      <c r="C44" s="166" t="s">
        <v>255</v>
      </c>
      <c r="D44" s="166" t="s">
        <v>425</v>
      </c>
      <c r="E44" s="166" t="s">
        <v>426</v>
      </c>
      <c r="F44" s="166" t="s">
        <v>427</v>
      </c>
      <c r="G44" s="166" t="s">
        <v>428</v>
      </c>
    </row>
    <row r="45" spans="2:7" x14ac:dyDescent="0.2">
      <c r="B45" s="157" t="s">
        <v>459</v>
      </c>
      <c r="C45" s="168"/>
      <c r="D45" s="154">
        <f>D24-C24</f>
        <v>-7025</v>
      </c>
      <c r="E45" s="154">
        <f t="shared" ref="E45:G45" si="15">E24-D24</f>
        <v>-13025</v>
      </c>
      <c r="F45" s="154">
        <f>F24-E24</f>
        <v>-2350</v>
      </c>
      <c r="G45" s="154">
        <f t="shared" si="15"/>
        <v>-1375</v>
      </c>
    </row>
    <row r="46" spans="2:7" x14ac:dyDescent="0.2">
      <c r="B46" s="157" t="s">
        <v>460</v>
      </c>
      <c r="C46" s="168"/>
      <c r="D46" s="154">
        <f>D24-$C$24</f>
        <v>-7025</v>
      </c>
      <c r="E46" s="154">
        <f t="shared" ref="E46:G46" si="16">E24-$C$24</f>
        <v>-20050</v>
      </c>
      <c r="F46" s="154">
        <f t="shared" si="16"/>
        <v>-22400</v>
      </c>
      <c r="G46" s="154">
        <f t="shared" si="16"/>
        <v>-23775</v>
      </c>
    </row>
  </sheetData>
  <mergeCells count="5">
    <mergeCell ref="C5:G5"/>
    <mergeCell ref="J5:N5"/>
    <mergeCell ref="Q5:U5"/>
    <mergeCell ref="X5:AB5"/>
    <mergeCell ref="AE5:A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Table of Contents</vt:lpstr>
      <vt:lpstr>Summary Analysis</vt:lpstr>
      <vt:lpstr>Category History</vt:lpstr>
      <vt:lpstr>2025-2029 Category Detail</vt:lpstr>
      <vt:lpstr>Funding Shares (Combined)</vt:lpstr>
      <vt:lpstr>2025-2029 Combined Category</vt:lpstr>
      <vt:lpstr>2025-2029 Category Electric</vt:lpstr>
      <vt:lpstr>2025-2029 Category Gas</vt:lpstr>
      <vt:lpstr>2025-2029 Category DR</vt:lpstr>
      <vt:lpstr>Measure Timing and Costs</vt:lpstr>
      <vt:lpstr>NWPCC In Kind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Thomas</dc:creator>
  <cp:lastModifiedBy>Laura Thomas</cp:lastModifiedBy>
  <dcterms:created xsi:type="dcterms:W3CDTF">2024-03-15T15:06:08Z</dcterms:created>
  <dcterms:modified xsi:type="dcterms:W3CDTF">2024-03-26T15:28:52Z</dcterms:modified>
</cp:coreProperties>
</file>