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Q:\Eighth Plan\Conservation Analysis\Ag sector\"/>
    </mc:Choice>
  </mc:AlternateContent>
  <xr:revisionPtr revIDLastSave="0" documentId="13_ncr:1_{6DCE5072-02B7-4644-B909-B9E06F6DADF5}" xr6:coauthVersionLast="44" xr6:coauthVersionMax="45" xr10:uidLastSave="{00000000-0000-0000-0000-000000000000}"/>
  <bookViews>
    <workbookView xWindow="26580" yWindow="2124" windowWidth="18948" windowHeight="12144" tabRatio="792" firstSheet="1" activeTab="1" xr2:uid="{00000000-000D-0000-FFFF-FFFF00000000}"/>
  </bookViews>
  <sheets>
    <sheet name="2021P Draft - ReadMe" sheetId="24" r:id="rId1"/>
    <sheet name="Final Measure List" sheetId="1" r:id="rId2"/>
    <sheet name="Excluded Measures" sheetId="4" r:id="rId3"/>
    <sheet name="ACHIEV" sheetId="5" r:id="rId4"/>
    <sheet name="APPLIC" sheetId="15" r:id="rId5"/>
    <sheet name="FEAS" sheetId="16" r:id="rId6"/>
    <sheet name="BASE" sheetId="17" r:id="rId7"/>
    <sheet name="Curves" sheetId="22" r:id="rId8"/>
    <sheet name="Measure Code" sheetId="21" r:id="rId9"/>
    <sheet name="W vs E" sheetId="19" r:id="rId10"/>
    <sheet name="UpdateLog" sheetId="23" r:id="rId11"/>
  </sheets>
  <externalReferences>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788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ACHIEV!$A$16:$AC$16</definedName>
    <definedName name="_xlnm._FilterDatabase" localSheetId="5" hidden="1">FEAS!$A$3:$F$70</definedName>
    <definedName name="_xlnm._FilterDatabase" localSheetId="1" hidden="1">'Final Measure List'!$A$3:$AO$159</definedName>
    <definedName name="_Key1" localSheetId="0" hidden="1">#REF!</definedName>
    <definedName name="_Key1" localSheetId="3" hidden="1">#REF!</definedName>
    <definedName name="_Key1" localSheetId="4" hidden="1">#REF!</definedName>
    <definedName name="_Key1" localSheetId="6" hidden="1">#REF!</definedName>
    <definedName name="_Key1" localSheetId="5" hidden="1">#REF!</definedName>
    <definedName name="_Key1" localSheetId="9" hidden="1">#REF!</definedName>
    <definedName name="_Key1" hidden="1">#REF!</definedName>
    <definedName name="_Key1old" localSheetId="9" hidden="1">#REF!</definedName>
    <definedName name="_Key1old" hidden="1">#REF!</definedName>
    <definedName name="_Key2" hidden="1">#REF!</definedName>
    <definedName name="_Order1" hidden="1">255</definedName>
    <definedName name="_Sort" localSheetId="0" hidden="1">#REF!</definedName>
    <definedName name="_Sort" localSheetId="3" hidden="1">#REF!</definedName>
    <definedName name="_Sort" localSheetId="4" hidden="1">#REF!</definedName>
    <definedName name="_Sort" localSheetId="6" hidden="1">#REF!</definedName>
    <definedName name="_Sort" localSheetId="5" hidden="1">#REF!</definedName>
    <definedName name="_Sort" localSheetId="9" hidden="1">#REF!</definedName>
    <definedName name="_Sort" hidden="1">#REF!</definedName>
    <definedName name="_Sort2" hidden="1">#REF!</definedName>
    <definedName name="_SortOld" localSheetId="9" hidden="1">#REF!</definedName>
    <definedName name="_SortOld" hidden="1">#REF!</definedName>
    <definedName name="Achiev">ACHIEV!$B$16:$X$128</definedName>
    <definedName name="anscount" hidden="1">1</definedName>
    <definedName name="CBWorkbookPriority" hidden="1">-738590518</definedName>
    <definedName name="d" hidden="1">#REF!</definedName>
    <definedName name="e" hidden="1">#REF!</definedName>
    <definedName name="GDP_Deflator">'[1]NYSERDA - EUI by Equip Type'!$P$41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limcount" hidden="1">1</definedName>
    <definedName name="MeasureOutput">[1]M_Input_Out!$A$4:$AM$100</definedName>
    <definedName name="MeasureTypeCode">'Measure Code'!$A$2:$B$23</definedName>
    <definedName name="_xlnm.Print_Area" localSheetId="5">FEAS!$B$1:$F$69</definedName>
    <definedName name="ResBase">'[2]Res Forecast (Base Case)'!$C$14:$BD$61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 hidden="1">#REF!</definedName>
    <definedName name="sencount" hidden="1">1</definedName>
    <definedName name="sort" localSheetId="0" hidden="1">#REF!</definedName>
    <definedName name="sort" localSheetId="9" hidden="1">#REF!</definedName>
    <definedName name="sort" hidden="1">#REF!</definedName>
    <definedName name="State">'Measure Code'!$E$2:$F$6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3" i="1" l="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V6" i="22" l="1"/>
  <c r="U6" i="22"/>
  <c r="T6" i="22"/>
  <c r="S6" i="22"/>
  <c r="R6" i="22"/>
  <c r="Q6" i="22"/>
  <c r="P6" i="22"/>
  <c r="O6" i="22"/>
  <c r="N6" i="22"/>
  <c r="M6" i="22"/>
  <c r="L6" i="22"/>
  <c r="K6" i="22"/>
  <c r="J6" i="22"/>
  <c r="I6" i="22"/>
  <c r="H6" i="22"/>
  <c r="G6" i="22"/>
  <c r="F6" i="22"/>
  <c r="E6" i="22"/>
  <c r="D6" i="22"/>
  <c r="C6" i="22"/>
  <c r="B6" i="22"/>
  <c r="V5" i="22"/>
  <c r="U5" i="22"/>
  <c r="T5" i="22"/>
  <c r="S5" i="22"/>
  <c r="R5" i="22"/>
  <c r="Q5" i="22"/>
  <c r="P5" i="22"/>
  <c r="O5" i="22"/>
  <c r="N5" i="22"/>
  <c r="M5" i="22"/>
  <c r="L5" i="22"/>
  <c r="K5" i="22"/>
  <c r="J5" i="22"/>
  <c r="I5" i="22"/>
  <c r="H5" i="22"/>
  <c r="G5" i="22"/>
  <c r="F5" i="22"/>
  <c r="E5" i="22"/>
  <c r="D5" i="22"/>
  <c r="C5" i="22"/>
  <c r="B5" i="22"/>
  <c r="W107" i="1"/>
  <c r="V107" i="1"/>
  <c r="U107" i="1"/>
  <c r="T107" i="1"/>
  <c r="S107" i="1"/>
  <c r="R107" i="1"/>
  <c r="Q107" i="1"/>
  <c r="W106" i="1"/>
  <c r="V106" i="1"/>
  <c r="U106" i="1"/>
  <c r="T106" i="1"/>
  <c r="S106" i="1"/>
  <c r="R106" i="1"/>
  <c r="Q106" i="1"/>
  <c r="W105" i="1"/>
  <c r="V105" i="1"/>
  <c r="U105" i="1"/>
  <c r="T105" i="1"/>
  <c r="S105" i="1"/>
  <c r="R105" i="1"/>
  <c r="Q105" i="1"/>
  <c r="W104" i="1"/>
  <c r="V104" i="1"/>
  <c r="U104" i="1"/>
  <c r="T104" i="1"/>
  <c r="S104" i="1"/>
  <c r="R104" i="1"/>
  <c r="Q104" i="1"/>
  <c r="W103" i="1"/>
  <c r="V103" i="1"/>
  <c r="U103" i="1"/>
  <c r="T103" i="1"/>
  <c r="S103" i="1"/>
  <c r="R103" i="1"/>
  <c r="Q103" i="1"/>
  <c r="W102" i="1"/>
  <c r="V102" i="1"/>
  <c r="U102" i="1"/>
  <c r="T102" i="1"/>
  <c r="S102" i="1"/>
  <c r="R102" i="1"/>
  <c r="Q102" i="1"/>
  <c r="W101" i="1"/>
  <c r="V101" i="1"/>
  <c r="U101" i="1"/>
  <c r="T101" i="1"/>
  <c r="S101" i="1"/>
  <c r="R101" i="1"/>
  <c r="Q101" i="1"/>
  <c r="W100" i="1"/>
  <c r="V100" i="1"/>
  <c r="U100" i="1"/>
  <c r="T100" i="1"/>
  <c r="S100" i="1"/>
  <c r="R100" i="1"/>
  <c r="Q100" i="1"/>
  <c r="W99" i="1"/>
  <c r="V99" i="1"/>
  <c r="U99" i="1"/>
  <c r="T99" i="1"/>
  <c r="S99" i="1"/>
  <c r="R99" i="1"/>
  <c r="Q99" i="1"/>
  <c r="W98" i="1"/>
  <c r="V98" i="1"/>
  <c r="U98" i="1"/>
  <c r="T98" i="1"/>
  <c r="S98" i="1"/>
  <c r="R98" i="1"/>
  <c r="Q98" i="1"/>
  <c r="W97" i="1"/>
  <c r="V97" i="1"/>
  <c r="U97" i="1"/>
  <c r="T97" i="1"/>
  <c r="S97" i="1"/>
  <c r="R97" i="1"/>
  <c r="Q97" i="1"/>
  <c r="W96" i="1"/>
  <c r="V96" i="1"/>
  <c r="U96" i="1"/>
  <c r="T96" i="1"/>
  <c r="S96" i="1"/>
  <c r="R96" i="1"/>
  <c r="Q96" i="1"/>
  <c r="W95" i="1"/>
  <c r="V95" i="1"/>
  <c r="U95" i="1"/>
  <c r="T95" i="1"/>
  <c r="S95" i="1"/>
  <c r="R95" i="1"/>
  <c r="Q95" i="1"/>
  <c r="W94" i="1"/>
  <c r="V94" i="1"/>
  <c r="U94" i="1"/>
  <c r="T94" i="1"/>
  <c r="S94" i="1"/>
  <c r="R94" i="1"/>
  <c r="Q94" i="1"/>
  <c r="W93" i="1"/>
  <c r="V93" i="1"/>
  <c r="U93" i="1"/>
  <c r="T93" i="1"/>
  <c r="S93" i="1"/>
  <c r="R93" i="1"/>
  <c r="Q93" i="1"/>
  <c r="W92" i="1"/>
  <c r="V92" i="1"/>
  <c r="U92" i="1"/>
  <c r="T92" i="1"/>
  <c r="S92" i="1"/>
  <c r="R92" i="1"/>
  <c r="Q92" i="1"/>
  <c r="W91" i="1"/>
  <c r="V91" i="1"/>
  <c r="U91" i="1"/>
  <c r="T91" i="1"/>
  <c r="S91" i="1"/>
  <c r="R91" i="1"/>
  <c r="Q91" i="1"/>
  <c r="W90" i="1"/>
  <c r="V90" i="1"/>
  <c r="U90" i="1"/>
  <c r="T90" i="1"/>
  <c r="S90" i="1"/>
  <c r="R90" i="1"/>
  <c r="Q90" i="1"/>
  <c r="W89" i="1"/>
  <c r="V89" i="1"/>
  <c r="U89" i="1"/>
  <c r="T89" i="1"/>
  <c r="S89" i="1"/>
  <c r="R89" i="1"/>
  <c r="Q89" i="1"/>
  <c r="W88" i="1"/>
  <c r="V88" i="1"/>
  <c r="U88" i="1"/>
  <c r="T88" i="1"/>
  <c r="S88" i="1"/>
  <c r="R88" i="1"/>
  <c r="Q88" i="1"/>
  <c r="O107" i="1"/>
  <c r="N107" i="1"/>
  <c r="M107" i="1"/>
  <c r="L107" i="1"/>
  <c r="K107" i="1"/>
  <c r="J107" i="1"/>
  <c r="O106" i="1"/>
  <c r="N106" i="1"/>
  <c r="M106" i="1"/>
  <c r="L106" i="1"/>
  <c r="K106" i="1"/>
  <c r="J106" i="1"/>
  <c r="O105" i="1"/>
  <c r="N105" i="1"/>
  <c r="M105" i="1"/>
  <c r="L105" i="1"/>
  <c r="K105" i="1"/>
  <c r="J105" i="1"/>
  <c r="O104" i="1"/>
  <c r="N104" i="1"/>
  <c r="M104" i="1"/>
  <c r="L104" i="1"/>
  <c r="K104" i="1"/>
  <c r="J104" i="1"/>
  <c r="O103" i="1"/>
  <c r="N103" i="1"/>
  <c r="M103" i="1"/>
  <c r="L103" i="1"/>
  <c r="K103" i="1"/>
  <c r="J103" i="1"/>
  <c r="O102" i="1"/>
  <c r="N102" i="1"/>
  <c r="M102" i="1"/>
  <c r="L102" i="1"/>
  <c r="K102" i="1"/>
  <c r="J102" i="1"/>
  <c r="O101" i="1"/>
  <c r="N101" i="1"/>
  <c r="M101" i="1"/>
  <c r="L101" i="1"/>
  <c r="K101" i="1"/>
  <c r="J101" i="1"/>
  <c r="O100" i="1"/>
  <c r="N100" i="1"/>
  <c r="M100" i="1"/>
  <c r="L100" i="1"/>
  <c r="K100" i="1"/>
  <c r="J100" i="1"/>
  <c r="O99" i="1"/>
  <c r="N99" i="1"/>
  <c r="M99" i="1"/>
  <c r="L99" i="1"/>
  <c r="K99" i="1"/>
  <c r="J99" i="1"/>
  <c r="O98" i="1"/>
  <c r="N98" i="1"/>
  <c r="M98" i="1"/>
  <c r="L98" i="1"/>
  <c r="K98" i="1"/>
  <c r="J98" i="1"/>
  <c r="O97" i="1"/>
  <c r="N97" i="1"/>
  <c r="M97" i="1"/>
  <c r="L97" i="1"/>
  <c r="K97" i="1"/>
  <c r="J97" i="1"/>
  <c r="O96" i="1"/>
  <c r="N96" i="1"/>
  <c r="M96" i="1"/>
  <c r="L96" i="1"/>
  <c r="K96" i="1"/>
  <c r="J96" i="1"/>
  <c r="O95" i="1"/>
  <c r="N95" i="1"/>
  <c r="M95" i="1"/>
  <c r="L95" i="1"/>
  <c r="K95" i="1"/>
  <c r="J95" i="1"/>
  <c r="O94" i="1"/>
  <c r="N94" i="1"/>
  <c r="M94" i="1"/>
  <c r="L94" i="1"/>
  <c r="K94" i="1"/>
  <c r="J94" i="1"/>
  <c r="O93" i="1"/>
  <c r="N93" i="1"/>
  <c r="M93" i="1"/>
  <c r="L93" i="1"/>
  <c r="K93" i="1"/>
  <c r="J93" i="1"/>
  <c r="O92" i="1"/>
  <c r="N92" i="1"/>
  <c r="M92" i="1"/>
  <c r="L92" i="1"/>
  <c r="K92" i="1"/>
  <c r="J92" i="1"/>
  <c r="O91" i="1"/>
  <c r="N91" i="1"/>
  <c r="M91" i="1"/>
  <c r="L91" i="1"/>
  <c r="K91" i="1"/>
  <c r="J91" i="1"/>
  <c r="O90" i="1"/>
  <c r="N90" i="1"/>
  <c r="M90" i="1"/>
  <c r="L90" i="1"/>
  <c r="K90" i="1"/>
  <c r="J90" i="1"/>
  <c r="O89" i="1"/>
  <c r="N89" i="1"/>
  <c r="M89" i="1"/>
  <c r="L89" i="1"/>
  <c r="K89" i="1"/>
  <c r="J89" i="1"/>
  <c r="O88" i="1"/>
  <c r="N88" i="1"/>
  <c r="M88" i="1"/>
  <c r="L88" i="1"/>
  <c r="K88" i="1"/>
  <c r="J88" i="1"/>
  <c r="F107" i="1"/>
  <c r="F106" i="1"/>
  <c r="F105" i="1"/>
  <c r="F104" i="1"/>
  <c r="F103" i="1"/>
  <c r="F102" i="1"/>
  <c r="F101" i="1"/>
  <c r="F100" i="1"/>
  <c r="F99" i="1"/>
  <c r="F98" i="1"/>
  <c r="F97" i="1"/>
  <c r="F96" i="1"/>
  <c r="F95" i="1"/>
  <c r="F94" i="1"/>
  <c r="F93" i="1"/>
  <c r="F92" i="1"/>
  <c r="F91" i="1"/>
  <c r="F90" i="1"/>
  <c r="F89" i="1"/>
  <c r="F88" i="1"/>
  <c r="V10" i="22"/>
  <c r="U10" i="22"/>
  <c r="T10" i="22"/>
  <c r="S10" i="22"/>
  <c r="R10" i="22"/>
  <c r="Q10" i="22"/>
  <c r="P10" i="22"/>
  <c r="O10" i="22"/>
  <c r="N10" i="22"/>
  <c r="M10" i="22"/>
  <c r="L10" i="22"/>
  <c r="K10" i="22"/>
  <c r="J10" i="22"/>
  <c r="I10" i="22"/>
  <c r="H10" i="22"/>
  <c r="G10" i="22"/>
  <c r="F10" i="22"/>
  <c r="E10" i="22"/>
  <c r="D10" i="22"/>
  <c r="C10" i="22"/>
  <c r="B10" i="22"/>
  <c r="W87" i="1"/>
  <c r="V87" i="1"/>
  <c r="U87" i="1"/>
  <c r="T87" i="1"/>
  <c r="S87" i="1"/>
  <c r="R87" i="1"/>
  <c r="Q87" i="1"/>
  <c r="W86" i="1"/>
  <c r="V86" i="1"/>
  <c r="U86" i="1"/>
  <c r="T86" i="1"/>
  <c r="S86" i="1"/>
  <c r="R86" i="1"/>
  <c r="Q86" i="1"/>
  <c r="W85" i="1"/>
  <c r="V85" i="1"/>
  <c r="U85" i="1"/>
  <c r="T85" i="1"/>
  <c r="S85" i="1"/>
  <c r="R85" i="1"/>
  <c r="Q85" i="1"/>
  <c r="W84" i="1"/>
  <c r="V84" i="1"/>
  <c r="U84" i="1"/>
  <c r="T84" i="1"/>
  <c r="S84" i="1"/>
  <c r="R84" i="1"/>
  <c r="Q84" i="1"/>
  <c r="O87" i="1"/>
  <c r="N87" i="1"/>
  <c r="M87" i="1"/>
  <c r="L87" i="1"/>
  <c r="K87" i="1"/>
  <c r="J87" i="1"/>
  <c r="O86" i="1"/>
  <c r="N86" i="1"/>
  <c r="M86" i="1"/>
  <c r="L86" i="1"/>
  <c r="K86" i="1"/>
  <c r="J86" i="1"/>
  <c r="O85" i="1"/>
  <c r="N85" i="1"/>
  <c r="M85" i="1"/>
  <c r="L85" i="1"/>
  <c r="K85" i="1"/>
  <c r="J85" i="1"/>
  <c r="O84" i="1"/>
  <c r="N84" i="1"/>
  <c r="M84" i="1"/>
  <c r="L84" i="1"/>
  <c r="K84" i="1"/>
  <c r="J84" i="1"/>
  <c r="F87" i="1"/>
  <c r="F86" i="1"/>
  <c r="F85" i="1"/>
  <c r="F84" i="1"/>
  <c r="F19" i="17"/>
  <c r="E19" i="17"/>
  <c r="C19" i="17"/>
  <c r="F18" i="17"/>
  <c r="E18" i="17"/>
  <c r="C18" i="17"/>
  <c r="F17" i="17"/>
  <c r="E17" i="17"/>
  <c r="C17" i="17"/>
  <c r="F16" i="17"/>
  <c r="E16" i="17"/>
  <c r="C16" i="17"/>
  <c r="F15" i="17"/>
  <c r="E15" i="17"/>
  <c r="C15" i="17"/>
  <c r="F14" i="17"/>
  <c r="E14" i="17"/>
  <c r="C14" i="17"/>
  <c r="F13" i="17"/>
  <c r="E13" i="17"/>
  <c r="C13" i="17"/>
  <c r="C46" i="5"/>
  <c r="C45" i="5"/>
  <c r="C44" i="5"/>
  <c r="C42" i="5"/>
  <c r="C41" i="5"/>
  <c r="C40" i="5"/>
  <c r="C39" i="5"/>
  <c r="C38" i="5"/>
  <c r="C37" i="5"/>
  <c r="C36" i="5"/>
  <c r="C35" i="5"/>
  <c r="C34" i="5"/>
  <c r="C33" i="5"/>
  <c r="C32" i="5"/>
  <c r="C31" i="5"/>
  <c r="C30" i="5"/>
  <c r="C29" i="5"/>
  <c r="C28" i="5"/>
  <c r="C27" i="5"/>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O83" i="1"/>
  <c r="J83" i="1"/>
  <c r="O82" i="1"/>
  <c r="J82" i="1"/>
  <c r="O81" i="1"/>
  <c r="J81" i="1"/>
  <c r="O80" i="1"/>
  <c r="J80" i="1"/>
  <c r="O79" i="1"/>
  <c r="J79" i="1"/>
  <c r="O78" i="1"/>
  <c r="J78" i="1"/>
  <c r="O77" i="1"/>
  <c r="J77" i="1"/>
  <c r="O76" i="1"/>
  <c r="J76" i="1"/>
  <c r="O75" i="1"/>
  <c r="J75" i="1"/>
  <c r="O74" i="1"/>
  <c r="J74" i="1"/>
  <c r="O73" i="1"/>
  <c r="J73" i="1"/>
  <c r="O72" i="1"/>
  <c r="J72" i="1"/>
  <c r="O71" i="1"/>
  <c r="J71" i="1"/>
  <c r="O70" i="1"/>
  <c r="J70" i="1"/>
  <c r="O69" i="1"/>
  <c r="J69" i="1"/>
  <c r="O68" i="1"/>
  <c r="J68" i="1"/>
  <c r="O67" i="1"/>
  <c r="J67" i="1"/>
  <c r="O66" i="1"/>
  <c r="J66" i="1"/>
  <c r="O65" i="1"/>
  <c r="J65" i="1"/>
  <c r="O64" i="1"/>
  <c r="J64" i="1"/>
  <c r="O63" i="1"/>
  <c r="J63" i="1"/>
  <c r="O62" i="1"/>
  <c r="J62" i="1"/>
  <c r="O61" i="1"/>
  <c r="J61" i="1"/>
  <c r="O60" i="1"/>
  <c r="J60" i="1"/>
  <c r="O59" i="1"/>
  <c r="J59" i="1"/>
  <c r="O58" i="1"/>
  <c r="J58" i="1"/>
  <c r="O57" i="1"/>
  <c r="J57" i="1"/>
  <c r="O56" i="1"/>
  <c r="J56" i="1"/>
  <c r="O55" i="1"/>
  <c r="J55" i="1"/>
  <c r="O54" i="1"/>
  <c r="J54" i="1"/>
  <c r="O53" i="1"/>
  <c r="J53" i="1"/>
  <c r="O52" i="1"/>
  <c r="J52" i="1"/>
  <c r="O51" i="1"/>
  <c r="J51" i="1"/>
  <c r="O50" i="1"/>
  <c r="J50" i="1"/>
  <c r="O49" i="1"/>
  <c r="J49" i="1"/>
  <c r="O48" i="1"/>
  <c r="J48" i="1"/>
  <c r="O47" i="1"/>
  <c r="J47" i="1"/>
  <c r="O46" i="1"/>
  <c r="J46" i="1"/>
  <c r="O45" i="1"/>
  <c r="J45" i="1"/>
  <c r="O44" i="1"/>
  <c r="J44" i="1"/>
  <c r="O43" i="1"/>
  <c r="J43" i="1"/>
  <c r="O42" i="1"/>
  <c r="J42" i="1"/>
  <c r="O41" i="1"/>
  <c r="J41" i="1"/>
  <c r="O40" i="1"/>
  <c r="J40" i="1"/>
  <c r="O39" i="1"/>
  <c r="J39" i="1"/>
  <c r="O38" i="1"/>
  <c r="J38" i="1"/>
  <c r="O37" i="1"/>
  <c r="J37" i="1"/>
  <c r="O36" i="1"/>
  <c r="J36" i="1"/>
  <c r="O35" i="1"/>
  <c r="J35" i="1"/>
  <c r="O34" i="1"/>
  <c r="J34" i="1"/>
  <c r="O33" i="1"/>
  <c r="J33" i="1"/>
  <c r="O32" i="1"/>
  <c r="J32" i="1"/>
  <c r="O31" i="1"/>
  <c r="J31" i="1"/>
  <c r="O30" i="1"/>
  <c r="J30" i="1"/>
  <c r="O29" i="1"/>
  <c r="J29" i="1"/>
  <c r="O28" i="1"/>
  <c r="J28" i="1"/>
  <c r="O27" i="1"/>
  <c r="J27" i="1"/>
  <c r="O26" i="1"/>
  <c r="J26" i="1"/>
  <c r="O25" i="1"/>
  <c r="J25" i="1"/>
  <c r="O24" i="1"/>
  <c r="J24" i="1"/>
  <c r="O23" i="1"/>
  <c r="J23" i="1"/>
  <c r="O22" i="1"/>
  <c r="J22" i="1"/>
  <c r="O21" i="1"/>
  <c r="J21" i="1"/>
  <c r="O20" i="1"/>
  <c r="J20" i="1"/>
  <c r="O19" i="1"/>
  <c r="J19" i="1"/>
  <c r="O18" i="1"/>
  <c r="J18" i="1"/>
  <c r="O17" i="1"/>
  <c r="J17" i="1"/>
  <c r="O16" i="1"/>
  <c r="J16" i="1"/>
  <c r="O15" i="1"/>
  <c r="J15" i="1"/>
  <c r="O14" i="1"/>
  <c r="J14" i="1"/>
  <c r="O13" i="1"/>
  <c r="J13" i="1"/>
  <c r="O12" i="1"/>
  <c r="J12" i="1"/>
  <c r="O11" i="1"/>
  <c r="J11" i="1"/>
  <c r="O10" i="1"/>
  <c r="J10" i="1"/>
  <c r="O9" i="1"/>
  <c r="J9" i="1"/>
  <c r="O8" i="1"/>
  <c r="J8" i="1"/>
  <c r="O7" i="1"/>
  <c r="J7" i="1"/>
  <c r="O6" i="1"/>
  <c r="J6" i="1"/>
  <c r="O5" i="1"/>
  <c r="J5" i="1"/>
  <c r="O4" i="1"/>
  <c r="J4" i="1"/>
  <c r="F83" i="1"/>
  <c r="N83" i="1" s="1"/>
  <c r="F82" i="1"/>
  <c r="Q82" i="1" s="1"/>
  <c r="F81" i="1"/>
  <c r="F80" i="1"/>
  <c r="F79" i="1"/>
  <c r="N79" i="1" s="1"/>
  <c r="F78" i="1"/>
  <c r="F77" i="1"/>
  <c r="F76" i="1"/>
  <c r="F75" i="1"/>
  <c r="F74" i="1"/>
  <c r="F73" i="1"/>
  <c r="F72" i="1"/>
  <c r="L72" i="1" s="1"/>
  <c r="F71" i="1"/>
  <c r="S71" i="1" s="1"/>
  <c r="F70" i="1"/>
  <c r="F69" i="1"/>
  <c r="Y69" i="1" s="1"/>
  <c r="F68" i="1"/>
  <c r="F67" i="1"/>
  <c r="X67" i="1" s="1"/>
  <c r="F66" i="1"/>
  <c r="F65" i="1"/>
  <c r="F64" i="1"/>
  <c r="F63" i="1"/>
  <c r="N63" i="1" s="1"/>
  <c r="F62" i="1"/>
  <c r="F61" i="1"/>
  <c r="N61" i="1" s="1"/>
  <c r="F60" i="1"/>
  <c r="F59" i="1"/>
  <c r="F58" i="1"/>
  <c r="L58" i="1" s="1"/>
  <c r="F57" i="1"/>
  <c r="F56" i="1"/>
  <c r="L56" i="1" s="1"/>
  <c r="F55" i="1"/>
  <c r="F54" i="1"/>
  <c r="F53" i="1"/>
  <c r="Y53" i="1" s="1"/>
  <c r="F52" i="1"/>
  <c r="V52" i="1" s="1"/>
  <c r="F51" i="1"/>
  <c r="F50" i="1"/>
  <c r="F49" i="1"/>
  <c r="F48" i="1"/>
  <c r="L48" i="1" s="1"/>
  <c r="F47" i="1"/>
  <c r="S47" i="1" s="1"/>
  <c r="F46" i="1"/>
  <c r="F45" i="1"/>
  <c r="F44" i="1"/>
  <c r="L44" i="1" s="1"/>
  <c r="F43" i="1"/>
  <c r="F42" i="1"/>
  <c r="L42" i="1" s="1"/>
  <c r="F41" i="1"/>
  <c r="F40" i="1"/>
  <c r="L40" i="1" s="1"/>
  <c r="F39" i="1"/>
  <c r="S39" i="1" s="1"/>
  <c r="F38" i="1"/>
  <c r="F37" i="1"/>
  <c r="F36" i="1"/>
  <c r="L36" i="1" s="1"/>
  <c r="F35" i="1"/>
  <c r="X35" i="1" s="1"/>
  <c r="F34" i="1"/>
  <c r="F33" i="1"/>
  <c r="L33" i="1" s="1"/>
  <c r="F32" i="1"/>
  <c r="L32" i="1" s="1"/>
  <c r="F31" i="1"/>
  <c r="F30" i="1"/>
  <c r="F29" i="1"/>
  <c r="L29" i="1" s="1"/>
  <c r="F28" i="1"/>
  <c r="L28" i="1" s="1"/>
  <c r="F27" i="1"/>
  <c r="F26" i="1"/>
  <c r="F25" i="1"/>
  <c r="L25" i="1" s="1"/>
  <c r="F24" i="1"/>
  <c r="L24" i="1" s="1"/>
  <c r="F23" i="1"/>
  <c r="F22" i="1"/>
  <c r="F21" i="1"/>
  <c r="Y21" i="1" s="1"/>
  <c r="F20" i="1"/>
  <c r="V20" i="1" s="1"/>
  <c r="F19" i="1"/>
  <c r="F18" i="1"/>
  <c r="F17" i="1"/>
  <c r="L17" i="1" s="1"/>
  <c r="F16" i="1"/>
  <c r="Y16" i="1" s="1"/>
  <c r="F15" i="1"/>
  <c r="F14" i="1"/>
  <c r="F13" i="1"/>
  <c r="L13" i="1" s="1"/>
  <c r="F12" i="1"/>
  <c r="L12" i="1" s="1"/>
  <c r="F11" i="1"/>
  <c r="F10" i="1"/>
  <c r="F9" i="1"/>
  <c r="L9" i="1" s="1"/>
  <c r="F8" i="1"/>
  <c r="L8" i="1" s="1"/>
  <c r="F7" i="1"/>
  <c r="F6" i="1"/>
  <c r="F5" i="1"/>
  <c r="L5" i="1" s="1"/>
  <c r="F4" i="1"/>
  <c r="R4" i="1" s="1"/>
  <c r="V9" i="22"/>
  <c r="U9" i="22"/>
  <c r="T9" i="22"/>
  <c r="S9" i="22"/>
  <c r="R9" i="22"/>
  <c r="Q9" i="22"/>
  <c r="P9" i="22"/>
  <c r="O9" i="22"/>
  <c r="N9" i="22"/>
  <c r="M9" i="22"/>
  <c r="L9" i="22"/>
  <c r="K9" i="22"/>
  <c r="J9" i="22"/>
  <c r="I9" i="22"/>
  <c r="H9" i="22"/>
  <c r="G9" i="22"/>
  <c r="F9" i="22"/>
  <c r="E9" i="22"/>
  <c r="D9" i="22"/>
  <c r="C9" i="22"/>
  <c r="B9" i="22"/>
  <c r="V8" i="22"/>
  <c r="U8" i="22"/>
  <c r="T8" i="22"/>
  <c r="S8" i="22"/>
  <c r="R8" i="22"/>
  <c r="Q8" i="22"/>
  <c r="P8" i="22"/>
  <c r="O8" i="22"/>
  <c r="N8" i="22"/>
  <c r="M8" i="22"/>
  <c r="L8" i="22"/>
  <c r="K8" i="22"/>
  <c r="J8" i="22"/>
  <c r="I8" i="22"/>
  <c r="H8" i="22"/>
  <c r="G8" i="22"/>
  <c r="F8" i="22"/>
  <c r="E8" i="22"/>
  <c r="D8" i="22"/>
  <c r="C8" i="22"/>
  <c r="B8" i="22"/>
  <c r="V7" i="22"/>
  <c r="U7" i="22"/>
  <c r="T7" i="22"/>
  <c r="S7" i="22"/>
  <c r="R7" i="22"/>
  <c r="Q7" i="22"/>
  <c r="P7" i="22"/>
  <c r="O7" i="22"/>
  <c r="N7" i="22"/>
  <c r="M7" i="22"/>
  <c r="L7" i="22"/>
  <c r="K7" i="22"/>
  <c r="J7" i="22"/>
  <c r="I7" i="22"/>
  <c r="H7" i="22"/>
  <c r="G7" i="22"/>
  <c r="F7" i="22"/>
  <c r="E7" i="22"/>
  <c r="D7" i="22"/>
  <c r="C7" i="22"/>
  <c r="B7" i="22"/>
  <c r="W151" i="1"/>
  <c r="U151" i="1"/>
  <c r="T151" i="1"/>
  <c r="W150" i="1"/>
  <c r="U150" i="1"/>
  <c r="T150" i="1"/>
  <c r="W149" i="1"/>
  <c r="U149" i="1"/>
  <c r="T149" i="1"/>
  <c r="W148" i="1"/>
  <c r="U148" i="1"/>
  <c r="T148" i="1"/>
  <c r="W147" i="1"/>
  <c r="U147" i="1"/>
  <c r="T147" i="1"/>
  <c r="W146" i="1"/>
  <c r="U146" i="1"/>
  <c r="T146" i="1"/>
  <c r="W145" i="1"/>
  <c r="U145" i="1"/>
  <c r="T145" i="1"/>
  <c r="W144" i="1"/>
  <c r="U144" i="1"/>
  <c r="T144" i="1"/>
  <c r="W143" i="1"/>
  <c r="T143" i="1"/>
  <c r="W142" i="1"/>
  <c r="T142" i="1"/>
  <c r="W141" i="1"/>
  <c r="T141" i="1"/>
  <c r="W140" i="1"/>
  <c r="T140" i="1"/>
  <c r="W139" i="1"/>
  <c r="T139" i="1"/>
  <c r="W138" i="1"/>
  <c r="T138" i="1"/>
  <c r="W137" i="1"/>
  <c r="T137" i="1"/>
  <c r="W136" i="1"/>
  <c r="T136" i="1"/>
  <c r="W135" i="1"/>
  <c r="T135" i="1"/>
  <c r="W134" i="1"/>
  <c r="T134" i="1"/>
  <c r="W133" i="1"/>
  <c r="T133" i="1"/>
  <c r="W132" i="1"/>
  <c r="T132" i="1"/>
  <c r="W131" i="1"/>
  <c r="T131" i="1"/>
  <c r="W130" i="1"/>
  <c r="T130" i="1"/>
  <c r="W129" i="1"/>
  <c r="T129" i="1"/>
  <c r="W128" i="1"/>
  <c r="T128" i="1"/>
  <c r="W127" i="1"/>
  <c r="T127" i="1"/>
  <c r="W126" i="1"/>
  <c r="T126" i="1"/>
  <c r="W125" i="1"/>
  <c r="T125" i="1"/>
  <c r="W124" i="1"/>
  <c r="T124" i="1"/>
  <c r="W123" i="1"/>
  <c r="T123" i="1"/>
  <c r="W122" i="1"/>
  <c r="T122" i="1"/>
  <c r="W121" i="1"/>
  <c r="T121" i="1"/>
  <c r="W120" i="1"/>
  <c r="T120" i="1"/>
  <c r="W119" i="1"/>
  <c r="T119" i="1"/>
  <c r="W118" i="1"/>
  <c r="T118" i="1"/>
  <c r="W117" i="1"/>
  <c r="T117" i="1"/>
  <c r="W116" i="1"/>
  <c r="T116" i="1"/>
  <c r="W115" i="1"/>
  <c r="T115" i="1"/>
  <c r="W114" i="1"/>
  <c r="T114" i="1"/>
  <c r="W113" i="1"/>
  <c r="T113" i="1"/>
  <c r="W112" i="1"/>
  <c r="T112" i="1"/>
  <c r="W111" i="1"/>
  <c r="T111" i="1"/>
  <c r="W110" i="1"/>
  <c r="T110" i="1"/>
  <c r="W109" i="1"/>
  <c r="T109" i="1"/>
  <c r="W108" i="1"/>
  <c r="T108" i="1"/>
  <c r="O151" i="1"/>
  <c r="N151" i="1"/>
  <c r="M151" i="1"/>
  <c r="L151" i="1"/>
  <c r="K151" i="1"/>
  <c r="J151" i="1"/>
  <c r="O150" i="1"/>
  <c r="N150" i="1"/>
  <c r="M150" i="1"/>
  <c r="L150" i="1"/>
  <c r="K150" i="1"/>
  <c r="J150" i="1"/>
  <c r="O149" i="1"/>
  <c r="N149" i="1"/>
  <c r="M149" i="1"/>
  <c r="L149" i="1"/>
  <c r="K149" i="1"/>
  <c r="J149" i="1"/>
  <c r="O148" i="1"/>
  <c r="N148" i="1"/>
  <c r="M148" i="1"/>
  <c r="L148" i="1"/>
  <c r="K148" i="1"/>
  <c r="J148" i="1"/>
  <c r="O147" i="1"/>
  <c r="N147" i="1"/>
  <c r="M147" i="1"/>
  <c r="L147" i="1"/>
  <c r="K147" i="1"/>
  <c r="J147" i="1"/>
  <c r="O146" i="1"/>
  <c r="N146" i="1"/>
  <c r="M146" i="1"/>
  <c r="L146" i="1"/>
  <c r="K146" i="1"/>
  <c r="J146" i="1"/>
  <c r="O145" i="1"/>
  <c r="N145" i="1"/>
  <c r="M145" i="1"/>
  <c r="L145" i="1"/>
  <c r="K145" i="1"/>
  <c r="J145" i="1"/>
  <c r="O144" i="1"/>
  <c r="N144" i="1"/>
  <c r="M144" i="1"/>
  <c r="L144" i="1"/>
  <c r="K144" i="1"/>
  <c r="J144" i="1"/>
  <c r="O143" i="1"/>
  <c r="N143" i="1"/>
  <c r="M143" i="1"/>
  <c r="L143" i="1"/>
  <c r="K143" i="1"/>
  <c r="J143" i="1"/>
  <c r="O142" i="1"/>
  <c r="N142" i="1"/>
  <c r="M142" i="1"/>
  <c r="L142" i="1"/>
  <c r="K142" i="1"/>
  <c r="J142" i="1"/>
  <c r="O141" i="1"/>
  <c r="N141" i="1"/>
  <c r="M141" i="1"/>
  <c r="L141" i="1"/>
  <c r="K141" i="1"/>
  <c r="J141" i="1"/>
  <c r="O140" i="1"/>
  <c r="N140" i="1"/>
  <c r="M140" i="1"/>
  <c r="L140" i="1"/>
  <c r="K140" i="1"/>
  <c r="J140" i="1"/>
  <c r="O139" i="1"/>
  <c r="N139" i="1"/>
  <c r="M139" i="1"/>
  <c r="L139" i="1"/>
  <c r="K139" i="1"/>
  <c r="J139" i="1"/>
  <c r="O138" i="1"/>
  <c r="N138" i="1"/>
  <c r="M138" i="1"/>
  <c r="L138" i="1"/>
  <c r="K138" i="1"/>
  <c r="J138" i="1"/>
  <c r="O137" i="1"/>
  <c r="N137" i="1"/>
  <c r="M137" i="1"/>
  <c r="L137" i="1"/>
  <c r="K137" i="1"/>
  <c r="J137" i="1"/>
  <c r="O136" i="1"/>
  <c r="N136" i="1"/>
  <c r="M136" i="1"/>
  <c r="L136" i="1"/>
  <c r="K136" i="1"/>
  <c r="J136" i="1"/>
  <c r="O135" i="1"/>
  <c r="N135" i="1"/>
  <c r="M135" i="1"/>
  <c r="L135" i="1"/>
  <c r="K135" i="1"/>
  <c r="J135" i="1"/>
  <c r="O134" i="1"/>
  <c r="N134" i="1"/>
  <c r="M134" i="1"/>
  <c r="L134" i="1"/>
  <c r="K134" i="1"/>
  <c r="J134" i="1"/>
  <c r="O133" i="1"/>
  <c r="N133" i="1"/>
  <c r="M133" i="1"/>
  <c r="L133" i="1"/>
  <c r="K133" i="1"/>
  <c r="J133" i="1"/>
  <c r="O132" i="1"/>
  <c r="N132" i="1"/>
  <c r="M132" i="1"/>
  <c r="L132" i="1"/>
  <c r="K132" i="1"/>
  <c r="J132" i="1"/>
  <c r="O131" i="1"/>
  <c r="N131" i="1"/>
  <c r="M131" i="1"/>
  <c r="L131" i="1"/>
  <c r="K131" i="1"/>
  <c r="J131" i="1"/>
  <c r="O130" i="1"/>
  <c r="N130" i="1"/>
  <c r="M130" i="1"/>
  <c r="L130" i="1"/>
  <c r="K130" i="1"/>
  <c r="J130" i="1"/>
  <c r="O129" i="1"/>
  <c r="N129" i="1"/>
  <c r="M129" i="1"/>
  <c r="L129" i="1"/>
  <c r="K129" i="1"/>
  <c r="J129" i="1"/>
  <c r="O128" i="1"/>
  <c r="N128" i="1"/>
  <c r="M128" i="1"/>
  <c r="L128" i="1"/>
  <c r="K128" i="1"/>
  <c r="J128" i="1"/>
  <c r="O127" i="1"/>
  <c r="N127" i="1"/>
  <c r="M127" i="1"/>
  <c r="L127" i="1"/>
  <c r="K127" i="1"/>
  <c r="J127" i="1"/>
  <c r="O126" i="1"/>
  <c r="N126" i="1"/>
  <c r="M126" i="1"/>
  <c r="L126" i="1"/>
  <c r="K126" i="1"/>
  <c r="J126" i="1"/>
  <c r="O125" i="1"/>
  <c r="N125" i="1"/>
  <c r="M125" i="1"/>
  <c r="L125" i="1"/>
  <c r="K125" i="1"/>
  <c r="J125" i="1"/>
  <c r="O124" i="1"/>
  <c r="N124" i="1"/>
  <c r="M124" i="1"/>
  <c r="L124" i="1"/>
  <c r="K124" i="1"/>
  <c r="J124" i="1"/>
  <c r="O123" i="1"/>
  <c r="N123" i="1"/>
  <c r="M123" i="1"/>
  <c r="L123" i="1"/>
  <c r="K123" i="1"/>
  <c r="J123" i="1"/>
  <c r="O122" i="1"/>
  <c r="N122" i="1"/>
  <c r="M122" i="1"/>
  <c r="L122" i="1"/>
  <c r="K122" i="1"/>
  <c r="J122" i="1"/>
  <c r="O121" i="1"/>
  <c r="N121" i="1"/>
  <c r="M121" i="1"/>
  <c r="L121" i="1"/>
  <c r="K121" i="1"/>
  <c r="J121" i="1"/>
  <c r="O120" i="1"/>
  <c r="N120" i="1"/>
  <c r="M120" i="1"/>
  <c r="L120" i="1"/>
  <c r="K120" i="1"/>
  <c r="J120" i="1"/>
  <c r="O119" i="1"/>
  <c r="N119" i="1"/>
  <c r="M119" i="1"/>
  <c r="L119" i="1"/>
  <c r="K119" i="1"/>
  <c r="J119" i="1"/>
  <c r="O118" i="1"/>
  <c r="N118" i="1"/>
  <c r="M118" i="1"/>
  <c r="L118" i="1"/>
  <c r="K118" i="1"/>
  <c r="J118" i="1"/>
  <c r="O117" i="1"/>
  <c r="N117" i="1"/>
  <c r="M117" i="1"/>
  <c r="L117" i="1"/>
  <c r="K117" i="1"/>
  <c r="J117" i="1"/>
  <c r="O116" i="1"/>
  <c r="N116" i="1"/>
  <c r="M116" i="1"/>
  <c r="L116" i="1"/>
  <c r="K116" i="1"/>
  <c r="J116" i="1"/>
  <c r="O115" i="1"/>
  <c r="N115" i="1"/>
  <c r="M115" i="1"/>
  <c r="L115" i="1"/>
  <c r="K115" i="1"/>
  <c r="J115" i="1"/>
  <c r="O114" i="1"/>
  <c r="N114" i="1"/>
  <c r="M114" i="1"/>
  <c r="L114" i="1"/>
  <c r="K114" i="1"/>
  <c r="J114" i="1"/>
  <c r="O113" i="1"/>
  <c r="N113" i="1"/>
  <c r="M113" i="1"/>
  <c r="L113" i="1"/>
  <c r="K113" i="1"/>
  <c r="J113" i="1"/>
  <c r="O112" i="1"/>
  <c r="N112" i="1"/>
  <c r="M112" i="1"/>
  <c r="L112" i="1"/>
  <c r="K112" i="1"/>
  <c r="J112" i="1"/>
  <c r="O111" i="1"/>
  <c r="N111" i="1"/>
  <c r="M111" i="1"/>
  <c r="L111" i="1"/>
  <c r="K111" i="1"/>
  <c r="J111" i="1"/>
  <c r="O110" i="1"/>
  <c r="N110" i="1"/>
  <c r="M110" i="1"/>
  <c r="L110" i="1"/>
  <c r="K110" i="1"/>
  <c r="J110" i="1"/>
  <c r="O109" i="1"/>
  <c r="N109" i="1"/>
  <c r="M109" i="1"/>
  <c r="L109" i="1"/>
  <c r="K109" i="1"/>
  <c r="J109" i="1"/>
  <c r="O108" i="1"/>
  <c r="N108" i="1"/>
  <c r="M108" i="1"/>
  <c r="L108" i="1"/>
  <c r="K108" i="1"/>
  <c r="J108" i="1"/>
  <c r="F151" i="1"/>
  <c r="S151" i="1" s="1"/>
  <c r="F150" i="1"/>
  <c r="Q150" i="1" s="1"/>
  <c r="F149" i="1"/>
  <c r="S149" i="1" s="1"/>
  <c r="F148" i="1"/>
  <c r="V148" i="1" s="1"/>
  <c r="F147" i="1"/>
  <c r="S147" i="1" s="1"/>
  <c r="F146" i="1"/>
  <c r="Q146" i="1" s="1"/>
  <c r="F145" i="1"/>
  <c r="S145" i="1" s="1"/>
  <c r="F144" i="1"/>
  <c r="V144" i="1" s="1"/>
  <c r="F143" i="1"/>
  <c r="U143" i="1" s="1"/>
  <c r="F142" i="1"/>
  <c r="Q142" i="1" s="1"/>
  <c r="F141" i="1"/>
  <c r="S141" i="1" s="1"/>
  <c r="F140" i="1"/>
  <c r="U140" i="1" s="1"/>
  <c r="F139" i="1"/>
  <c r="U139" i="1" s="1"/>
  <c r="F138" i="1"/>
  <c r="U138" i="1" s="1"/>
  <c r="F137" i="1"/>
  <c r="S137" i="1" s="1"/>
  <c r="F136" i="1"/>
  <c r="U136" i="1" s="1"/>
  <c r="F135" i="1"/>
  <c r="U135" i="1" s="1"/>
  <c r="F134" i="1"/>
  <c r="U134" i="1" s="1"/>
  <c r="F133" i="1"/>
  <c r="S133" i="1" s="1"/>
  <c r="F132" i="1"/>
  <c r="U132" i="1" s="1"/>
  <c r="F131" i="1"/>
  <c r="U131" i="1" s="1"/>
  <c r="F130" i="1"/>
  <c r="U130" i="1" s="1"/>
  <c r="F129" i="1"/>
  <c r="S129" i="1" s="1"/>
  <c r="F128" i="1"/>
  <c r="V128" i="1" s="1"/>
  <c r="F127" i="1"/>
  <c r="U127" i="1" s="1"/>
  <c r="F126" i="1"/>
  <c r="U126" i="1" s="1"/>
  <c r="F125" i="1"/>
  <c r="S125" i="1" s="1"/>
  <c r="F124" i="1"/>
  <c r="U124" i="1" s="1"/>
  <c r="F123" i="1"/>
  <c r="U123" i="1" s="1"/>
  <c r="F122" i="1"/>
  <c r="U122" i="1" s="1"/>
  <c r="F121" i="1"/>
  <c r="S121" i="1" s="1"/>
  <c r="F120" i="1"/>
  <c r="U120" i="1" s="1"/>
  <c r="F119" i="1"/>
  <c r="U119" i="1" s="1"/>
  <c r="F118" i="1"/>
  <c r="U118" i="1" s="1"/>
  <c r="F117" i="1"/>
  <c r="S117" i="1" s="1"/>
  <c r="F116" i="1"/>
  <c r="U116" i="1" s="1"/>
  <c r="F115" i="1"/>
  <c r="U115" i="1" s="1"/>
  <c r="F114" i="1"/>
  <c r="U114" i="1" s="1"/>
  <c r="F113" i="1"/>
  <c r="S113" i="1" s="1"/>
  <c r="F112" i="1"/>
  <c r="U112" i="1" s="1"/>
  <c r="F111" i="1"/>
  <c r="U111" i="1" s="1"/>
  <c r="F110" i="1"/>
  <c r="U110" i="1" s="1"/>
  <c r="F109" i="1"/>
  <c r="S109" i="1" s="1"/>
  <c r="F108" i="1"/>
  <c r="V108" i="1" s="1"/>
  <c r="V151" i="1"/>
  <c r="V150" i="1"/>
  <c r="S150" i="1"/>
  <c r="R150" i="1"/>
  <c r="R149" i="1"/>
  <c r="V146" i="1"/>
  <c r="S146" i="1"/>
  <c r="R146" i="1"/>
  <c r="R145" i="1"/>
  <c r="V142" i="1"/>
  <c r="S142" i="1"/>
  <c r="R142" i="1"/>
  <c r="R141" i="1"/>
  <c r="R140" i="1"/>
  <c r="V138" i="1"/>
  <c r="S138" i="1"/>
  <c r="R138" i="1"/>
  <c r="Q138" i="1"/>
  <c r="R137" i="1"/>
  <c r="V134" i="1"/>
  <c r="S134" i="1"/>
  <c r="R134" i="1"/>
  <c r="Q134" i="1"/>
  <c r="R133" i="1"/>
  <c r="V132" i="1"/>
  <c r="V131" i="1"/>
  <c r="V130" i="1"/>
  <c r="S130" i="1"/>
  <c r="R130" i="1"/>
  <c r="Q130" i="1"/>
  <c r="R129" i="1"/>
  <c r="V126" i="1"/>
  <c r="S126" i="1"/>
  <c r="R126" i="1"/>
  <c r="Q126" i="1"/>
  <c r="R125" i="1"/>
  <c r="V122" i="1"/>
  <c r="S122" i="1"/>
  <c r="R122" i="1"/>
  <c r="Q122" i="1"/>
  <c r="R121" i="1"/>
  <c r="V118" i="1"/>
  <c r="S118" i="1"/>
  <c r="R118" i="1"/>
  <c r="Q118" i="1"/>
  <c r="R117" i="1"/>
  <c r="V114" i="1"/>
  <c r="S114" i="1"/>
  <c r="R114" i="1"/>
  <c r="Q114" i="1"/>
  <c r="R113" i="1"/>
  <c r="R111" i="1"/>
  <c r="V110" i="1"/>
  <c r="S110" i="1"/>
  <c r="R110" i="1"/>
  <c r="Q110" i="1"/>
  <c r="R109" i="1"/>
  <c r="V11" i="22"/>
  <c r="U11" i="22"/>
  <c r="T11" i="22"/>
  <c r="S11" i="22"/>
  <c r="R11" i="22"/>
  <c r="Q11" i="22"/>
  <c r="P11" i="22"/>
  <c r="O11" i="22"/>
  <c r="N11" i="22"/>
  <c r="M11" i="22"/>
  <c r="L11" i="22"/>
  <c r="K11" i="22"/>
  <c r="J11" i="22"/>
  <c r="I11" i="22"/>
  <c r="H11" i="22"/>
  <c r="G11" i="22"/>
  <c r="F11" i="22"/>
  <c r="E11" i="22"/>
  <c r="D11" i="22"/>
  <c r="C11" i="22"/>
  <c r="B11" i="22"/>
  <c r="W159" i="1"/>
  <c r="V159" i="1"/>
  <c r="U159" i="1"/>
  <c r="T159" i="1"/>
  <c r="S159" i="1"/>
  <c r="R159" i="1"/>
  <c r="Q159" i="1"/>
  <c r="W158" i="1"/>
  <c r="V158" i="1"/>
  <c r="U158" i="1"/>
  <c r="T158" i="1"/>
  <c r="S158" i="1"/>
  <c r="R158" i="1"/>
  <c r="Q158" i="1"/>
  <c r="W157" i="1"/>
  <c r="V157" i="1"/>
  <c r="U157" i="1"/>
  <c r="T157" i="1"/>
  <c r="S157" i="1"/>
  <c r="R157" i="1"/>
  <c r="Q157" i="1"/>
  <c r="W156" i="1"/>
  <c r="V156" i="1"/>
  <c r="U156" i="1"/>
  <c r="T156" i="1"/>
  <c r="S156" i="1"/>
  <c r="R156" i="1"/>
  <c r="Q156" i="1"/>
  <c r="O159" i="1"/>
  <c r="N159" i="1"/>
  <c r="M159" i="1"/>
  <c r="L159" i="1"/>
  <c r="K159" i="1"/>
  <c r="J159" i="1"/>
  <c r="O158" i="1"/>
  <c r="N158" i="1"/>
  <c r="M158" i="1"/>
  <c r="L158" i="1"/>
  <c r="K158" i="1"/>
  <c r="J158" i="1"/>
  <c r="O157" i="1"/>
  <c r="N157" i="1"/>
  <c r="M157" i="1"/>
  <c r="L157" i="1"/>
  <c r="K157" i="1"/>
  <c r="J157" i="1"/>
  <c r="O156" i="1"/>
  <c r="N156" i="1"/>
  <c r="M156" i="1"/>
  <c r="L156" i="1"/>
  <c r="K156" i="1"/>
  <c r="J156" i="1"/>
  <c r="F159" i="1"/>
  <c r="F158" i="1"/>
  <c r="F157" i="1"/>
  <c r="F156" i="1"/>
  <c r="V12" i="22"/>
  <c r="U12" i="22"/>
  <c r="T12" i="22"/>
  <c r="S12" i="22"/>
  <c r="R12" i="22"/>
  <c r="Q12" i="22"/>
  <c r="P12" i="22"/>
  <c r="O12" i="22"/>
  <c r="N12" i="22"/>
  <c r="M12" i="22"/>
  <c r="L12" i="22"/>
  <c r="K12" i="22"/>
  <c r="J12" i="22"/>
  <c r="I12" i="22"/>
  <c r="H12" i="22"/>
  <c r="G12" i="22"/>
  <c r="F12" i="22"/>
  <c r="E12" i="22"/>
  <c r="D12" i="22"/>
  <c r="C12" i="22"/>
  <c r="B12" i="22"/>
  <c r="W155" i="1"/>
  <c r="V155" i="1"/>
  <c r="U155" i="1"/>
  <c r="T155" i="1"/>
  <c r="S155" i="1"/>
  <c r="R155" i="1"/>
  <c r="Q155" i="1"/>
  <c r="W154" i="1"/>
  <c r="V154" i="1"/>
  <c r="U154" i="1"/>
  <c r="T154" i="1"/>
  <c r="S154" i="1"/>
  <c r="R154" i="1"/>
  <c r="Q154" i="1"/>
  <c r="W153" i="1"/>
  <c r="V153" i="1"/>
  <c r="U153" i="1"/>
  <c r="T153" i="1"/>
  <c r="S153" i="1"/>
  <c r="R153" i="1"/>
  <c r="Q153" i="1"/>
  <c r="W152" i="1"/>
  <c r="V152" i="1"/>
  <c r="U152" i="1"/>
  <c r="T152" i="1"/>
  <c r="S152" i="1"/>
  <c r="R152" i="1"/>
  <c r="Q152" i="1"/>
  <c r="Y155" i="1"/>
  <c r="X155" i="1"/>
  <c r="Y154" i="1"/>
  <c r="X154" i="1"/>
  <c r="Y153" i="1"/>
  <c r="X153" i="1"/>
  <c r="Y152" i="1"/>
  <c r="X152" i="1"/>
  <c r="O155" i="1"/>
  <c r="N155" i="1"/>
  <c r="M155" i="1"/>
  <c r="L155" i="1"/>
  <c r="K155" i="1"/>
  <c r="J155" i="1"/>
  <c r="O154" i="1"/>
  <c r="N154" i="1"/>
  <c r="M154" i="1"/>
  <c r="L154" i="1"/>
  <c r="K154" i="1"/>
  <c r="J154" i="1"/>
  <c r="O153" i="1"/>
  <c r="N153" i="1"/>
  <c r="M153" i="1"/>
  <c r="L153" i="1"/>
  <c r="K153" i="1"/>
  <c r="J153" i="1"/>
  <c r="O152" i="1"/>
  <c r="N152" i="1"/>
  <c r="M152" i="1"/>
  <c r="L152" i="1"/>
  <c r="K152" i="1"/>
  <c r="J152" i="1"/>
  <c r="F155" i="1"/>
  <c r="F154" i="1"/>
  <c r="F153" i="1"/>
  <c r="F152" i="1"/>
  <c r="S136" i="1" l="1"/>
  <c r="R148" i="1"/>
  <c r="Q116" i="1"/>
  <c r="S124" i="1"/>
  <c r="S108" i="1"/>
  <c r="R112" i="1"/>
  <c r="V120" i="1"/>
  <c r="R128" i="1"/>
  <c r="R144" i="1"/>
  <c r="Q112" i="1"/>
  <c r="V116" i="1"/>
  <c r="S120" i="1"/>
  <c r="R124" i="1"/>
  <c r="Q128" i="1"/>
  <c r="S132" i="1"/>
  <c r="R136" i="1"/>
  <c r="Q140" i="1"/>
  <c r="Q144" i="1"/>
  <c r="Q148" i="1"/>
  <c r="V124" i="1"/>
  <c r="Q132" i="1"/>
  <c r="V136" i="1"/>
  <c r="S140" i="1"/>
  <c r="S144" i="1"/>
  <c r="S148" i="1"/>
  <c r="U128" i="1"/>
  <c r="Q108" i="1"/>
  <c r="S112" i="1"/>
  <c r="R116" i="1"/>
  <c r="Q120" i="1"/>
  <c r="S128" i="1"/>
  <c r="R108" i="1"/>
  <c r="V112" i="1"/>
  <c r="S116" i="1"/>
  <c r="R120" i="1"/>
  <c r="Q124" i="1"/>
  <c r="R132" i="1"/>
  <c r="Q136" i="1"/>
  <c r="V140" i="1"/>
  <c r="L4" i="1"/>
  <c r="S63" i="1"/>
  <c r="R12" i="1"/>
  <c r="L20" i="1"/>
  <c r="Y48" i="1"/>
  <c r="V115" i="1"/>
  <c r="R127" i="1"/>
  <c r="V143" i="1"/>
  <c r="L16" i="1"/>
  <c r="K69" i="1"/>
  <c r="N75" i="1"/>
  <c r="X27" i="1"/>
  <c r="S31" i="1"/>
  <c r="Y5" i="1"/>
  <c r="Y37" i="1"/>
  <c r="R115" i="1"/>
  <c r="V119" i="1"/>
  <c r="R131" i="1"/>
  <c r="V135" i="1"/>
  <c r="R143" i="1"/>
  <c r="R151" i="1"/>
  <c r="U142" i="1"/>
  <c r="V111" i="1"/>
  <c r="R123" i="1"/>
  <c r="V127" i="1"/>
  <c r="R139" i="1"/>
  <c r="R147" i="1"/>
  <c r="R119" i="1"/>
  <c r="V123" i="1"/>
  <c r="R135" i="1"/>
  <c r="V139" i="1"/>
  <c r="V147" i="1"/>
  <c r="U108" i="1"/>
  <c r="R22" i="1"/>
  <c r="X22" i="1"/>
  <c r="S22" i="1"/>
  <c r="Y22" i="1"/>
  <c r="V22" i="1"/>
  <c r="Q22" i="1"/>
  <c r="R38" i="1"/>
  <c r="X38" i="1"/>
  <c r="S38" i="1"/>
  <c r="Y38" i="1"/>
  <c r="V38" i="1"/>
  <c r="Q38" i="1"/>
  <c r="R50" i="1"/>
  <c r="X50" i="1"/>
  <c r="S50" i="1"/>
  <c r="V50" i="1"/>
  <c r="Y50" i="1"/>
  <c r="R62" i="1"/>
  <c r="X62" i="1"/>
  <c r="N62" i="1"/>
  <c r="S62" i="1"/>
  <c r="Y62" i="1"/>
  <c r="V62" i="1"/>
  <c r="M62" i="1"/>
  <c r="Q62" i="1"/>
  <c r="L62" i="1"/>
  <c r="R74" i="1"/>
  <c r="X74" i="1"/>
  <c r="N74" i="1"/>
  <c r="S74" i="1"/>
  <c r="V74" i="1"/>
  <c r="K74" i="1"/>
  <c r="M74" i="1"/>
  <c r="Y74" i="1"/>
  <c r="L74" i="1"/>
  <c r="L6" i="1"/>
  <c r="L22" i="1"/>
  <c r="L26" i="1"/>
  <c r="Q4" i="1"/>
  <c r="X4" i="1"/>
  <c r="S4" i="1"/>
  <c r="V4" i="1"/>
  <c r="Y4" i="1"/>
  <c r="Q8" i="1"/>
  <c r="X8" i="1"/>
  <c r="S8" i="1"/>
  <c r="V8" i="1"/>
  <c r="Q12" i="1"/>
  <c r="X12" i="1"/>
  <c r="S12" i="1"/>
  <c r="V12" i="1"/>
  <c r="Y12" i="1"/>
  <c r="Q16" i="1"/>
  <c r="S16" i="1"/>
  <c r="V16" i="1"/>
  <c r="R20" i="1"/>
  <c r="S20" i="1"/>
  <c r="X20" i="1"/>
  <c r="Q20" i="1"/>
  <c r="Y20" i="1"/>
  <c r="R24" i="1"/>
  <c r="S24" i="1"/>
  <c r="X24" i="1"/>
  <c r="Q24" i="1"/>
  <c r="V24" i="1"/>
  <c r="R28" i="1"/>
  <c r="S28" i="1"/>
  <c r="X28" i="1"/>
  <c r="Q28" i="1"/>
  <c r="Y28" i="1"/>
  <c r="R32" i="1"/>
  <c r="S32" i="1"/>
  <c r="X32" i="1"/>
  <c r="Q32" i="1"/>
  <c r="V32" i="1"/>
  <c r="R36" i="1"/>
  <c r="S36" i="1"/>
  <c r="X36" i="1"/>
  <c r="Q36" i="1"/>
  <c r="Y36" i="1"/>
  <c r="R40" i="1"/>
  <c r="S40" i="1"/>
  <c r="X40" i="1"/>
  <c r="Q40" i="1"/>
  <c r="V40" i="1"/>
  <c r="R44" i="1"/>
  <c r="S44" i="1"/>
  <c r="Q44" i="1"/>
  <c r="Y44" i="1"/>
  <c r="R48" i="1"/>
  <c r="S48" i="1"/>
  <c r="X48" i="1"/>
  <c r="Q48" i="1"/>
  <c r="V48" i="1"/>
  <c r="R52" i="1"/>
  <c r="S52" i="1"/>
  <c r="X52" i="1"/>
  <c r="Q52" i="1"/>
  <c r="Y52" i="1"/>
  <c r="R56" i="1"/>
  <c r="S56" i="1"/>
  <c r="X56" i="1"/>
  <c r="Q56" i="1"/>
  <c r="V56" i="1"/>
  <c r="R60" i="1"/>
  <c r="S60" i="1"/>
  <c r="X60" i="1"/>
  <c r="N60" i="1"/>
  <c r="Q60" i="1"/>
  <c r="Y60" i="1"/>
  <c r="R64" i="1"/>
  <c r="S64" i="1"/>
  <c r="X64" i="1"/>
  <c r="N64" i="1"/>
  <c r="Q64" i="1"/>
  <c r="V64" i="1"/>
  <c r="R68" i="1"/>
  <c r="S68" i="1"/>
  <c r="X68" i="1"/>
  <c r="N68" i="1"/>
  <c r="M68" i="1"/>
  <c r="Q68" i="1"/>
  <c r="K68" i="1"/>
  <c r="Y68" i="1"/>
  <c r="R72" i="1"/>
  <c r="S72" i="1"/>
  <c r="X72" i="1"/>
  <c r="N72" i="1"/>
  <c r="Q72" i="1"/>
  <c r="M72" i="1"/>
  <c r="V72" i="1"/>
  <c r="R76" i="1"/>
  <c r="S76" i="1"/>
  <c r="X76" i="1"/>
  <c r="N76" i="1"/>
  <c r="Q76" i="1"/>
  <c r="R80" i="1"/>
  <c r="S80" i="1"/>
  <c r="X80" i="1"/>
  <c r="N80" i="1"/>
  <c r="Q80" i="1"/>
  <c r="M80" i="1"/>
  <c r="V80" i="1"/>
  <c r="L7" i="1"/>
  <c r="L11" i="1"/>
  <c r="L15" i="1"/>
  <c r="L19" i="1"/>
  <c r="L21" i="1"/>
  <c r="L23" i="1"/>
  <c r="L27" i="1"/>
  <c r="L31" i="1"/>
  <c r="L35" i="1"/>
  <c r="L38" i="1"/>
  <c r="L52" i="1"/>
  <c r="L60" i="1"/>
  <c r="L64" i="1"/>
  <c r="N67" i="1"/>
  <c r="L80" i="1"/>
  <c r="X11" i="1"/>
  <c r="Y32" i="1"/>
  <c r="X43" i="1"/>
  <c r="Y64" i="1"/>
  <c r="Y76" i="1"/>
  <c r="R8" i="1"/>
  <c r="R16" i="1"/>
  <c r="Q26" i="1"/>
  <c r="V36" i="1"/>
  <c r="Q58" i="1"/>
  <c r="V68" i="1"/>
  <c r="S79" i="1"/>
  <c r="Q10" i="1"/>
  <c r="X10" i="1"/>
  <c r="S10" i="1"/>
  <c r="V10" i="1"/>
  <c r="Y10" i="1"/>
  <c r="Q18" i="1"/>
  <c r="X18" i="1"/>
  <c r="S18" i="1"/>
  <c r="V18" i="1"/>
  <c r="Y18" i="1"/>
  <c r="R30" i="1"/>
  <c r="S30" i="1"/>
  <c r="Y30" i="1"/>
  <c r="V30" i="1"/>
  <c r="Q30" i="1"/>
  <c r="R42" i="1"/>
  <c r="X42" i="1"/>
  <c r="S42" i="1"/>
  <c r="V42" i="1"/>
  <c r="Y42" i="1"/>
  <c r="R54" i="1"/>
  <c r="X54" i="1"/>
  <c r="S54" i="1"/>
  <c r="Y54" i="1"/>
  <c r="V54" i="1"/>
  <c r="Q54" i="1"/>
  <c r="R66" i="1"/>
  <c r="X66" i="1"/>
  <c r="N66" i="1"/>
  <c r="S66" i="1"/>
  <c r="V66" i="1"/>
  <c r="Y66" i="1"/>
  <c r="L66" i="1"/>
  <c r="R78" i="1"/>
  <c r="X78" i="1"/>
  <c r="N78" i="1"/>
  <c r="S78" i="1"/>
  <c r="K78" i="1"/>
  <c r="V78" i="1"/>
  <c r="M78" i="1"/>
  <c r="Q78" i="1"/>
  <c r="Y78" i="1"/>
  <c r="L78" i="1"/>
  <c r="L10" i="1"/>
  <c r="L14" i="1"/>
  <c r="L30" i="1"/>
  <c r="L34" i="1"/>
  <c r="Q42" i="1"/>
  <c r="Q5" i="1"/>
  <c r="S5" i="1"/>
  <c r="V5" i="1"/>
  <c r="X5" i="1"/>
  <c r="R5" i="1"/>
  <c r="Q9" i="1"/>
  <c r="S9" i="1"/>
  <c r="X9" i="1"/>
  <c r="V9" i="1"/>
  <c r="R9" i="1"/>
  <c r="Y9" i="1"/>
  <c r="Q13" i="1"/>
  <c r="S13" i="1"/>
  <c r="V13" i="1"/>
  <c r="X13" i="1"/>
  <c r="R13" i="1"/>
  <c r="Q17" i="1"/>
  <c r="S17" i="1"/>
  <c r="V17" i="1"/>
  <c r="R17" i="1"/>
  <c r="Y17" i="1"/>
  <c r="R21" i="1"/>
  <c r="V21" i="1"/>
  <c r="Q21" i="1"/>
  <c r="S21" i="1"/>
  <c r="X21" i="1"/>
  <c r="R25" i="1"/>
  <c r="V25" i="1"/>
  <c r="Q25" i="1"/>
  <c r="X25" i="1"/>
  <c r="S25" i="1"/>
  <c r="Y25" i="1"/>
  <c r="R29" i="1"/>
  <c r="V29" i="1"/>
  <c r="Q29" i="1"/>
  <c r="S29" i="1"/>
  <c r="X29" i="1"/>
  <c r="R33" i="1"/>
  <c r="V33" i="1"/>
  <c r="Q33" i="1"/>
  <c r="X33" i="1"/>
  <c r="S33" i="1"/>
  <c r="Y33" i="1"/>
  <c r="R37" i="1"/>
  <c r="V37" i="1"/>
  <c r="L37" i="1"/>
  <c r="Q37" i="1"/>
  <c r="S37" i="1"/>
  <c r="X37" i="1"/>
  <c r="R41" i="1"/>
  <c r="V41" i="1"/>
  <c r="L41" i="1"/>
  <c r="Q41" i="1"/>
  <c r="X41" i="1"/>
  <c r="S41" i="1"/>
  <c r="Y41" i="1"/>
  <c r="R45" i="1"/>
  <c r="V45" i="1"/>
  <c r="L45" i="1"/>
  <c r="Q45" i="1"/>
  <c r="S45" i="1"/>
  <c r="R49" i="1"/>
  <c r="V49" i="1"/>
  <c r="L49" i="1"/>
  <c r="Q49" i="1"/>
  <c r="X49" i="1"/>
  <c r="S49" i="1"/>
  <c r="Y49" i="1"/>
  <c r="R53" i="1"/>
  <c r="V53" i="1"/>
  <c r="L53" i="1"/>
  <c r="Q53" i="1"/>
  <c r="S53" i="1"/>
  <c r="X53" i="1"/>
  <c r="R57" i="1"/>
  <c r="V57" i="1"/>
  <c r="L57" i="1"/>
  <c r="Q57" i="1"/>
  <c r="X57" i="1"/>
  <c r="S57" i="1"/>
  <c r="Y57" i="1"/>
  <c r="R61" i="1"/>
  <c r="V61" i="1"/>
  <c r="L61" i="1"/>
  <c r="Q61" i="1"/>
  <c r="S61" i="1"/>
  <c r="X61" i="1"/>
  <c r="R65" i="1"/>
  <c r="V65" i="1"/>
  <c r="L65" i="1"/>
  <c r="Q65" i="1"/>
  <c r="X65" i="1"/>
  <c r="S65" i="1"/>
  <c r="Y65" i="1"/>
  <c r="N65" i="1"/>
  <c r="R69" i="1"/>
  <c r="V69" i="1"/>
  <c r="L69" i="1"/>
  <c r="Q69" i="1"/>
  <c r="S69" i="1"/>
  <c r="M69" i="1"/>
  <c r="X69" i="1"/>
  <c r="N69" i="1"/>
  <c r="R73" i="1"/>
  <c r="V73" i="1"/>
  <c r="L73" i="1"/>
  <c r="Q73" i="1"/>
  <c r="X73" i="1"/>
  <c r="Y73" i="1"/>
  <c r="M73" i="1"/>
  <c r="S73" i="1"/>
  <c r="N73" i="1"/>
  <c r="R77" i="1"/>
  <c r="V77" i="1"/>
  <c r="L77" i="1"/>
  <c r="Q77" i="1"/>
  <c r="X77" i="1"/>
  <c r="S77" i="1"/>
  <c r="Y77" i="1"/>
  <c r="M77" i="1"/>
  <c r="N77" i="1"/>
  <c r="R81" i="1"/>
  <c r="V81" i="1"/>
  <c r="L81" i="1"/>
  <c r="Q81" i="1"/>
  <c r="X81" i="1"/>
  <c r="Y81" i="1"/>
  <c r="M81" i="1"/>
  <c r="S81" i="1"/>
  <c r="N81" i="1"/>
  <c r="L50" i="1"/>
  <c r="K73" i="1"/>
  <c r="L76" i="1"/>
  <c r="Y13" i="1"/>
  <c r="Y24" i="1"/>
  <c r="Y45" i="1"/>
  <c r="Y56" i="1"/>
  <c r="Y80" i="1"/>
  <c r="R10" i="1"/>
  <c r="R18" i="1"/>
  <c r="V28" i="1"/>
  <c r="Q50" i="1"/>
  <c r="V60" i="1"/>
  <c r="Q6" i="1"/>
  <c r="X6" i="1"/>
  <c r="S6" i="1"/>
  <c r="V6" i="1"/>
  <c r="Y6" i="1"/>
  <c r="Q14" i="1"/>
  <c r="X14" i="1"/>
  <c r="S14" i="1"/>
  <c r="V14" i="1"/>
  <c r="Y14" i="1"/>
  <c r="R26" i="1"/>
  <c r="X26" i="1"/>
  <c r="S26" i="1"/>
  <c r="V26" i="1"/>
  <c r="Y26" i="1"/>
  <c r="R34" i="1"/>
  <c r="X34" i="1"/>
  <c r="S34" i="1"/>
  <c r="V34" i="1"/>
  <c r="Y34" i="1"/>
  <c r="R46" i="1"/>
  <c r="X46" i="1"/>
  <c r="S46" i="1"/>
  <c r="Y46" i="1"/>
  <c r="V46" i="1"/>
  <c r="Q46" i="1"/>
  <c r="R58" i="1"/>
  <c r="S58" i="1"/>
  <c r="V58" i="1"/>
  <c r="Y58" i="1"/>
  <c r="R70" i="1"/>
  <c r="X70" i="1"/>
  <c r="N70" i="1"/>
  <c r="S70" i="1"/>
  <c r="Y70" i="1"/>
  <c r="V70" i="1"/>
  <c r="Q70" i="1"/>
  <c r="L70" i="1"/>
  <c r="R82" i="1"/>
  <c r="X82" i="1"/>
  <c r="N82" i="1"/>
  <c r="S82" i="1"/>
  <c r="V82" i="1"/>
  <c r="M82" i="1"/>
  <c r="Y82" i="1"/>
  <c r="L82" i="1"/>
  <c r="L18" i="1"/>
  <c r="Q74" i="1"/>
  <c r="Q7" i="1"/>
  <c r="S7" i="1"/>
  <c r="V7" i="1"/>
  <c r="Y7" i="1"/>
  <c r="R7" i="1"/>
  <c r="X7" i="1"/>
  <c r="Q11" i="1"/>
  <c r="S11" i="1"/>
  <c r="Y11" i="1"/>
  <c r="V11" i="1"/>
  <c r="R11" i="1"/>
  <c r="Q15" i="1"/>
  <c r="S15" i="1"/>
  <c r="V15" i="1"/>
  <c r="Y15" i="1"/>
  <c r="R15" i="1"/>
  <c r="X15" i="1"/>
  <c r="R19" i="1"/>
  <c r="Q19" i="1"/>
  <c r="V19" i="1"/>
  <c r="Y19" i="1"/>
  <c r="S19" i="1"/>
  <c r="R23" i="1"/>
  <c r="Q23" i="1"/>
  <c r="V23" i="1"/>
  <c r="Y23" i="1"/>
  <c r="X23" i="1"/>
  <c r="R27" i="1"/>
  <c r="Q27" i="1"/>
  <c r="V27" i="1"/>
  <c r="Y27" i="1"/>
  <c r="S27" i="1"/>
  <c r="R31" i="1"/>
  <c r="Q31" i="1"/>
  <c r="V31" i="1"/>
  <c r="Y31" i="1"/>
  <c r="R35" i="1"/>
  <c r="Q35" i="1"/>
  <c r="V35" i="1"/>
  <c r="Y35" i="1"/>
  <c r="S35" i="1"/>
  <c r="R39" i="1"/>
  <c r="Q39" i="1"/>
  <c r="L39" i="1"/>
  <c r="V39" i="1"/>
  <c r="Y39" i="1"/>
  <c r="X39" i="1"/>
  <c r="R43" i="1"/>
  <c r="Q43" i="1"/>
  <c r="L43" i="1"/>
  <c r="V43" i="1"/>
  <c r="Y43" i="1"/>
  <c r="S43" i="1"/>
  <c r="R47" i="1"/>
  <c r="Q47" i="1"/>
  <c r="L47" i="1"/>
  <c r="V47" i="1"/>
  <c r="Y47" i="1"/>
  <c r="X47" i="1"/>
  <c r="R51" i="1"/>
  <c r="Q51" i="1"/>
  <c r="L51" i="1"/>
  <c r="V51" i="1"/>
  <c r="Y51" i="1"/>
  <c r="S51" i="1"/>
  <c r="R55" i="1"/>
  <c r="Q55" i="1"/>
  <c r="L55" i="1"/>
  <c r="V55" i="1"/>
  <c r="Y55" i="1"/>
  <c r="X55" i="1"/>
  <c r="R59" i="1"/>
  <c r="Q59" i="1"/>
  <c r="L59" i="1"/>
  <c r="V59" i="1"/>
  <c r="Y59" i="1"/>
  <c r="S59" i="1"/>
  <c r="R63" i="1"/>
  <c r="Q63" i="1"/>
  <c r="L63" i="1"/>
  <c r="V63" i="1"/>
  <c r="Y63" i="1"/>
  <c r="X63" i="1"/>
  <c r="R67" i="1"/>
  <c r="Q67" i="1"/>
  <c r="L67" i="1"/>
  <c r="V67" i="1"/>
  <c r="Y67" i="1"/>
  <c r="M67" i="1"/>
  <c r="S67" i="1"/>
  <c r="R71" i="1"/>
  <c r="Q71" i="1"/>
  <c r="L71" i="1"/>
  <c r="V71" i="1"/>
  <c r="Y71" i="1"/>
  <c r="X71" i="1"/>
  <c r="R75" i="1"/>
  <c r="Q75" i="1"/>
  <c r="L75" i="1"/>
  <c r="V75" i="1"/>
  <c r="X75" i="1"/>
  <c r="Y75" i="1"/>
  <c r="S75" i="1"/>
  <c r="R79" i="1"/>
  <c r="Q79" i="1"/>
  <c r="L79" i="1"/>
  <c r="V79" i="1"/>
  <c r="X79" i="1"/>
  <c r="Y79" i="1"/>
  <c r="M79" i="1"/>
  <c r="K79" i="1"/>
  <c r="R83" i="1"/>
  <c r="Q83" i="1"/>
  <c r="L83" i="1"/>
  <c r="V83" i="1"/>
  <c r="X83" i="1"/>
  <c r="Y83" i="1"/>
  <c r="M83" i="1"/>
  <c r="S83" i="1"/>
  <c r="L46" i="1"/>
  <c r="L54" i="1"/>
  <c r="L68" i="1"/>
  <c r="N71" i="1"/>
  <c r="Y8" i="1"/>
  <c r="X19" i="1"/>
  <c r="Y29" i="1"/>
  <c r="Y40" i="1"/>
  <c r="X51" i="1"/>
  <c r="Y61" i="1"/>
  <c r="Y72" i="1"/>
  <c r="R6" i="1"/>
  <c r="R14" i="1"/>
  <c r="S23" i="1"/>
  <c r="Q34" i="1"/>
  <c r="V44" i="1"/>
  <c r="S55" i="1"/>
  <c r="Q66" i="1"/>
  <c r="V76" i="1"/>
  <c r="V109" i="1"/>
  <c r="V113" i="1"/>
  <c r="V117" i="1"/>
  <c r="V121" i="1"/>
  <c r="V125" i="1"/>
  <c r="V129" i="1"/>
  <c r="V133" i="1"/>
  <c r="V137" i="1"/>
  <c r="V141" i="1"/>
  <c r="V145" i="1"/>
  <c r="V149" i="1"/>
  <c r="Q109" i="1"/>
  <c r="Q111" i="1"/>
  <c r="Q113" i="1"/>
  <c r="Q115" i="1"/>
  <c r="Q117" i="1"/>
  <c r="Q119" i="1"/>
  <c r="Q121" i="1"/>
  <c r="Q123" i="1"/>
  <c r="Q125" i="1"/>
  <c r="Q127" i="1"/>
  <c r="Q129" i="1"/>
  <c r="Q131" i="1"/>
  <c r="Q133" i="1"/>
  <c r="Q135" i="1"/>
  <c r="Q137" i="1"/>
  <c r="Q139" i="1"/>
  <c r="Q141" i="1"/>
  <c r="Q143" i="1"/>
  <c r="Q145" i="1"/>
  <c r="Q147" i="1"/>
  <c r="Q149" i="1"/>
  <c r="Q151" i="1"/>
  <c r="U109" i="1"/>
  <c r="U113" i="1"/>
  <c r="U117" i="1"/>
  <c r="U121" i="1"/>
  <c r="U125" i="1"/>
  <c r="U129" i="1"/>
  <c r="U133" i="1"/>
  <c r="U137" i="1"/>
  <c r="U141" i="1"/>
  <c r="S111" i="1"/>
  <c r="S115" i="1"/>
  <c r="S119" i="1"/>
  <c r="S123" i="1"/>
  <c r="S127" i="1"/>
  <c r="S131" i="1"/>
  <c r="S135" i="1"/>
  <c r="S139" i="1"/>
  <c r="S143" i="1"/>
  <c r="W23" i="5" l="1"/>
  <c r="V23" i="5"/>
  <c r="U23" i="5"/>
  <c r="T23" i="5"/>
  <c r="S23" i="5"/>
  <c r="R23" i="5"/>
  <c r="Q23" i="5"/>
  <c r="P23" i="5"/>
  <c r="O23" i="5"/>
  <c r="N23" i="5"/>
  <c r="M23" i="5"/>
  <c r="L23" i="5"/>
  <c r="K23" i="5"/>
  <c r="J23" i="5"/>
  <c r="I23" i="5"/>
  <c r="H23" i="5"/>
  <c r="G23" i="5"/>
  <c r="F23" i="5"/>
  <c r="E23" i="5"/>
  <c r="D23" i="5"/>
  <c r="D43" i="5" l="1"/>
  <c r="N26" i="19" l="1"/>
  <c r="N28" i="19" s="1"/>
  <c r="B50" i="22" l="1"/>
  <c r="B49" i="22"/>
  <c r="B55" i="22"/>
  <c r="C55" i="22" l="1"/>
  <c r="D55" i="22" s="1"/>
  <c r="E55" i="22" s="1"/>
  <c r="F55" i="22" s="1"/>
  <c r="G55" i="22" s="1"/>
  <c r="H55" i="22" s="1"/>
  <c r="I55" i="22" s="1"/>
  <c r="J55" i="22" s="1"/>
  <c r="K55" i="22" s="1"/>
  <c r="L55" i="22" s="1"/>
  <c r="M55" i="22" s="1"/>
  <c r="N55" i="22" s="1"/>
  <c r="O55" i="22" s="1"/>
  <c r="P55" i="22" s="1"/>
  <c r="Q55" i="22" s="1"/>
  <c r="R55" i="22" s="1"/>
  <c r="S55" i="22" s="1"/>
  <c r="T55" i="22" s="1"/>
  <c r="U55" i="22" s="1"/>
  <c r="W11" i="22"/>
  <c r="X11" i="22" s="1"/>
  <c r="A76" i="1" l="1"/>
  <c r="A77" i="1"/>
  <c r="A78" i="1"/>
  <c r="A79" i="1"/>
  <c r="B20" i="15"/>
  <c r="A20" i="17"/>
  <c r="A20" i="16"/>
  <c r="D41" i="5" l="1"/>
  <c r="A4" i="4" l="1"/>
  <c r="A5" i="4"/>
  <c r="A6" i="4"/>
  <c r="A7" i="4"/>
  <c r="A8" i="4"/>
  <c r="A9" i="4"/>
  <c r="A10" i="4"/>
  <c r="A11" i="4"/>
  <c r="A12" i="4"/>
  <c r="A13" i="4"/>
  <c r="A14" i="4"/>
  <c r="A15" i="4"/>
  <c r="A16" i="4"/>
  <c r="A17" i="4"/>
  <c r="A18" i="4"/>
  <c r="A19" i="4"/>
  <c r="A20" i="4"/>
  <c r="A21" i="4"/>
  <c r="A22" i="4"/>
  <c r="A23" i="4"/>
  <c r="A24" i="4"/>
  <c r="A25" i="4"/>
  <c r="A26" i="4"/>
  <c r="A27" i="4"/>
  <c r="A28" i="4"/>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C23" i="15"/>
  <c r="A31" i="17" l="1"/>
  <c r="A32" i="17"/>
  <c r="A35" i="17"/>
  <c r="A36" i="17"/>
  <c r="A37" i="17"/>
  <c r="A38" i="17"/>
  <c r="A39" i="17"/>
  <c r="A40" i="17"/>
  <c r="A41" i="17"/>
  <c r="A42" i="17"/>
  <c r="A45" i="17"/>
  <c r="A46" i="17"/>
  <c r="A47" i="17"/>
  <c r="A49" i="17"/>
  <c r="A31" i="16"/>
  <c r="A32" i="16"/>
  <c r="A35" i="16"/>
  <c r="A36" i="16"/>
  <c r="A37" i="16"/>
  <c r="A38" i="16"/>
  <c r="A39" i="16"/>
  <c r="A40" i="16"/>
  <c r="A41" i="16"/>
  <c r="A42" i="16"/>
  <c r="A45" i="16"/>
  <c r="A46" i="16"/>
  <c r="A47" i="16"/>
  <c r="A49" i="16"/>
  <c r="C17" i="16"/>
  <c r="B46" i="15" l="1"/>
  <c r="C46" i="15"/>
  <c r="D46" i="15"/>
  <c r="E46" i="15"/>
  <c r="F46" i="15"/>
  <c r="D17" i="5" l="1"/>
  <c r="G18" i="15" l="1"/>
  <c r="G19" i="15"/>
  <c r="G16" i="15"/>
  <c r="F19" i="16"/>
  <c r="E19" i="16"/>
  <c r="D19" i="16"/>
  <c r="F18" i="16"/>
  <c r="E18" i="16"/>
  <c r="D18" i="16"/>
  <c r="C19" i="16"/>
  <c r="C18" i="16"/>
  <c r="D46" i="5" l="1"/>
  <c r="D45" i="5"/>
  <c r="D44" i="5"/>
  <c r="D42" i="5"/>
  <c r="D40" i="5"/>
  <c r="D39" i="5"/>
  <c r="D38" i="5"/>
  <c r="D37" i="5"/>
  <c r="D36" i="5"/>
  <c r="D35" i="5"/>
  <c r="D34" i="5"/>
  <c r="D33" i="5"/>
  <c r="D32" i="5"/>
  <c r="D31" i="5"/>
  <c r="D30" i="5"/>
  <c r="D29" i="5"/>
  <c r="D28" i="5"/>
  <c r="D27" i="5"/>
  <c r="D25" i="5" l="1"/>
  <c r="C49" i="15"/>
  <c r="D49" i="15"/>
  <c r="E49" i="15"/>
  <c r="F49" i="15"/>
  <c r="C22" i="16" l="1"/>
  <c r="C21" i="16"/>
  <c r="C13" i="15" l="1"/>
  <c r="E13" i="15"/>
  <c r="F13" i="15"/>
  <c r="C14" i="15"/>
  <c r="E14" i="15"/>
  <c r="F14" i="15"/>
  <c r="C15" i="15"/>
  <c r="E15" i="15"/>
  <c r="F15" i="15"/>
  <c r="C16" i="15"/>
  <c r="E16" i="15"/>
  <c r="F16" i="15"/>
  <c r="C17" i="15"/>
  <c r="E17" i="15"/>
  <c r="F17" i="15"/>
  <c r="C18" i="15"/>
  <c r="E18" i="15"/>
  <c r="F18" i="15"/>
  <c r="C19" i="15"/>
  <c r="E19" i="15"/>
  <c r="F19" i="15"/>
  <c r="C21" i="15"/>
  <c r="D21" i="15"/>
  <c r="E21" i="15"/>
  <c r="F21" i="15"/>
  <c r="C22" i="15"/>
  <c r="D22" i="15"/>
  <c r="E22" i="15"/>
  <c r="F22" i="15"/>
  <c r="D23" i="15"/>
  <c r="E23" i="15"/>
  <c r="F23" i="15"/>
  <c r="B5" i="15"/>
  <c r="B6" i="15"/>
  <c r="B7" i="15"/>
  <c r="B8" i="15"/>
  <c r="B9" i="15"/>
  <c r="B10" i="15"/>
  <c r="B11" i="15"/>
  <c r="B12" i="15"/>
  <c r="B13" i="15"/>
  <c r="B14" i="15"/>
  <c r="B15" i="15"/>
  <c r="B16" i="15"/>
  <c r="B17" i="15"/>
  <c r="B18" i="15"/>
  <c r="B19" i="15"/>
  <c r="B21" i="15"/>
  <c r="B22" i="15"/>
  <c r="B23" i="15"/>
  <c r="B56" i="22" l="1"/>
  <c r="R18" i="19"/>
  <c r="R20" i="19" s="1"/>
  <c r="D24" i="5" l="1"/>
  <c r="C32" i="16"/>
  <c r="F42" i="15" l="1"/>
  <c r="E42" i="15"/>
  <c r="D42" i="15"/>
  <c r="C42" i="15"/>
  <c r="F41" i="15"/>
  <c r="E41" i="15"/>
  <c r="D41" i="15"/>
  <c r="C41" i="15"/>
  <c r="F40" i="15"/>
  <c r="E40" i="15"/>
  <c r="D40" i="15"/>
  <c r="C40" i="15"/>
  <c r="F39" i="15"/>
  <c r="E39" i="15"/>
  <c r="D39" i="15"/>
  <c r="C39" i="15"/>
  <c r="F38" i="15"/>
  <c r="E38" i="15"/>
  <c r="D38" i="15"/>
  <c r="C38" i="15"/>
  <c r="F37" i="15"/>
  <c r="E37" i="15"/>
  <c r="D37" i="15"/>
  <c r="C37" i="15"/>
  <c r="F36" i="15"/>
  <c r="E36" i="15"/>
  <c r="D36" i="15"/>
  <c r="C36" i="15"/>
  <c r="F35" i="15"/>
  <c r="E35" i="15"/>
  <c r="D35" i="15"/>
  <c r="C35" i="15"/>
  <c r="F33" i="15"/>
  <c r="E33" i="15"/>
  <c r="D33" i="15"/>
  <c r="C33" i="15"/>
  <c r="C32" i="15"/>
  <c r="C31" i="15"/>
  <c r="F30" i="15"/>
  <c r="E30" i="15"/>
  <c r="D30" i="15"/>
  <c r="C30" i="15"/>
  <c r="F29" i="15"/>
  <c r="E29" i="15"/>
  <c r="D29" i="15"/>
  <c r="C29" i="15"/>
  <c r="F27" i="15"/>
  <c r="E27" i="15"/>
  <c r="D27" i="15"/>
  <c r="C27" i="15"/>
  <c r="F25" i="15"/>
  <c r="E25" i="15"/>
  <c r="D25" i="15"/>
  <c r="C25" i="15"/>
  <c r="F12" i="15"/>
  <c r="E12" i="15"/>
  <c r="D12" i="15"/>
  <c r="C12" i="15"/>
  <c r="F11" i="15"/>
  <c r="E11" i="15"/>
  <c r="D11" i="15"/>
  <c r="C11" i="15"/>
  <c r="F10" i="15"/>
  <c r="E10" i="15"/>
  <c r="D10" i="15"/>
  <c r="C10" i="15"/>
  <c r="F9" i="15"/>
  <c r="E9" i="15"/>
  <c r="D9" i="15"/>
  <c r="C9" i="15"/>
  <c r="F8" i="15"/>
  <c r="E8" i="15"/>
  <c r="D8" i="15"/>
  <c r="C8" i="15"/>
  <c r="F7" i="15"/>
  <c r="E7" i="15"/>
  <c r="D7" i="15"/>
  <c r="C7" i="15"/>
  <c r="F6" i="15"/>
  <c r="E6" i="15"/>
  <c r="D6" i="15"/>
  <c r="C6" i="15"/>
  <c r="C4" i="15"/>
  <c r="E4" i="15"/>
  <c r="F4" i="15"/>
  <c r="B25" i="15"/>
  <c r="B26" i="15"/>
  <c r="B27" i="15"/>
  <c r="B28" i="15"/>
  <c r="B29" i="15"/>
  <c r="B30" i="15"/>
  <c r="B31" i="15"/>
  <c r="B32" i="15"/>
  <c r="B33" i="15"/>
  <c r="B34" i="15"/>
  <c r="B35" i="15"/>
  <c r="B36" i="15"/>
  <c r="B37" i="15"/>
  <c r="B38" i="15"/>
  <c r="B48" i="15"/>
  <c r="B47" i="15"/>
  <c r="C48" i="15"/>
  <c r="D32" i="16"/>
  <c r="D32" i="15" s="1"/>
  <c r="D31" i="16"/>
  <c r="D31" i="15" s="1"/>
  <c r="E31" i="16"/>
  <c r="E31" i="15" s="1"/>
  <c r="F31" i="16"/>
  <c r="F31" i="15" s="1"/>
  <c r="C28" i="17"/>
  <c r="D28" i="17" s="1"/>
  <c r="D34" i="17" s="1"/>
  <c r="D34" i="15" s="1"/>
  <c r="C26" i="17"/>
  <c r="C26" i="15" s="1"/>
  <c r="D26" i="17"/>
  <c r="D26" i="15" s="1"/>
  <c r="E26" i="17"/>
  <c r="E26" i="15" s="1"/>
  <c r="F26" i="17"/>
  <c r="F26" i="15" s="1"/>
  <c r="C34" i="17" l="1"/>
  <c r="C34" i="15" s="1"/>
  <c r="C28" i="15"/>
  <c r="D28" i="15"/>
  <c r="F32" i="16"/>
  <c r="F32" i="15" s="1"/>
  <c r="E32" i="16"/>
  <c r="E32" i="15" s="1"/>
  <c r="F28" i="17"/>
  <c r="E28" i="17"/>
  <c r="E28" i="15" l="1"/>
  <c r="E34" i="17"/>
  <c r="E34" i="15" s="1"/>
  <c r="F34" i="17"/>
  <c r="F34" i="15" s="1"/>
  <c r="F28" i="15"/>
  <c r="B39" i="19" l="1"/>
  <c r="B38" i="19" s="1"/>
  <c r="F26" i="19"/>
  <c r="F28" i="19" s="1"/>
  <c r="B46" i="19" s="1"/>
  <c r="B26" i="19"/>
  <c r="B28" i="19" s="1"/>
  <c r="B34" i="19" s="1"/>
  <c r="B35" i="19" s="1"/>
  <c r="J25" i="19"/>
  <c r="J27" i="19" s="1"/>
  <c r="B43" i="19" l="1"/>
  <c r="B42" i="19" s="1"/>
  <c r="C47" i="16"/>
  <c r="C47" i="15" s="1"/>
  <c r="D47" i="16"/>
  <c r="D47" i="15" s="1"/>
  <c r="E47" i="16"/>
  <c r="E47" i="15" s="1"/>
  <c r="F47" i="16"/>
  <c r="F47" i="15" s="1"/>
  <c r="D22" i="5" l="1"/>
  <c r="B42" i="15" l="1"/>
  <c r="B41" i="15"/>
  <c r="B40" i="15"/>
  <c r="B39" i="15"/>
  <c r="B45" i="15"/>
  <c r="D4" i="15"/>
  <c r="B4" i="15"/>
  <c r="F2" i="16"/>
  <c r="E2" i="16"/>
  <c r="D2" i="16"/>
  <c r="C2" i="16"/>
  <c r="B2" i="16"/>
  <c r="D1" i="16" l="1"/>
  <c r="D48" i="17" l="1"/>
  <c r="E48" i="17" l="1"/>
  <c r="D48" i="15"/>
  <c r="E16" i="5"/>
  <c r="E43" i="5" s="1"/>
  <c r="E17" i="5" l="1"/>
  <c r="E41" i="5"/>
  <c r="E46" i="5"/>
  <c r="E44" i="5"/>
  <c r="E40" i="5"/>
  <c r="E39" i="5"/>
  <c r="E36" i="5"/>
  <c r="E32" i="5"/>
  <c r="E33" i="5"/>
  <c r="E45" i="5"/>
  <c r="E42" i="5"/>
  <c r="E31" i="5"/>
  <c r="E37" i="5"/>
  <c r="E38" i="5"/>
  <c r="E34" i="5"/>
  <c r="E35" i="5"/>
  <c r="E30" i="5"/>
  <c r="E28" i="5"/>
  <c r="E27" i="5"/>
  <c r="E29" i="5"/>
  <c r="F16" i="5"/>
  <c r="F43" i="5" s="1"/>
  <c r="E25" i="5"/>
  <c r="E24" i="5"/>
  <c r="E22" i="5"/>
  <c r="F48" i="17"/>
  <c r="F48" i="15" s="1"/>
  <c r="E48" i="15"/>
  <c r="F17" i="5" l="1"/>
  <c r="F41" i="5"/>
  <c r="G16" i="5"/>
  <c r="G34" i="5"/>
  <c r="F46" i="5"/>
  <c r="F45" i="5"/>
  <c r="F44" i="5"/>
  <c r="F42" i="5"/>
  <c r="F40" i="5"/>
  <c r="F39" i="5"/>
  <c r="F38" i="5"/>
  <c r="F37" i="5"/>
  <c r="F33" i="5"/>
  <c r="F35" i="5"/>
  <c r="F31" i="5"/>
  <c r="F30" i="5"/>
  <c r="F29" i="5"/>
  <c r="F28" i="5"/>
  <c r="F27" i="5"/>
  <c r="F36" i="5"/>
  <c r="F34" i="5"/>
  <c r="F32" i="5"/>
  <c r="G25" i="5"/>
  <c r="F25" i="5"/>
  <c r="F24" i="5"/>
  <c r="F22" i="5"/>
  <c r="G42" i="5" l="1"/>
  <c r="G43" i="5"/>
  <c r="G27" i="5"/>
  <c r="G17" i="5"/>
  <c r="G35" i="5"/>
  <c r="G39" i="5"/>
  <c r="G30" i="5"/>
  <c r="H16" i="5"/>
  <c r="H27" i="5" s="1"/>
  <c r="G41" i="5"/>
  <c r="G22" i="5"/>
  <c r="G31" i="5"/>
  <c r="G36" i="5"/>
  <c r="G45" i="5"/>
  <c r="G24" i="5"/>
  <c r="G28" i="5"/>
  <c r="G32" i="5"/>
  <c r="G38" i="5"/>
  <c r="G46" i="5"/>
  <c r="H29" i="5"/>
  <c r="G29" i="5"/>
  <c r="G33" i="5"/>
  <c r="G37" i="5"/>
  <c r="G40" i="5"/>
  <c r="G44" i="5"/>
  <c r="H36" i="5"/>
  <c r="H24" i="5" l="1"/>
  <c r="H41" i="5"/>
  <c r="H43" i="5"/>
  <c r="H33" i="5"/>
  <c r="H45" i="5"/>
  <c r="H25" i="5"/>
  <c r="H44" i="5"/>
  <c r="H31" i="5"/>
  <c r="H22" i="5"/>
  <c r="H38" i="5"/>
  <c r="H42" i="5"/>
  <c r="H46" i="5"/>
  <c r="H28" i="5"/>
  <c r="H34" i="5"/>
  <c r="H37" i="5"/>
  <c r="H35" i="5"/>
  <c r="I16" i="5"/>
  <c r="I43" i="5" s="1"/>
  <c r="I22" i="5"/>
  <c r="I33" i="5"/>
  <c r="I31" i="5"/>
  <c r="I24" i="5"/>
  <c r="I37" i="5"/>
  <c r="I35" i="5"/>
  <c r="I29" i="5"/>
  <c r="I40" i="5"/>
  <c r="H39" i="5"/>
  <c r="H32" i="5"/>
  <c r="H40" i="5"/>
  <c r="H30" i="5"/>
  <c r="H17" i="5"/>
  <c r="I17" i="5"/>
  <c r="I41" i="5"/>
  <c r="I30" i="5"/>
  <c r="I32" i="5"/>
  <c r="I38" i="5"/>
  <c r="I25" i="5"/>
  <c r="I39" i="5"/>
  <c r="J16" i="5"/>
  <c r="I27" i="5"/>
  <c r="I34" i="5"/>
  <c r="I46" i="5"/>
  <c r="I36" i="5"/>
  <c r="I42" i="5"/>
  <c r="J46" i="5" l="1"/>
  <c r="J43" i="5"/>
  <c r="J34" i="5"/>
  <c r="J38" i="5"/>
  <c r="I45" i="5"/>
  <c r="I44" i="5"/>
  <c r="I28" i="5"/>
  <c r="J25" i="5"/>
  <c r="J44" i="5"/>
  <c r="J37" i="5"/>
  <c r="K16" i="5"/>
  <c r="J35" i="5"/>
  <c r="J39" i="5"/>
  <c r="J45" i="5"/>
  <c r="J29" i="5"/>
  <c r="J32" i="5"/>
  <c r="J40" i="5"/>
  <c r="J17" i="5"/>
  <c r="J41" i="5"/>
  <c r="J31" i="5"/>
  <c r="J33" i="5"/>
  <c r="J22" i="5"/>
  <c r="J27" i="5"/>
  <c r="J24" i="5"/>
  <c r="J30" i="5"/>
  <c r="J28" i="5"/>
  <c r="J36" i="5"/>
  <c r="J42" i="5"/>
  <c r="K44" i="5"/>
  <c r="K38" i="5"/>
  <c r="K34" i="5"/>
  <c r="K29" i="5"/>
  <c r="K25" i="5"/>
  <c r="K42" i="5" l="1"/>
  <c r="K43" i="5"/>
  <c r="W10" i="22"/>
  <c r="X10" i="22" s="1"/>
  <c r="B54" i="22"/>
  <c r="C54" i="22" s="1"/>
  <c r="D54" i="22" s="1"/>
  <c r="E54" i="22" s="1"/>
  <c r="F54" i="22" s="1"/>
  <c r="G54" i="22" s="1"/>
  <c r="H54" i="22" s="1"/>
  <c r="I54" i="22" s="1"/>
  <c r="J54" i="22" s="1"/>
  <c r="K54" i="22" s="1"/>
  <c r="L54" i="22" s="1"/>
  <c r="M54" i="22" s="1"/>
  <c r="N54" i="22" s="1"/>
  <c r="O54" i="22" s="1"/>
  <c r="P54" i="22" s="1"/>
  <c r="Q54" i="22" s="1"/>
  <c r="R54" i="22" s="1"/>
  <c r="S54" i="22" s="1"/>
  <c r="T54" i="22" s="1"/>
  <c r="U54" i="22" s="1"/>
  <c r="K27" i="5"/>
  <c r="K39" i="5"/>
  <c r="L16" i="5"/>
  <c r="L43" i="5" s="1"/>
  <c r="K35" i="5"/>
  <c r="K45" i="5"/>
  <c r="K32" i="5"/>
  <c r="K31" i="5"/>
  <c r="K22" i="5"/>
  <c r="K30" i="5"/>
  <c r="K36" i="5"/>
  <c r="K40" i="5"/>
  <c r="K46" i="5"/>
  <c r="K24" i="5"/>
  <c r="K28" i="5"/>
  <c r="K33" i="5"/>
  <c r="K37" i="5"/>
  <c r="K17" i="5"/>
  <c r="K41" i="5"/>
  <c r="L34" i="5"/>
  <c r="L35" i="5"/>
  <c r="L40" i="5"/>
  <c r="L39" i="5"/>
  <c r="M16" i="5" l="1"/>
  <c r="M43" i="5" s="1"/>
  <c r="L27" i="5"/>
  <c r="L41" i="5"/>
  <c r="L24" i="5"/>
  <c r="L32" i="5"/>
  <c r="L29" i="5"/>
  <c r="L22" i="5"/>
  <c r="L28" i="5"/>
  <c r="L17" i="5"/>
  <c r="L36" i="5"/>
  <c r="L30" i="5"/>
  <c r="L46" i="5"/>
  <c r="L44" i="5"/>
  <c r="L25" i="5"/>
  <c r="L38" i="5"/>
  <c r="L45" i="5"/>
  <c r="L33" i="5"/>
  <c r="L42" i="5"/>
  <c r="L31" i="5"/>
  <c r="L37" i="5"/>
  <c r="C56" i="22"/>
  <c r="M41" i="5"/>
  <c r="M46" i="5"/>
  <c r="M37" i="5"/>
  <c r="M31" i="5"/>
  <c r="M27" i="5"/>
  <c r="M28" i="5"/>
  <c r="M17" i="5" l="1"/>
  <c r="M29" i="5"/>
  <c r="M38" i="5"/>
  <c r="M33" i="5"/>
  <c r="M32" i="5"/>
  <c r="M34" i="5"/>
  <c r="M24" i="5"/>
  <c r="M25" i="5"/>
  <c r="M42" i="5"/>
  <c r="M40" i="5"/>
  <c r="N16" i="5"/>
  <c r="N43" i="5" s="1"/>
  <c r="M35" i="5"/>
  <c r="M22" i="5"/>
  <c r="M36" i="5"/>
  <c r="M39" i="5"/>
  <c r="M30" i="5"/>
  <c r="M45" i="5"/>
  <c r="M44" i="5"/>
  <c r="D56" i="22"/>
  <c r="N17" i="5"/>
  <c r="N41" i="5"/>
  <c r="N46" i="5"/>
  <c r="N45" i="5"/>
  <c r="N44" i="5"/>
  <c r="N42" i="5"/>
  <c r="N40" i="5"/>
  <c r="N39" i="5"/>
  <c r="N38" i="5"/>
  <c r="N35" i="5"/>
  <c r="N31" i="5"/>
  <c r="N32" i="5"/>
  <c r="N37" i="5"/>
  <c r="N33" i="5"/>
  <c r="N30" i="5"/>
  <c r="N29" i="5"/>
  <c r="N34" i="5"/>
  <c r="N36" i="5"/>
  <c r="N28" i="5"/>
  <c r="N27" i="5"/>
  <c r="N25" i="5"/>
  <c r="N24" i="5"/>
  <c r="N22" i="5"/>
  <c r="O16" i="5"/>
  <c r="O43" i="5" s="1"/>
  <c r="E56" i="22" l="1"/>
  <c r="O17" i="5"/>
  <c r="O41" i="5"/>
  <c r="O46" i="5"/>
  <c r="O45" i="5"/>
  <c r="O44" i="5"/>
  <c r="O42" i="5"/>
  <c r="O40" i="5"/>
  <c r="O39" i="5"/>
  <c r="O38" i="5"/>
  <c r="O37" i="5"/>
  <c r="O36" i="5"/>
  <c r="O35" i="5"/>
  <c r="O34" i="5"/>
  <c r="O33" i="5"/>
  <c r="O32" i="5"/>
  <c r="O31" i="5"/>
  <c r="O30" i="5"/>
  <c r="O29" i="5"/>
  <c r="O28" i="5"/>
  <c r="O27" i="5"/>
  <c r="O25" i="5"/>
  <c r="O24" i="5"/>
  <c r="O22" i="5"/>
  <c r="P16" i="5"/>
  <c r="P43" i="5" s="1"/>
  <c r="F56" i="22" l="1"/>
  <c r="G56" i="22" s="1"/>
  <c r="P17" i="5"/>
  <c r="P41" i="5"/>
  <c r="P36" i="5"/>
  <c r="P32" i="5"/>
  <c r="P30" i="5"/>
  <c r="P29" i="5"/>
  <c r="P28" i="5"/>
  <c r="P27" i="5"/>
  <c r="P33" i="5"/>
  <c r="P34" i="5"/>
  <c r="P35" i="5"/>
  <c r="P31" i="5"/>
  <c r="P45" i="5"/>
  <c r="P42" i="5"/>
  <c r="P38" i="5"/>
  <c r="P37" i="5"/>
  <c r="P46" i="5"/>
  <c r="P44" i="5"/>
  <c r="P40" i="5"/>
  <c r="P39" i="5"/>
  <c r="P25" i="5"/>
  <c r="P24" i="5"/>
  <c r="P22" i="5"/>
  <c r="Q16" i="5"/>
  <c r="Q43" i="5" s="1"/>
  <c r="H56" i="22" l="1"/>
  <c r="Q17" i="5"/>
  <c r="Q41" i="5"/>
  <c r="Q45" i="5"/>
  <c r="Q42" i="5"/>
  <c r="Q38" i="5"/>
  <c r="Q37" i="5"/>
  <c r="Q33" i="5"/>
  <c r="Q34" i="5"/>
  <c r="Q46" i="5"/>
  <c r="Q40" i="5"/>
  <c r="Q39" i="5"/>
  <c r="Q32" i="5"/>
  <c r="Q44" i="5"/>
  <c r="Q35" i="5"/>
  <c r="Q31" i="5"/>
  <c r="Q36" i="5"/>
  <c r="Q27" i="5"/>
  <c r="Q30" i="5"/>
  <c r="Q28" i="5"/>
  <c r="Q29" i="5"/>
  <c r="Q25" i="5"/>
  <c r="Q24" i="5"/>
  <c r="Q22" i="5"/>
  <c r="R16" i="5"/>
  <c r="R43" i="5" s="1"/>
  <c r="I56" i="22" l="1"/>
  <c r="J56" i="22" s="1"/>
  <c r="R17" i="5"/>
  <c r="R41" i="5"/>
  <c r="R46" i="5"/>
  <c r="R45" i="5"/>
  <c r="R44" i="5"/>
  <c r="R42" i="5"/>
  <c r="R40" i="5"/>
  <c r="R39" i="5"/>
  <c r="R38" i="5"/>
  <c r="R34" i="5"/>
  <c r="R35" i="5"/>
  <c r="R30" i="5"/>
  <c r="R28" i="5"/>
  <c r="R27" i="5"/>
  <c r="R31" i="5"/>
  <c r="R36" i="5"/>
  <c r="R32" i="5"/>
  <c r="R29" i="5"/>
  <c r="R37" i="5"/>
  <c r="R33" i="5"/>
  <c r="R25" i="5"/>
  <c r="R24" i="5"/>
  <c r="R22" i="5"/>
  <c r="S16" i="5"/>
  <c r="S43" i="5" s="1"/>
  <c r="K56" i="22" l="1"/>
  <c r="S17" i="5"/>
  <c r="S41" i="5"/>
  <c r="S46" i="5"/>
  <c r="S45" i="5"/>
  <c r="S44" i="5"/>
  <c r="S42" i="5"/>
  <c r="S40" i="5"/>
  <c r="S39" i="5"/>
  <c r="S38" i="5"/>
  <c r="S37" i="5"/>
  <c r="S36" i="5"/>
  <c r="S35" i="5"/>
  <c r="S34" i="5"/>
  <c r="S33" i="5"/>
  <c r="S32" i="5"/>
  <c r="S31" i="5"/>
  <c r="S30" i="5"/>
  <c r="S28" i="5"/>
  <c r="S27" i="5"/>
  <c r="S29" i="5"/>
  <c r="S25" i="5"/>
  <c r="S24" i="5"/>
  <c r="S22" i="5"/>
  <c r="T16" i="5"/>
  <c r="T43" i="5" s="1"/>
  <c r="L56" i="22" l="1"/>
  <c r="M56" i="22" s="1"/>
  <c r="T17" i="5"/>
  <c r="T41" i="5"/>
  <c r="T35" i="5"/>
  <c r="T31" i="5"/>
  <c r="T30" i="5"/>
  <c r="T29" i="5"/>
  <c r="T28" i="5"/>
  <c r="T27" i="5"/>
  <c r="T37" i="5"/>
  <c r="T33" i="5"/>
  <c r="T45" i="5"/>
  <c r="T42" i="5"/>
  <c r="T38" i="5"/>
  <c r="T34" i="5"/>
  <c r="T46" i="5"/>
  <c r="T44" i="5"/>
  <c r="T40" i="5"/>
  <c r="T39" i="5"/>
  <c r="T36" i="5"/>
  <c r="T32" i="5"/>
  <c r="T25" i="5"/>
  <c r="T24" i="5"/>
  <c r="T22" i="5"/>
  <c r="U16" i="5"/>
  <c r="U43" i="5" s="1"/>
  <c r="N56" i="22" l="1"/>
  <c r="U17" i="5"/>
  <c r="U41" i="5"/>
  <c r="U46" i="5"/>
  <c r="U44" i="5"/>
  <c r="U40" i="5"/>
  <c r="U39" i="5"/>
  <c r="U36" i="5"/>
  <c r="U32" i="5"/>
  <c r="U33" i="5"/>
  <c r="U45" i="5"/>
  <c r="U42" i="5"/>
  <c r="U38" i="5"/>
  <c r="U31" i="5"/>
  <c r="U30" i="5"/>
  <c r="U37" i="5"/>
  <c r="U34" i="5"/>
  <c r="U35" i="5"/>
  <c r="U28" i="5"/>
  <c r="U29" i="5"/>
  <c r="U27" i="5"/>
  <c r="U25" i="5"/>
  <c r="U24" i="5"/>
  <c r="U22" i="5"/>
  <c r="V16" i="5"/>
  <c r="V43" i="5" s="1"/>
  <c r="O56" i="22" l="1"/>
  <c r="V17" i="5"/>
  <c r="V41" i="5"/>
  <c r="V46" i="5"/>
  <c r="V45" i="5"/>
  <c r="V44" i="5"/>
  <c r="V42" i="5"/>
  <c r="V40" i="5"/>
  <c r="V39" i="5"/>
  <c r="V38" i="5"/>
  <c r="V37" i="5"/>
  <c r="V33" i="5"/>
  <c r="V34" i="5"/>
  <c r="V35" i="5"/>
  <c r="V31" i="5"/>
  <c r="V29" i="5"/>
  <c r="V28" i="5"/>
  <c r="V36" i="5"/>
  <c r="V30" i="5"/>
  <c r="V27" i="5"/>
  <c r="V32" i="5"/>
  <c r="V25" i="5"/>
  <c r="V24" i="5"/>
  <c r="V22" i="5"/>
  <c r="W16" i="5"/>
  <c r="W43" i="5" s="1"/>
  <c r="P56" i="22" l="1"/>
  <c r="W17" i="5"/>
  <c r="W41" i="5"/>
  <c r="W46" i="5"/>
  <c r="W45" i="5"/>
  <c r="W44" i="5"/>
  <c r="W42" i="5"/>
  <c r="W40" i="5"/>
  <c r="W39" i="5"/>
  <c r="W38" i="5"/>
  <c r="W37" i="5"/>
  <c r="W36" i="5"/>
  <c r="W35" i="5"/>
  <c r="W34" i="5"/>
  <c r="W33" i="5"/>
  <c r="W32" i="5"/>
  <c r="W31" i="5"/>
  <c r="W29" i="5"/>
  <c r="W27" i="5"/>
  <c r="W30" i="5"/>
  <c r="W28" i="5"/>
  <c r="W25" i="5"/>
  <c r="W24" i="5"/>
  <c r="W22" i="5"/>
  <c r="Q56" i="22" l="1"/>
  <c r="F5" i="15"/>
  <c r="E5" i="15"/>
  <c r="D5" i="15"/>
  <c r="C5" i="15"/>
  <c r="F2" i="15"/>
  <c r="E2" i="15"/>
  <c r="D2" i="15"/>
  <c r="C2" i="15"/>
  <c r="B2" i="15"/>
  <c r="D1" i="15"/>
  <c r="R56" i="22" l="1"/>
  <c r="S56" i="22" l="1"/>
  <c r="T56" i="22" l="1"/>
  <c r="W12" i="22" l="1"/>
  <c r="X12" i="22" s="1"/>
  <c r="Y10" i="22" s="1"/>
  <c r="U56" i="22"/>
  <c r="W20" i="5" l="1"/>
  <c r="V20" i="5"/>
  <c r="U20" i="5"/>
  <c r="T20" i="5"/>
  <c r="S20" i="5"/>
  <c r="R20" i="5"/>
  <c r="Q20" i="5"/>
  <c r="P20" i="5"/>
  <c r="O20" i="5"/>
  <c r="N20" i="5"/>
  <c r="M20" i="5"/>
  <c r="L20" i="5"/>
  <c r="K20" i="5"/>
  <c r="J20" i="5"/>
  <c r="I20" i="5"/>
  <c r="H20" i="5"/>
  <c r="G20" i="5"/>
  <c r="F20" i="5"/>
  <c r="E20" i="5"/>
  <c r="D20" i="5"/>
  <c r="W19" i="5"/>
  <c r="V19" i="5"/>
  <c r="U19" i="5"/>
  <c r="T19" i="5"/>
  <c r="S19" i="5"/>
  <c r="R19" i="5"/>
  <c r="Q19" i="5"/>
  <c r="P19" i="5"/>
  <c r="O19" i="5"/>
  <c r="N19" i="5"/>
  <c r="M19" i="5"/>
  <c r="L19" i="5"/>
  <c r="K19" i="5"/>
  <c r="J19" i="5"/>
  <c r="I19" i="5"/>
  <c r="H19" i="5"/>
  <c r="G19" i="5"/>
  <c r="F19" i="5"/>
  <c r="E19" i="5"/>
  <c r="D19" i="5"/>
  <c r="W18" i="5"/>
  <c r="V18" i="5"/>
  <c r="U18" i="5"/>
  <c r="T18" i="5"/>
  <c r="S18" i="5"/>
  <c r="R18" i="5"/>
  <c r="Q18" i="5"/>
  <c r="P18" i="5"/>
  <c r="O18" i="5"/>
  <c r="N18" i="5"/>
  <c r="M18" i="5"/>
  <c r="L18" i="5"/>
  <c r="K18" i="5"/>
  <c r="J18" i="5"/>
  <c r="I18" i="5"/>
  <c r="H18" i="5"/>
  <c r="G18" i="5"/>
  <c r="F18" i="5"/>
  <c r="E18" i="5"/>
  <c r="D18" i="5"/>
  <c r="Y13" i="5"/>
  <c r="Y12" i="5"/>
  <c r="Y11" i="5"/>
  <c r="Y10" i="5"/>
  <c r="Y9" i="5"/>
  <c r="Y8" i="5"/>
  <c r="Y4" i="5"/>
  <c r="AA4" i="5" s="1"/>
  <c r="Y3" i="5"/>
  <c r="Y2" i="5"/>
  <c r="AA2" i="5" s="1"/>
  <c r="Y1" i="5"/>
  <c r="Z2" i="5" l="1"/>
  <c r="Z11" i="5"/>
  <c r="Z3" i="5"/>
  <c r="AA1" i="5"/>
  <c r="Z12" i="5"/>
  <c r="Z4" i="5"/>
  <c r="Z1" i="5"/>
  <c r="AA3" i="5"/>
  <c r="A25" i="15" l="1"/>
  <c r="A29" i="15"/>
  <c r="A26" i="15"/>
  <c r="A30" i="15"/>
  <c r="A27" i="15"/>
  <c r="A33" i="15"/>
  <c r="A28" i="15"/>
  <c r="A34" i="15"/>
  <c r="A48" i="15"/>
  <c r="A21" i="15"/>
  <c r="A22" i="15"/>
  <c r="A19" i="15"/>
  <c r="A12" i="15"/>
  <c r="A11" i="15"/>
  <c r="A5" i="15"/>
  <c r="A10" i="15"/>
  <c r="A14" i="15"/>
  <c r="A6" i="15"/>
  <c r="A16" i="15"/>
  <c r="A17" i="15"/>
  <c r="A9" i="15"/>
  <c r="A13" i="15"/>
  <c r="A15" i="15"/>
  <c r="A8" i="15"/>
  <c r="A4" i="15"/>
  <c r="A7" i="15"/>
  <c r="A18" i="15"/>
  <c r="A8" i="17" l="1"/>
  <c r="A8" i="16"/>
  <c r="A17" i="17"/>
  <c r="A17" i="16"/>
  <c r="A10" i="16"/>
  <c r="A10" i="17"/>
  <c r="A48" i="17"/>
  <c r="A48" i="16"/>
  <c r="A30" i="17"/>
  <c r="A30" i="16"/>
  <c r="A18" i="16"/>
  <c r="A18" i="17"/>
  <c r="A15" i="16"/>
  <c r="A15" i="17"/>
  <c r="A16" i="17"/>
  <c r="A16" i="16"/>
  <c r="A5" i="17"/>
  <c r="A5" i="16"/>
  <c r="A19" i="16"/>
  <c r="A19" i="17"/>
  <c r="A28" i="16"/>
  <c r="A28" i="17"/>
  <c r="A26" i="17"/>
  <c r="A26" i="16"/>
  <c r="A34" i="17"/>
  <c r="A34" i="16"/>
  <c r="A13" i="17"/>
  <c r="A13" i="16"/>
  <c r="A6" i="16"/>
  <c r="A6" i="17"/>
  <c r="A11" i="16"/>
  <c r="A11" i="17"/>
  <c r="A22" i="17"/>
  <c r="A22" i="16"/>
  <c r="A33" i="16"/>
  <c r="A33" i="17"/>
  <c r="A29" i="16"/>
  <c r="A29" i="17"/>
  <c r="A23" i="16"/>
  <c r="A23" i="17"/>
  <c r="A7" i="16"/>
  <c r="A7" i="17"/>
  <c r="A4" i="17"/>
  <c r="A4" i="16"/>
  <c r="A9" i="17"/>
  <c r="A9" i="16"/>
  <c r="A14" i="16"/>
  <c r="A14" i="17"/>
  <c r="A12" i="17"/>
  <c r="A12" i="16"/>
  <c r="A21" i="17"/>
  <c r="A21" i="16"/>
  <c r="A27" i="17"/>
  <c r="A27" i="16"/>
  <c r="A25" i="16"/>
  <c r="A25" i="17"/>
  <c r="C50" i="22" l="1"/>
  <c r="D50" i="22" s="1"/>
  <c r="E50" i="22" s="1"/>
  <c r="F50" i="22" s="1"/>
  <c r="G50" i="22" s="1"/>
  <c r="H50" i="22" s="1"/>
  <c r="I50" i="22" s="1"/>
  <c r="J50" i="22" s="1"/>
  <c r="K50" i="22" s="1"/>
  <c r="L50" i="22" s="1"/>
  <c r="M50" i="22" s="1"/>
  <c r="N50" i="22" s="1"/>
  <c r="O50" i="22" s="1"/>
  <c r="P50" i="22" s="1"/>
  <c r="Q50" i="22" s="1"/>
  <c r="R50" i="22" s="1"/>
  <c r="S50" i="22" s="1"/>
  <c r="T50" i="22" s="1"/>
  <c r="U50" i="22" s="1"/>
  <c r="W6" i="22"/>
  <c r="C49" i="22"/>
  <c r="D49" i="22" s="1"/>
  <c r="E49" i="22" s="1"/>
  <c r="F49" i="22" s="1"/>
  <c r="G49" i="22" s="1"/>
  <c r="H49" i="22" s="1"/>
  <c r="I49" i="22" s="1"/>
  <c r="J49" i="22" s="1"/>
  <c r="K49" i="22" s="1"/>
  <c r="L49" i="22" s="1"/>
  <c r="M49" i="22" s="1"/>
  <c r="N49" i="22" s="1"/>
  <c r="O49" i="22" s="1"/>
  <c r="P49" i="22" s="1"/>
  <c r="Q49" i="22" s="1"/>
  <c r="R49" i="22" s="1"/>
  <c r="S49" i="22" s="1"/>
  <c r="T49" i="22" s="1"/>
  <c r="X6" i="22" l="1"/>
  <c r="W5" i="22"/>
  <c r="X5" i="22" s="1"/>
  <c r="U49" i="22" l="1"/>
  <c r="Y5" i="22"/>
  <c r="B53" i="22" l="1"/>
  <c r="B52" i="22" l="1"/>
  <c r="C52" i="22" l="1"/>
  <c r="D52" i="22" l="1"/>
  <c r="E52" i="22" s="1"/>
  <c r="F52" i="22" s="1"/>
  <c r="G52" i="22" l="1"/>
  <c r="H52" i="22" l="1"/>
  <c r="I52" i="22" l="1"/>
  <c r="J52" i="22" l="1"/>
  <c r="K52" i="22" s="1"/>
  <c r="L52" i="22" l="1"/>
  <c r="M52" i="22" l="1"/>
  <c r="N52" i="22" l="1"/>
  <c r="O52" i="22" l="1"/>
  <c r="P52" i="22" l="1"/>
  <c r="Q52" i="22" l="1"/>
  <c r="R52" i="22" l="1"/>
  <c r="S52" i="22" l="1"/>
  <c r="T52" i="22" l="1"/>
  <c r="W8" i="22" l="1"/>
  <c r="X8" i="22" s="1"/>
  <c r="U52" i="22"/>
  <c r="B51" i="22" l="1"/>
  <c r="C53" i="22" l="1"/>
  <c r="D53" i="22" s="1"/>
  <c r="E53" i="22" s="1"/>
  <c r="F53" i="22" s="1"/>
  <c r="G53" i="22" s="1"/>
  <c r="H53" i="22" s="1"/>
  <c r="I53" i="22" s="1"/>
  <c r="J53" i="22" s="1"/>
  <c r="K53" i="22" s="1"/>
  <c r="L53" i="22" s="1"/>
  <c r="M53" i="22" s="1"/>
  <c r="N53" i="22" s="1"/>
  <c r="O53" i="22" s="1"/>
  <c r="P53" i="22" s="1"/>
  <c r="Q53" i="22" s="1"/>
  <c r="R53" i="22" s="1"/>
  <c r="S53" i="22" s="1"/>
  <c r="T53" i="22" s="1"/>
  <c r="C51" i="22" l="1"/>
  <c r="D51" i="22" s="1"/>
  <c r="E51" i="22" s="1"/>
  <c r="F51" i="22" s="1"/>
  <c r="G51" i="22" s="1"/>
  <c r="H51" i="22" s="1"/>
  <c r="I51" i="22" s="1"/>
  <c r="J51" i="22" s="1"/>
  <c r="K51" i="22" s="1"/>
  <c r="L51" i="22" s="1"/>
  <c r="M51" i="22" s="1"/>
  <c r="N51" i="22" s="1"/>
  <c r="O51" i="22" s="1"/>
  <c r="P51" i="22" s="1"/>
  <c r="Q51" i="22" s="1"/>
  <c r="R51" i="22" s="1"/>
  <c r="S51" i="22" s="1"/>
  <c r="T51" i="22" s="1"/>
  <c r="W9" i="22"/>
  <c r="X9" i="22" s="1"/>
  <c r="W7" i="22" l="1"/>
  <c r="U53" i="22"/>
  <c r="U51" i="22"/>
  <c r="X7" i="22" l="1"/>
  <c r="Y7" i="22" s="1"/>
  <c r="D15" i="17" l="1"/>
  <c r="D15" i="15" s="1"/>
  <c r="D18" i="17" l="1"/>
  <c r="D18" i="15" s="1"/>
  <c r="D16" i="17"/>
  <c r="D16" i="15" s="1"/>
  <c r="D13" i="17"/>
  <c r="D13" i="15" s="1"/>
  <c r="D19" i="17"/>
  <c r="D19" i="15" s="1"/>
  <c r="D17" i="17"/>
  <c r="D17" i="15" s="1"/>
  <c r="D14" i="17"/>
  <c r="D14" i="15" s="1"/>
  <c r="X30" i="1" l="1"/>
  <c r="X58" i="1"/>
  <c r="X44" i="1"/>
  <c r="X45" i="1"/>
  <c r="X59" i="1"/>
  <c r="X31" i="1"/>
  <c r="X17" i="1"/>
  <c r="X16" i="1" l="1"/>
  <c r="M8" i="1" l="1"/>
  <c r="M12" i="1"/>
  <c r="M6" i="1"/>
  <c r="M15" i="1"/>
  <c r="M13" i="1"/>
  <c r="M5" i="1" l="1"/>
  <c r="M4" i="1"/>
  <c r="M11" i="1"/>
  <c r="M14" i="1"/>
  <c r="M16" i="1"/>
  <c r="M9" i="1"/>
  <c r="M7" i="1"/>
  <c r="M10" i="1"/>
  <c r="N10" i="1"/>
  <c r="N6" i="1"/>
  <c r="N17" i="1"/>
  <c r="N7" i="1"/>
  <c r="N8" i="1"/>
  <c r="N11" i="1"/>
  <c r="N14" i="1"/>
  <c r="N15" i="1"/>
  <c r="N4" i="1"/>
  <c r="N12" i="1"/>
  <c r="N13" i="1"/>
  <c r="N9" i="1"/>
  <c r="N5" i="1"/>
  <c r="N16" i="1"/>
  <c r="M17" i="1" l="1"/>
  <c r="M46" i="1"/>
  <c r="N58" i="1" l="1"/>
  <c r="M19" i="1"/>
  <c r="M33" i="1"/>
  <c r="M18" i="1"/>
  <c r="M32" i="1"/>
  <c r="M36" i="1"/>
  <c r="M22" i="1"/>
  <c r="M34" i="1"/>
  <c r="M20" i="1"/>
  <c r="M25" i="1"/>
  <c r="M39" i="1"/>
  <c r="M24" i="1"/>
  <c r="M38" i="1"/>
  <c r="M35" i="1"/>
  <c r="M21" i="1"/>
  <c r="M41" i="1"/>
  <c r="M27" i="1"/>
  <c r="M40" i="1"/>
  <c r="M26" i="1"/>
  <c r="M42" i="1"/>
  <c r="M28" i="1"/>
  <c r="M23" i="1"/>
  <c r="M37" i="1"/>
  <c r="M43" i="1"/>
  <c r="M29" i="1"/>
  <c r="M57" i="1"/>
  <c r="M52" i="1"/>
  <c r="M54" i="1"/>
  <c r="M56" i="1"/>
  <c r="M48" i="1"/>
  <c r="M53" i="1"/>
  <c r="M50" i="1"/>
  <c r="N46" i="1"/>
  <c r="M51" i="1"/>
  <c r="M55" i="1"/>
  <c r="M47" i="1"/>
  <c r="M49" i="1"/>
  <c r="M58" i="1" l="1"/>
  <c r="N34" i="1"/>
  <c r="N20" i="1"/>
  <c r="N31" i="1"/>
  <c r="N45" i="1"/>
  <c r="N24" i="1"/>
  <c r="N38" i="1"/>
  <c r="N32" i="1"/>
  <c r="N18" i="1"/>
  <c r="M44" i="1"/>
  <c r="M30" i="1"/>
  <c r="N40" i="1"/>
  <c r="N26" i="1"/>
  <c r="N37" i="1"/>
  <c r="N23" i="1"/>
  <c r="N42" i="1"/>
  <c r="N28" i="1"/>
  <c r="N44" i="1"/>
  <c r="N30" i="1"/>
  <c r="N41" i="1"/>
  <c r="N27" i="1"/>
  <c r="N35" i="1"/>
  <c r="N21" i="1"/>
  <c r="N39" i="1"/>
  <c r="N25" i="1"/>
  <c r="N29" i="1"/>
  <c r="N43" i="1"/>
  <c r="N19" i="1"/>
  <c r="N33" i="1"/>
  <c r="N36" i="1"/>
  <c r="N22" i="1"/>
  <c r="N49" i="1"/>
  <c r="N55" i="1"/>
  <c r="N59" i="1"/>
  <c r="N56" i="1"/>
  <c r="N50" i="1"/>
  <c r="N57" i="1"/>
  <c r="N54" i="1"/>
  <c r="N51" i="1"/>
  <c r="N52" i="1"/>
  <c r="N47" i="1"/>
  <c r="N53" i="1"/>
  <c r="N48" i="1"/>
  <c r="M59" i="1" l="1"/>
  <c r="M31" i="1"/>
  <c r="M45" i="1"/>
  <c r="K52" i="1" l="1"/>
  <c r="K47" i="1" l="1"/>
  <c r="K57" i="1"/>
  <c r="K5" i="1"/>
  <c r="K8" i="1"/>
  <c r="K59" i="1"/>
  <c r="K55" i="1"/>
  <c r="K7" i="1"/>
  <c r="K56" i="1"/>
  <c r="K49" i="1"/>
  <c r="K10" i="1"/>
  <c r="K50" i="1"/>
  <c r="K51" i="1"/>
  <c r="K53" i="1"/>
  <c r="K46" i="1"/>
  <c r="K11" i="1"/>
  <c r="K13" i="1"/>
  <c r="K9" i="1"/>
  <c r="K4" i="1"/>
  <c r="K58" i="1" l="1"/>
  <c r="K14" i="1"/>
  <c r="K15" i="1"/>
  <c r="M60" i="1"/>
  <c r="M66" i="1"/>
  <c r="M65" i="1"/>
  <c r="M61" i="1"/>
  <c r="K21" i="1" l="1"/>
  <c r="K36" i="1"/>
  <c r="K22" i="1"/>
  <c r="K37" i="1"/>
  <c r="K31" i="1"/>
  <c r="K23" i="1"/>
  <c r="K35" i="1"/>
  <c r="K17" i="1"/>
  <c r="M75" i="1"/>
  <c r="M71" i="1"/>
  <c r="M76" i="1"/>
  <c r="M70" i="1"/>
  <c r="K19" i="1" l="1"/>
  <c r="K24" i="1"/>
  <c r="K27" i="1"/>
  <c r="K16" i="1"/>
  <c r="K18" i="1"/>
  <c r="K43" i="1"/>
  <c r="K45" i="1"/>
  <c r="K28" i="1"/>
  <c r="K38" i="1"/>
  <c r="K25" i="1"/>
  <c r="K67" i="1"/>
  <c r="K32" i="1"/>
  <c r="K29" i="1"/>
  <c r="K33" i="1"/>
  <c r="K39" i="1"/>
  <c r="K41" i="1"/>
  <c r="K60" i="1"/>
  <c r="K72" i="1"/>
  <c r="K44" i="1" l="1"/>
  <c r="K77" i="1"/>
  <c r="K75" i="1"/>
  <c r="K42" i="1"/>
  <c r="K62" i="1"/>
  <c r="K30" i="1"/>
  <c r="K76" i="1"/>
  <c r="K65" i="1"/>
  <c r="K66" i="1"/>
  <c r="K61" i="1"/>
  <c r="K70" i="1"/>
  <c r="K71" i="1" l="1"/>
  <c r="M63" i="1" l="1"/>
  <c r="M64" i="1"/>
  <c r="K54" i="1" l="1"/>
  <c r="K12" i="1" l="1"/>
  <c r="K40" i="1"/>
  <c r="K26" i="1"/>
  <c r="K6" i="1"/>
  <c r="K48" i="1" l="1"/>
  <c r="K82" i="1"/>
  <c r="K83" i="1"/>
  <c r="K81" i="1"/>
  <c r="K80" i="1"/>
  <c r="K20" i="1" l="1"/>
  <c r="K64" i="1"/>
  <c r="K34" i="1"/>
  <c r="K63" i="1"/>
  <c r="V4" i="22" l="1"/>
  <c r="B4" i="22" l="1"/>
  <c r="B48" i="22" l="1"/>
  <c r="D4" i="22" l="1"/>
  <c r="C4" i="22" l="1"/>
  <c r="G4" i="22" l="1"/>
  <c r="C48" i="22"/>
  <c r="D48" i="22" s="1"/>
  <c r="E4" i="22" l="1"/>
  <c r="H4" i="22"/>
  <c r="E48" i="22"/>
  <c r="F4" i="22" l="1"/>
  <c r="F48" i="22" s="1"/>
  <c r="G48" i="22" s="1"/>
  <c r="H48" i="22" s="1"/>
  <c r="K4" i="22" l="1"/>
  <c r="J4" i="22"/>
  <c r="I4" i="22" l="1"/>
  <c r="I48" i="22" s="1"/>
  <c r="J48" i="22" s="1"/>
  <c r="K48" i="22" s="1"/>
  <c r="L4" i="22"/>
  <c r="M4" i="22"/>
  <c r="L48" i="22" l="1"/>
  <c r="M48" i="22" s="1"/>
  <c r="N4" i="22"/>
  <c r="N48" i="22" l="1"/>
  <c r="O4" i="22" l="1"/>
  <c r="O48" i="22" s="1"/>
  <c r="P48" i="22" s="1"/>
  <c r="P4" i="22"/>
  <c r="Q4" i="22" l="1"/>
  <c r="Q48" i="22" s="1"/>
  <c r="R4" i="22"/>
  <c r="R48" i="22" l="1"/>
  <c r="S4" i="22" l="1"/>
  <c r="S48" i="22" s="1"/>
  <c r="T4" i="22" l="1"/>
  <c r="T48" i="22" s="1"/>
  <c r="T6" i="1" l="1"/>
  <c r="T53" i="1"/>
  <c r="T78" i="1"/>
  <c r="T36" i="1"/>
  <c r="T28" i="1"/>
  <c r="T21" i="1"/>
  <c r="T82" i="1"/>
  <c r="T38" i="1"/>
  <c r="T20" i="1"/>
  <c r="T25" i="1"/>
  <c r="T5" i="1"/>
  <c r="T26" i="1"/>
  <c r="T42" i="1"/>
  <c r="T9" i="1"/>
  <c r="T83" i="1"/>
  <c r="T11" i="1"/>
  <c r="T44" i="1"/>
  <c r="T75" i="1"/>
  <c r="T37" i="1"/>
  <c r="T81" i="1"/>
  <c r="T61" i="1"/>
  <c r="T48" i="1"/>
  <c r="T30" i="1"/>
  <c r="T35" i="1"/>
  <c r="T41" i="1"/>
  <c r="T52" i="1"/>
  <c r="T29" i="1"/>
  <c r="T19" i="1"/>
  <c r="T54" i="1"/>
  <c r="T32" i="1"/>
  <c r="T74" i="1"/>
  <c r="T10" i="1"/>
  <c r="T73" i="1"/>
  <c r="T8" i="1"/>
  <c r="T15" i="1"/>
  <c r="T47" i="1"/>
  <c r="T40" i="1"/>
  <c r="T18" i="1"/>
  <c r="T70" i="1"/>
  <c r="T23" i="1"/>
  <c r="T71" i="1"/>
  <c r="T68" i="1"/>
  <c r="T22" i="1"/>
  <c r="T46" i="1"/>
  <c r="T49" i="1"/>
  <c r="T27" i="1"/>
  <c r="T43" i="1"/>
  <c r="T33" i="1"/>
  <c r="T12" i="1"/>
  <c r="T69" i="1"/>
  <c r="T7" i="1"/>
  <c r="T13" i="1"/>
  <c r="T24" i="1"/>
  <c r="T64" i="1"/>
  <c r="T51" i="1"/>
  <c r="T34" i="1"/>
  <c r="T39" i="1"/>
  <c r="T63" i="1"/>
  <c r="T50" i="1"/>
  <c r="T79" i="1"/>
  <c r="T14" i="1"/>
  <c r="T16" i="1"/>
  <c r="T76" i="1"/>
  <c r="T4" i="1" l="1"/>
  <c r="U4" i="22"/>
  <c r="T80" i="1"/>
  <c r="T60" i="1"/>
  <c r="T31" i="1"/>
  <c r="T45" i="1"/>
  <c r="W4" i="22" l="1"/>
  <c r="X4" i="22" s="1"/>
  <c r="U48" i="22"/>
  <c r="T77" i="1"/>
  <c r="T72" i="1"/>
  <c r="T17" i="1" l="1"/>
  <c r="T62" i="1"/>
  <c r="T57" i="1" l="1"/>
  <c r="P3" i="22" l="1"/>
  <c r="H3" i="22"/>
  <c r="V2" i="22"/>
  <c r="O3" i="22"/>
  <c r="L3" i="22"/>
  <c r="D3" i="22"/>
  <c r="J3" i="22"/>
  <c r="S3" i="22"/>
  <c r="E3" i="22"/>
  <c r="T3" i="22"/>
  <c r="K3" i="22"/>
  <c r="R3" i="22"/>
  <c r="Q3" i="22"/>
  <c r="F3" i="22"/>
  <c r="N3" i="22"/>
  <c r="T56" i="1"/>
  <c r="G3" i="22"/>
  <c r="M3" i="22"/>
  <c r="I3" i="22"/>
  <c r="C3" i="22"/>
  <c r="T66" i="1"/>
  <c r="T58" i="1"/>
  <c r="T65" i="1" l="1"/>
  <c r="U2" i="22"/>
  <c r="T67" i="1"/>
  <c r="C2" i="22"/>
  <c r="O2" i="22"/>
  <c r="K2" i="22"/>
  <c r="I2" i="22"/>
  <c r="U3" i="22"/>
  <c r="L2" i="22"/>
  <c r="M2" i="22"/>
  <c r="J2" i="22"/>
  <c r="T2" i="22"/>
  <c r="E2" i="22"/>
  <c r="D2" i="22"/>
  <c r="N2" i="22"/>
  <c r="S2" i="22"/>
  <c r="P2" i="22"/>
  <c r="H2" i="22"/>
  <c r="T59" i="1"/>
  <c r="G2" i="22"/>
  <c r="Q2" i="22"/>
  <c r="R2" i="22"/>
  <c r="F2" i="22"/>
  <c r="V3" i="22" l="1"/>
  <c r="T55" i="1"/>
  <c r="B2" i="22"/>
  <c r="B3" i="22"/>
  <c r="B47" i="22" l="1"/>
  <c r="C47" i="22" s="1"/>
  <c r="D47" i="22" s="1"/>
  <c r="E47" i="22" s="1"/>
  <c r="F47" i="22" s="1"/>
  <c r="G47" i="22" s="1"/>
  <c r="H47" i="22" s="1"/>
  <c r="I47" i="22" s="1"/>
  <c r="J47" i="22" s="1"/>
  <c r="K47" i="22" s="1"/>
  <c r="L47" i="22" s="1"/>
  <c r="M47" i="22" s="1"/>
  <c r="N47" i="22" s="1"/>
  <c r="O47" i="22" s="1"/>
  <c r="P47" i="22" s="1"/>
  <c r="Q47" i="22" s="1"/>
  <c r="R47" i="22" s="1"/>
  <c r="S47" i="22" s="1"/>
  <c r="T47" i="22" s="1"/>
  <c r="U47" i="22" s="1"/>
  <c r="W3" i="22"/>
  <c r="X3" i="22" s="1"/>
  <c r="V13" i="22"/>
  <c r="B46" i="22"/>
  <c r="C46" i="22" s="1"/>
  <c r="D46" i="22" s="1"/>
  <c r="E46" i="22" s="1"/>
  <c r="F46" i="22" s="1"/>
  <c r="G46" i="22" s="1"/>
  <c r="H46" i="22" s="1"/>
  <c r="I46" i="22" s="1"/>
  <c r="J46" i="22" s="1"/>
  <c r="K46" i="22" s="1"/>
  <c r="L46" i="22" s="1"/>
  <c r="M46" i="22" s="1"/>
  <c r="N46" i="22" s="1"/>
  <c r="O46" i="22" s="1"/>
  <c r="P46" i="22" s="1"/>
  <c r="Q46" i="22" s="1"/>
  <c r="R46" i="22" s="1"/>
  <c r="S46" i="22" s="1"/>
  <c r="T46" i="22" s="1"/>
  <c r="U46" i="22" s="1"/>
  <c r="W2" i="22"/>
  <c r="W13" i="22" l="1"/>
  <c r="X2" i="22"/>
  <c r="Y2" i="22" l="1"/>
  <c r="X1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DVB</author>
  </authors>
  <commentList>
    <comment ref="J3" authorId="0" shapeId="0" xr:uid="{00000000-0006-0000-0000-000001000000}">
      <text>
        <r>
          <rPr>
            <b/>
            <sz val="8"/>
            <color indexed="81"/>
            <rFont val="Tahoma"/>
            <family val="2"/>
          </rPr>
          <t xml:space="preserve"> :ProCost
</t>
        </r>
        <r>
          <rPr>
            <sz val="8"/>
            <color indexed="81"/>
            <rFont val="Tahoma"/>
            <family val="2"/>
          </rPr>
          <t>Name of Measure.  User-defined.  
For PTR measures, defined naming conventions apply.</t>
        </r>
        <r>
          <rPr>
            <sz val="8"/>
            <color indexed="81"/>
            <rFont val="Tahoma"/>
            <family val="2"/>
          </rPr>
          <t xml:space="preserve">
</t>
        </r>
      </text>
    </comment>
    <comment ref="K3" authorId="0" shapeId="0" xr:uid="{00000000-0006-0000-0000-000002000000}">
      <text>
        <r>
          <rPr>
            <b/>
            <sz val="8"/>
            <color indexed="81"/>
            <rFont val="Tahoma"/>
            <family val="2"/>
          </rPr>
          <t xml:space="preserve"> :ProCost</t>
        </r>
        <r>
          <rPr>
            <sz val="8"/>
            <color indexed="81"/>
            <rFont val="Tahoma"/>
            <family val="2"/>
          </rPr>
          <t xml:space="preserve">
Annual electric savings for the measure in kWh at the site.  May be positive, negative or zero.
Savings are incremental to the baseline alternative.</t>
        </r>
      </text>
    </comment>
    <comment ref="L3" authorId="0" shapeId="0" xr:uid="{00000000-0006-0000-0000-000003000000}">
      <text>
        <r>
          <rPr>
            <b/>
            <sz val="8"/>
            <color indexed="81"/>
            <rFont val="Tahoma"/>
            <family val="2"/>
          </rPr>
          <t xml:space="preserve"> :ProCost</t>
        </r>
        <r>
          <rPr>
            <sz val="8"/>
            <color indexed="81"/>
            <rFont val="Tahoma"/>
            <family val="2"/>
          </rPr>
          <t xml:space="preserve">
Physical life of the measure in years.  Must be &gt;=1.</t>
        </r>
      </text>
    </comment>
    <comment ref="M3" authorId="0" shapeId="0" xr:uid="{00000000-0006-0000-0000-000004000000}">
      <text>
        <r>
          <rPr>
            <b/>
            <sz val="8"/>
            <color indexed="81"/>
            <rFont val="Tahoma"/>
            <family val="2"/>
          </rPr>
          <t xml:space="preserve"> :ProCost</t>
        </r>
        <r>
          <rPr>
            <sz val="8"/>
            <color indexed="81"/>
            <rFont val="Tahoma"/>
            <family val="2"/>
          </rPr>
          <t xml:space="preserve">
Initial cost to install the measure in dollars.  Costs are incremental to the baseline alternative.
Dollars must be denominated in the same year as 'Input Cost Reference Year' input on the ProData page.</t>
        </r>
      </text>
    </comment>
    <comment ref="N3" authorId="0" shapeId="0" xr:uid="{00000000-0006-0000-0000-000005000000}">
      <text>
        <r>
          <rPr>
            <b/>
            <sz val="8"/>
            <color indexed="81"/>
            <rFont val="Tahoma"/>
            <family val="2"/>
          </rPr>
          <t xml:space="preserve"> :ProCost</t>
        </r>
        <r>
          <rPr>
            <sz val="8"/>
            <color indexed="81"/>
            <rFont val="Tahoma"/>
            <family val="2"/>
          </rPr>
          <t xml:space="preserve">
Annual operations and maintenance cost for the measure in dollars.  Must be incremental cost over the baseline alternative.  May be positive, negative or zero.  
Dollars must be denominated in the same year as 'Input Cost Reference Year' input on the ProData page. 
O&amp;M costs are entered as positive values.    Negative values represent O&amp;M savings compared to the baseline alternative. 
Example:  Annualized maintenance cost for a heat pump heating system compared to a baseline electric resistance  heating system.
</t>
        </r>
      </text>
    </comment>
    <comment ref="O3" authorId="0" shapeId="0" xr:uid="{00000000-0006-0000-0000-000006000000}">
      <text>
        <r>
          <rPr>
            <b/>
            <sz val="8"/>
            <color indexed="81"/>
            <rFont val="Tahoma"/>
            <family val="2"/>
          </rPr>
          <t xml:space="preserve"> :ProCost</t>
        </r>
        <r>
          <rPr>
            <sz val="8"/>
            <color indexed="81"/>
            <rFont val="Tahoma"/>
            <family val="2"/>
          </rPr>
          <t xml:space="preserve">
Name of the pointer to the shape of the savings.  
The shapes represent the daily and monthly shape of the savings in four time segments for each month of the year.  Shape of the savings is relative to the baseline alternative.
These shapes are in the MC_AND_Loadshape file.   
</t>
        </r>
      </text>
    </comment>
    <comment ref="P3" authorId="0" shapeId="0" xr:uid="{00000000-0006-0000-0000-000007000000}">
      <text>
        <r>
          <rPr>
            <b/>
            <sz val="8"/>
            <color indexed="81"/>
            <rFont val="Tahoma"/>
            <family val="2"/>
          </rPr>
          <t xml:space="preserve"> :ProCost</t>
        </r>
        <r>
          <rPr>
            <sz val="8"/>
            <color indexed="81"/>
            <rFont val="Tahoma"/>
            <family val="2"/>
          </rPr>
          <t xml:space="preserve">
Annual value of any non-energy benefits of the measure, relative to the baseline alternative.  
Expressed in dollars per year and denominated in dollars of the 'Cost Reference Year'.
Positive value represents dollar savings.  Negative value represents dollar cost.
Example:  Water, detergent and sewer savings from efficient clothes washer.</t>
        </r>
      </text>
    </comment>
    <comment ref="X3" authorId="0" shapeId="0" xr:uid="{00000000-0006-0000-0000-000008000000}">
      <text>
        <r>
          <rPr>
            <b/>
            <sz val="8"/>
            <color indexed="81"/>
            <rFont val="Tahoma"/>
            <family val="2"/>
          </rPr>
          <t xml:space="preserve"> :</t>
        </r>
        <r>
          <rPr>
            <sz val="8"/>
            <color indexed="81"/>
            <rFont val="Tahoma"/>
            <family val="2"/>
          </rPr>
          <t xml:space="preserve">
Cost in dollars that is incurred  for Period 1.  Positive value if cost.  Negative value if savings.
Dollars must be denominated in the same year as 'Input Cost Reference Year' input on the ProData page.</t>
        </r>
      </text>
    </comment>
    <comment ref="Y3" authorId="0" shapeId="0" xr:uid="{00000000-0006-0000-0000-000009000000}">
      <text>
        <r>
          <rPr>
            <b/>
            <sz val="8"/>
            <color indexed="81"/>
            <rFont val="Tahoma"/>
            <family val="2"/>
          </rPr>
          <t xml:space="preserve"> :ProCost</t>
        </r>
        <r>
          <rPr>
            <sz val="8"/>
            <color indexed="81"/>
            <rFont val="Tahoma"/>
            <family val="2"/>
          </rPr>
          <t xml:space="preserve">
Duration of Period1.  The time at which  Period 1 costs, or savings, occur.  
In years.</t>
        </r>
      </text>
    </comment>
    <comment ref="Z3" authorId="0" shapeId="0" xr:uid="{00000000-0006-0000-0000-00000A000000}">
      <text>
        <r>
          <rPr>
            <b/>
            <sz val="8"/>
            <color indexed="81"/>
            <rFont val="Tahoma"/>
            <family val="2"/>
          </rPr>
          <t xml:space="preserve"> :</t>
        </r>
        <r>
          <rPr>
            <sz val="8"/>
            <color indexed="81"/>
            <rFont val="Tahoma"/>
            <family val="2"/>
          </rPr>
          <t xml:space="preserve">
Cost in dollars that is incurred  for Period 2  Positive value if cost.  Negative value if savings.
Dollars must be denominated in the same year as 'Input Cost Reference Year' input on the ProData page.</t>
        </r>
      </text>
    </comment>
    <comment ref="AA3" authorId="0" shapeId="0" xr:uid="{00000000-0006-0000-0000-00000B000000}">
      <text>
        <r>
          <rPr>
            <b/>
            <sz val="8"/>
            <color indexed="81"/>
            <rFont val="Tahoma"/>
            <family val="2"/>
          </rPr>
          <t xml:space="preserve"> :ProCost</t>
        </r>
        <r>
          <rPr>
            <sz val="8"/>
            <color indexed="81"/>
            <rFont val="Tahoma"/>
            <family val="2"/>
          </rPr>
          <t xml:space="preserve">
Duration of Period 2.  The time at which  Period 2 costs, or savings, occur.  
In years.</t>
        </r>
      </text>
    </comment>
    <comment ref="AB3" authorId="0" shapeId="0" xr:uid="{00000000-0006-0000-0000-00000C000000}">
      <text>
        <r>
          <rPr>
            <b/>
            <sz val="8"/>
            <color indexed="81"/>
            <rFont val="Tahoma"/>
            <family val="2"/>
          </rPr>
          <t xml:space="preserve"> :</t>
        </r>
        <r>
          <rPr>
            <sz val="8"/>
            <color indexed="81"/>
            <rFont val="Tahoma"/>
            <family val="2"/>
          </rPr>
          <t xml:space="preserve">
Cost in dollars that is incurred  for Period 3.  Positive value if cost.  Negative value if savings.
Dollars must be denominated in the same year as 'Input Cost Reference Year' input on the ProData page.</t>
        </r>
      </text>
    </comment>
    <comment ref="AC3" authorId="0" shapeId="0" xr:uid="{00000000-0006-0000-0000-00000D000000}">
      <text>
        <r>
          <rPr>
            <b/>
            <sz val="8"/>
            <color indexed="81"/>
            <rFont val="Tahoma"/>
            <family val="2"/>
          </rPr>
          <t xml:space="preserve"> :ProCost</t>
        </r>
        <r>
          <rPr>
            <sz val="8"/>
            <color indexed="81"/>
            <rFont val="Tahoma"/>
            <family val="2"/>
          </rPr>
          <t xml:space="preserve">
Duration of Period 3.  The time at which  Period 3 costs, or savings, occur.  
In years.</t>
        </r>
      </text>
    </comment>
    <comment ref="AD3" authorId="0" shapeId="0" xr:uid="{00000000-0006-0000-0000-00000E000000}">
      <text>
        <r>
          <rPr>
            <b/>
            <sz val="8"/>
            <color indexed="81"/>
            <rFont val="Tahoma"/>
            <family val="2"/>
          </rPr>
          <t xml:space="preserve"> :</t>
        </r>
        <r>
          <rPr>
            <sz val="8"/>
            <color indexed="81"/>
            <rFont val="Tahoma"/>
            <family val="2"/>
          </rPr>
          <t xml:space="preserve">
Annual gas savings, or increases, in therms.</t>
        </r>
      </text>
    </comment>
    <comment ref="AE3" authorId="0" shapeId="0" xr:uid="{00000000-0006-0000-0000-00000F000000}">
      <text>
        <r>
          <rPr>
            <b/>
            <sz val="8"/>
            <color indexed="81"/>
            <rFont val="Tahoma"/>
            <family val="2"/>
          </rPr>
          <t xml:space="preserve"> :ProCost</t>
        </r>
        <r>
          <rPr>
            <sz val="8"/>
            <color indexed="81"/>
            <rFont val="Tahoma"/>
            <family val="2"/>
          </rPr>
          <t xml:space="preserve">
Name of the pointer to the shape of the savings.  
The shapes represent the daily and monthly shape of the savings in four time segments for each month of the year.  Shape of the savings is relative to the baseline alternative.
These shapes are in the MC_AND_Loadshape file.   
</t>
        </r>
      </text>
    </comment>
    <comment ref="O4" authorId="1" shapeId="0" xr:uid="{00000000-0006-0000-0000-00001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 authorId="1" shapeId="0" xr:uid="{00000000-0006-0000-0000-000011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 authorId="1" shapeId="0" xr:uid="{00000000-0006-0000-0000-00001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 authorId="1" shapeId="0" xr:uid="{00000000-0006-0000-0000-000013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6" authorId="1" shapeId="0" xr:uid="{00000000-0006-0000-0000-00001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 authorId="1" shapeId="0" xr:uid="{00000000-0006-0000-0000-000015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7" authorId="1" shapeId="0" xr:uid="{00000000-0006-0000-0000-00001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 authorId="1" shapeId="0" xr:uid="{00000000-0006-0000-0000-000017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8" authorId="1" shapeId="0" xr:uid="{00000000-0006-0000-0000-00001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 authorId="1" shapeId="0" xr:uid="{00000000-0006-0000-0000-000019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9" authorId="1" shapeId="0" xr:uid="{00000000-0006-0000-0000-00001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 authorId="1" shapeId="0" xr:uid="{00000000-0006-0000-0000-00001B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10" authorId="1" shapeId="0" xr:uid="{00000000-0006-0000-0000-00001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 authorId="1" shapeId="0" xr:uid="{00000000-0006-0000-0000-00001D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11" authorId="1" shapeId="0" xr:uid="{00000000-0006-0000-0000-00001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1" authorId="1" shapeId="0" xr:uid="{00000000-0006-0000-0000-00001F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12" authorId="1" shapeId="0" xr:uid="{00000000-0006-0000-0000-00002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2" authorId="1" shapeId="0" xr:uid="{00000000-0006-0000-0000-000021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13" authorId="1" shapeId="0" xr:uid="{00000000-0006-0000-0000-00002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3" authorId="1" shapeId="0" xr:uid="{00000000-0006-0000-0000-000023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14" authorId="1" shapeId="0" xr:uid="{00000000-0006-0000-0000-00002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4" authorId="1" shapeId="0" xr:uid="{00000000-0006-0000-0000-000025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15" authorId="1" shapeId="0" xr:uid="{00000000-0006-0000-0000-00002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5" authorId="1" shapeId="0" xr:uid="{00000000-0006-0000-0000-000027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16" authorId="1" shapeId="0" xr:uid="{00000000-0006-0000-0000-00002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6" authorId="1" shapeId="0" xr:uid="{00000000-0006-0000-0000-000029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17" authorId="1" shapeId="0" xr:uid="{00000000-0006-0000-0000-00002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7" authorId="1" shapeId="0" xr:uid="{00000000-0006-0000-0000-00002D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18" authorId="1" shapeId="0" xr:uid="{00000000-0006-0000-0000-00002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8" authorId="1" shapeId="0" xr:uid="{00000000-0006-0000-0000-00002F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19" authorId="1" shapeId="0" xr:uid="{00000000-0006-0000-0000-00003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9" authorId="1" shapeId="0" xr:uid="{00000000-0006-0000-0000-000031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0" authorId="1" shapeId="0" xr:uid="{00000000-0006-0000-0000-00003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0" authorId="1" shapeId="0" xr:uid="{00000000-0006-0000-0000-000033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1" authorId="1" shapeId="0" xr:uid="{00000000-0006-0000-0000-00003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1" authorId="1" shapeId="0" xr:uid="{00000000-0006-0000-0000-000035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2" authorId="1" shapeId="0" xr:uid="{00000000-0006-0000-0000-00003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2" authorId="1" shapeId="0" xr:uid="{00000000-0006-0000-0000-000037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3" authorId="1" shapeId="0" xr:uid="{00000000-0006-0000-0000-00003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3" authorId="1" shapeId="0" xr:uid="{00000000-0006-0000-0000-000039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4" authorId="1" shapeId="0" xr:uid="{00000000-0006-0000-0000-00003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4" authorId="1" shapeId="0" xr:uid="{00000000-0006-0000-0000-00003B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5" authorId="1" shapeId="0" xr:uid="{00000000-0006-0000-0000-00003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5" authorId="1" shapeId="0" xr:uid="{00000000-0006-0000-0000-00003D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6" authorId="1" shapeId="0" xr:uid="{00000000-0006-0000-0000-00003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6" authorId="1" shapeId="0" xr:uid="{00000000-0006-0000-0000-00003F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27" authorId="1" shapeId="0" xr:uid="{00000000-0006-0000-0000-00004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7" authorId="1" shapeId="0" xr:uid="{00000000-0006-0000-0000-000041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28" authorId="1" shapeId="0" xr:uid="{00000000-0006-0000-0000-00004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8" authorId="1" shapeId="0" xr:uid="{00000000-0006-0000-0000-000043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29" authorId="1" shapeId="0" xr:uid="{00000000-0006-0000-0000-00004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29" authorId="1" shapeId="0" xr:uid="{00000000-0006-0000-0000-000045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30" authorId="1" shapeId="0" xr:uid="{00000000-0006-0000-0000-00004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0" authorId="1" shapeId="0" xr:uid="{00000000-0006-0000-0000-000047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31" authorId="1" shapeId="0" xr:uid="{00000000-0006-0000-0000-00004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1" authorId="1" shapeId="0" xr:uid="{00000000-0006-0000-0000-00004B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32" authorId="1" shapeId="0" xr:uid="{00000000-0006-0000-0000-00004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2" authorId="1" shapeId="0" xr:uid="{00000000-0006-0000-0000-00004D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3" authorId="1" shapeId="0" xr:uid="{00000000-0006-0000-0000-00004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3" authorId="1" shapeId="0" xr:uid="{00000000-0006-0000-0000-00004F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4" authorId="1" shapeId="0" xr:uid="{00000000-0006-0000-0000-00005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4" authorId="1" shapeId="0" xr:uid="{00000000-0006-0000-0000-000051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5" authorId="1" shapeId="0" xr:uid="{00000000-0006-0000-0000-00005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5" authorId="1" shapeId="0" xr:uid="{00000000-0006-0000-0000-000053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6" authorId="1" shapeId="0" xr:uid="{00000000-0006-0000-0000-00005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6" authorId="1" shapeId="0" xr:uid="{00000000-0006-0000-0000-000055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7" authorId="1" shapeId="0" xr:uid="{00000000-0006-0000-0000-00005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7" authorId="1" shapeId="0" xr:uid="{00000000-0006-0000-0000-000057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8" authorId="1" shapeId="0" xr:uid="{00000000-0006-0000-0000-00005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8" authorId="1" shapeId="0" xr:uid="{00000000-0006-0000-0000-000059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39" authorId="1" shapeId="0" xr:uid="{00000000-0006-0000-0000-00005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39" authorId="1" shapeId="0" xr:uid="{00000000-0006-0000-0000-00005B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40" authorId="1" shapeId="0" xr:uid="{00000000-0006-0000-0000-00005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0" authorId="1" shapeId="0" xr:uid="{00000000-0006-0000-0000-00005D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41" authorId="1" shapeId="0" xr:uid="{00000000-0006-0000-0000-00005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1" authorId="1" shapeId="0" xr:uid="{00000000-0006-0000-0000-00005F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42" authorId="1" shapeId="0" xr:uid="{00000000-0006-0000-0000-00006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2" authorId="1" shapeId="0" xr:uid="{00000000-0006-0000-0000-000061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43" authorId="1" shapeId="0" xr:uid="{00000000-0006-0000-0000-00006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3" authorId="1" shapeId="0" xr:uid="{00000000-0006-0000-0000-000063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44" authorId="1" shapeId="0" xr:uid="{00000000-0006-0000-0000-00006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4" authorId="1" shapeId="0" xr:uid="{00000000-0006-0000-0000-000065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45" authorId="1" shapeId="0" xr:uid="{00000000-0006-0000-0000-00006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5" authorId="1" shapeId="0" xr:uid="{00000000-0006-0000-0000-000069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46" authorId="1" shapeId="0" xr:uid="{00000000-0006-0000-0000-00006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6" authorId="1" shapeId="0" xr:uid="{00000000-0006-0000-0000-00006B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47" authorId="1" shapeId="0" xr:uid="{00000000-0006-0000-0000-00006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7" authorId="1" shapeId="0" xr:uid="{00000000-0006-0000-0000-00006D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48" authorId="1" shapeId="0" xr:uid="{00000000-0006-0000-0000-00006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8" authorId="1" shapeId="0" xr:uid="{00000000-0006-0000-0000-00006F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49" authorId="1" shapeId="0" xr:uid="{00000000-0006-0000-0000-00007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49" authorId="1" shapeId="0" xr:uid="{00000000-0006-0000-0000-000071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0" authorId="1" shapeId="0" xr:uid="{00000000-0006-0000-0000-00007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0" authorId="1" shapeId="0" xr:uid="{00000000-0006-0000-0000-000073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1" authorId="1" shapeId="0" xr:uid="{00000000-0006-0000-0000-00007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1" authorId="1" shapeId="0" xr:uid="{00000000-0006-0000-0000-000075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2" authorId="1" shapeId="0" xr:uid="{00000000-0006-0000-0000-00007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2" authorId="1" shapeId="0" xr:uid="{00000000-0006-0000-0000-000077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3" authorId="1" shapeId="0" xr:uid="{00000000-0006-0000-0000-00007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3" authorId="1" shapeId="0" xr:uid="{00000000-0006-0000-0000-000079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4" authorId="1" shapeId="0" xr:uid="{00000000-0006-0000-0000-00007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4" authorId="1" shapeId="0" xr:uid="{00000000-0006-0000-0000-00007B000000}">
      <text>
        <r>
          <rPr>
            <sz val="9"/>
            <color indexed="81"/>
            <rFont val="Tahoma"/>
            <family val="2"/>
          </rPr>
          <t>Medium-High confidence in data and savings estimates. Measure recently updated and approved by RTF, set to Planning due to some uncertainty in energy savings. AEG feels confident in the individual hardware replacement measures.</t>
        </r>
      </text>
    </comment>
    <comment ref="O55" authorId="1" shapeId="0" xr:uid="{00000000-0006-0000-0000-00007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5" authorId="1" shapeId="0" xr:uid="{00000000-0006-0000-0000-00007D000000}">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56" authorId="1" shapeId="0" xr:uid="{00000000-0006-0000-0000-00007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6" authorId="1" shapeId="0" xr:uid="{54B87BF4-9E47-4B24-B8C9-9305CB7D3A68}">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57" authorId="1" shapeId="0" xr:uid="{00000000-0006-0000-0000-00008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7" authorId="1" shapeId="0" xr:uid="{DF0A30E1-2FF3-40EE-A121-D0C639A25324}">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58" authorId="1" shapeId="0" xr:uid="{00000000-0006-0000-0000-00008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8" authorId="1" shapeId="0" xr:uid="{3BBBBE55-E42B-4E2B-9A7F-443D4A350CFB}">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59" authorId="1" shapeId="0" xr:uid="{00000000-0006-0000-0000-00008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59" authorId="1" shapeId="0" xr:uid="{3278C4F0-AACD-4424-BEDF-87B9070D65D8}">
      <text>
        <r>
          <rPr>
            <sz val="9"/>
            <color indexed="81"/>
            <rFont val="Tahoma"/>
            <family val="2"/>
          </rPr>
          <t xml:space="preserve">Medium confidence in data and savings estimates. Measure recently updated and approved by RTF, set to Planning due to significant uncertainty in energy savings. While these estimates are quite usable, there is still research underway to improve the savings estimates and further define the applicability of MESA/LESA measures. </t>
        </r>
      </text>
    </comment>
    <comment ref="O60" authorId="1" shapeId="0" xr:uid="{00000000-0006-0000-0000-00008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0" authorId="1" shapeId="0" xr:uid="{00000000-0006-0000-0000-000089000000}">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1" authorId="1" shapeId="0" xr:uid="{00000000-0006-0000-0000-00008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1" authorId="1" shapeId="0" xr:uid="{BAFA5DEF-3999-4975-859A-588B04092E66}">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2" authorId="1" shapeId="0" xr:uid="{00000000-0006-0000-0000-00008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2" authorId="1" shapeId="0" xr:uid="{5521CAC0-5427-4923-AB6E-BEA9CCF937AE}">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3" authorId="1" shapeId="0" xr:uid="{00000000-0006-0000-0000-00009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3" authorId="1" shapeId="0" xr:uid="{8497CFB9-E3D2-4D2D-9974-FC7E178F1E72}">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4" authorId="1" shapeId="0" xr:uid="{00000000-0006-0000-0000-00009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4" authorId="1" shapeId="0" xr:uid="{909FEE5B-D960-40A6-AEE8-FB4A7E407D26}">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5" authorId="1" shapeId="0" xr:uid="{00000000-0006-0000-0000-00009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5" authorId="1" shapeId="0" xr:uid="{9FE21E05-773F-4530-AF1E-733FE25B5D71}">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6" authorId="1" shapeId="0" xr:uid="{00000000-0006-0000-0000-00009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6" authorId="1" shapeId="0" xr:uid="{F7CFFCD3-6880-444C-A1F4-41EF044C50AE}">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7" authorId="1" shapeId="0" xr:uid="{00000000-0006-0000-0000-00009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7" authorId="1" shapeId="0" xr:uid="{2BA19F83-AB76-49C5-9E1F-F3594DB9685D}">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8" authorId="1" shapeId="0" xr:uid="{00000000-0006-0000-0000-00009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8" authorId="1" shapeId="0" xr:uid="{CE7089EC-7257-4262-9AFF-779A49CD27D0}">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69" authorId="1" shapeId="0" xr:uid="{00000000-0006-0000-0000-0000A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69" authorId="1" shapeId="0" xr:uid="{A3B2C0CC-6429-4B84-A2D8-EEAFFE785A7A}">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0" authorId="1" shapeId="0" xr:uid="{00000000-0006-0000-0000-0000A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0" authorId="1" shapeId="0" xr:uid="{70BC386B-256A-4A2A-854E-2606B9715A04}">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1" authorId="1" shapeId="0" xr:uid="{00000000-0006-0000-0000-0000A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1" authorId="1" shapeId="0" xr:uid="{15DFF947-D67F-4812-86C1-81AB848E2A7C}">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2" authorId="1" shapeId="0" xr:uid="{00000000-0006-0000-0000-0000A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2" authorId="1" shapeId="0" xr:uid="{C6EB6488-337A-4643-8AE9-99105E6AF5CA}">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3" authorId="1" shapeId="0" xr:uid="{00000000-0006-0000-0000-0000A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3" authorId="1" shapeId="0" xr:uid="{A85F592C-32CE-4C61-8F4E-0B2B9CEA13C9}">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4" authorId="1" shapeId="0" xr:uid="{00000000-0006-0000-0000-0000A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4" authorId="1" shapeId="0" xr:uid="{06E97F1D-2B7B-4D45-805F-5198A28C63A8}">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5" authorId="1" shapeId="0" xr:uid="{00000000-0006-0000-0000-0000A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5" authorId="1" shapeId="0" xr:uid="{40F3169F-9D2E-44E5-9A91-2DB665B07BEE}">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6" authorId="1" shapeId="0" xr:uid="{73480E7C-7342-48D3-8561-5C6030CDFE7A}">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6" authorId="1" shapeId="0" xr:uid="{3A3BB98B-32ED-4755-814F-B3B7990E936F}">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7" authorId="1" shapeId="0" xr:uid="{8C49826F-771E-4244-98AA-7A2527DF89EF}">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7" authorId="1" shapeId="0" xr:uid="{C4EB8ABA-B18E-4092-8189-0E57505878C2}">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8" authorId="1" shapeId="0" xr:uid="{71BEE193-FE87-4ECB-89E6-D85001834873}">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8" authorId="1" shapeId="0" xr:uid="{C09F69AD-2E46-4368-86C9-017BF22F909D}">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79" authorId="1" shapeId="0" xr:uid="{4A3AFF52-AC61-4E67-8070-BFBC38E7B9F2}">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79" authorId="1" shapeId="0" xr:uid="{2985FE01-A287-4E0F-9A4A-E322296BFC44}">
      <text>
        <r>
          <rPr>
            <sz val="9"/>
            <color indexed="81"/>
            <rFont val="Tahoma"/>
            <family val="2"/>
          </rPr>
          <t>Medium to low confidence in data and savings estimates. Analysis relies on a number of assumptions (like constant flow rates, correctly controlled equipment, etc.) in order for the calculations to function. Costs are not based on actual project data, and only a small amount of data is available for the applicability and market analysis.</t>
        </r>
      </text>
    </comment>
    <comment ref="O80" authorId="1" shapeId="0" xr:uid="{00000000-0006-0000-0000-0000B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0" authorId="1" shapeId="0" xr:uid="{00000000-0006-0000-0000-0000B1000000}">
      <text>
        <r>
          <rPr>
            <sz val="9"/>
            <color indexed="81"/>
            <rFont val="Tahoma"/>
            <family val="2"/>
          </rPr>
          <t>Data quality for these measure impacts is very low; based on rough estimates from very few (mostly just one) custom projects in the region and a wide cost estimate range. Baseline is also not well defined, but AEG made the measure additive to the other irrigation system efficiency upgrade measures by basing it off the efficient case of the low pressure measures.</t>
        </r>
      </text>
    </comment>
    <comment ref="O81" authorId="1" shapeId="0" xr:uid="{00000000-0006-0000-0000-0000B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1" authorId="1" shapeId="0" xr:uid="{00000000-0006-0000-0000-0000B3000000}">
      <text>
        <r>
          <rPr>
            <sz val="9"/>
            <color indexed="81"/>
            <rFont val="Tahoma"/>
            <family val="2"/>
          </rPr>
          <t>Data quality for these measure impacts is very low; based on rough estimates from very few (mostly just one) custom projects in the region and a wide cost estimate range. Baseline is also not well defined, but AEG made the measure additive to the other irrigation system efficiency upgrade measures by basing it off the efficient case of the low pressure measures.</t>
        </r>
      </text>
    </comment>
    <comment ref="O82" authorId="1" shapeId="0" xr:uid="{00000000-0006-0000-0000-0000B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2" authorId="1" shapeId="0" xr:uid="{00000000-0006-0000-0000-0000B5000000}">
      <text>
        <r>
          <rPr>
            <sz val="9"/>
            <color indexed="81"/>
            <rFont val="Tahoma"/>
            <family val="2"/>
          </rPr>
          <t>Data quality for these measure impacts is very low; based on rough estimates from very few (mostly just one) custom projects in the region and a wide cost estimate range. Baseline is also not well defined, but AEG made the measure additive to the other irrigation system efficiency upgrade measures by basing it off the efficient case of the low pressure measures.</t>
        </r>
      </text>
    </comment>
    <comment ref="O83" authorId="1" shapeId="0" xr:uid="{00000000-0006-0000-0000-0000B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3" authorId="1" shapeId="0" xr:uid="{00000000-0006-0000-0000-0000B7000000}">
      <text>
        <r>
          <rPr>
            <sz val="9"/>
            <color indexed="81"/>
            <rFont val="Tahoma"/>
            <family val="2"/>
          </rPr>
          <t>Data quality for these measure impacts is very low; based on rough estimates from very few (mostly just one) custom projects in the region and a wide cost estimate range. Baseline is also not well defined, but AEG made the measure additive to the other irrigation system efficiency upgrade measures by basing it off the efficient case of the low pressure measures.</t>
        </r>
      </text>
    </comment>
    <comment ref="O84" authorId="1" shapeId="0" xr:uid="{00000000-0006-0000-0000-0000C0000000}">
      <text>
        <r>
          <rPr>
            <b/>
            <sz val="9"/>
            <color indexed="81"/>
            <rFont val="Tahoma"/>
            <family val="2"/>
          </rPr>
          <t xml:space="preserve">AEG:
</t>
        </r>
        <r>
          <rPr>
            <sz val="9"/>
            <color indexed="81"/>
            <rFont val="Tahoma"/>
            <family val="2"/>
          </rPr>
          <t>AEG concurs with the Cadmus recommendation: "Despite its poor rating, [Cadmus] recommends the RTF continue its use of the A-StockTank profile for this application due to the lack on an available alternative profile and the “small saver” status of the measure. Considering the profile is at least based on metering data and dependent on outdoor air temperature, it appears reasonable from visual perspective for energy usage. However, the measure clearly requires a savings shape and the profile is a usage profile. Capacity savings estimates are therefore likely overestimated... the priority of performing any additional analysis for this measure should remain low, considering the small saver status of the measure, the low regionwide potential, and the lack of available data to create a savings shape. "</t>
        </r>
      </text>
    </comment>
    <comment ref="AL84" authorId="1" shapeId="0" xr:uid="{9693206E-0A4B-4015-AB96-62CC980E83BB}">
      <text>
        <r>
          <rPr>
            <sz val="9"/>
            <color indexed="81"/>
            <rFont val="Tahoma"/>
            <family val="2"/>
          </rPr>
          <t>High confidence in data and savings estimates. Measure recently updated and approved by RTF until 2023, set to Small Saver. AEG adjustments did not significantly alter the analysis.</t>
        </r>
      </text>
    </comment>
    <comment ref="O85" authorId="1" shapeId="0" xr:uid="{00000000-0006-0000-0000-0000C2000000}">
      <text>
        <r>
          <rPr>
            <b/>
            <sz val="9"/>
            <color indexed="81"/>
            <rFont val="Tahoma"/>
            <family val="2"/>
          </rPr>
          <t xml:space="preserve">AEG:
</t>
        </r>
        <r>
          <rPr>
            <sz val="9"/>
            <color indexed="81"/>
            <rFont val="Tahoma"/>
            <family val="2"/>
          </rPr>
          <t>AEG concurs with the Cadmus recommendation: "Despite its poor rating, [Cadmus] recommends the RTF continue its use of the A-StockTank profile for this application due to the lack on an available alternative profile and the “small saver” status of the measure. Considering the profile is at least based on metering data and dependent on outdoor air temperature, it appears reasonable from visual perspective for energy usage. However, the measure clearly requires a savings shape and the profile is a usage profile. Capacity savings estimates are therefore likely overestimated... the priority of performing any additional analysis for this measure should remain low, considering the small saver status of the measure, the low regionwide potential, and the lack of available data to create a savings shape. "</t>
        </r>
      </text>
    </comment>
    <comment ref="AL85" authorId="1" shapeId="0" xr:uid="{E21D1BEA-A78A-40BD-B20C-42A82597B437}">
      <text>
        <r>
          <rPr>
            <sz val="9"/>
            <color indexed="81"/>
            <rFont val="Tahoma"/>
            <family val="2"/>
          </rPr>
          <t>High confidence in data and savings estimates. Measure recently updated and approved by RTF until 2023, set to Small Saver. AEG adjustments did not significantly alter the analysis.</t>
        </r>
      </text>
    </comment>
    <comment ref="O86" authorId="1" shapeId="0" xr:uid="{00000000-0006-0000-0000-0000C4000000}">
      <text>
        <r>
          <rPr>
            <b/>
            <sz val="9"/>
            <color indexed="81"/>
            <rFont val="Tahoma"/>
            <family val="2"/>
          </rPr>
          <t xml:space="preserve">AEG:
</t>
        </r>
        <r>
          <rPr>
            <sz val="9"/>
            <color indexed="81"/>
            <rFont val="Tahoma"/>
            <family val="2"/>
          </rPr>
          <t>AEG concurs with the Cadmus recommendation: "Despite its poor rating, [Cadmus] recommends the RTF continue its use of the A-StockTank profile for this application due to the lack on an available alternative profile and the “small saver” status of the measure. Considering the profile is at least based on metering data and dependent on outdoor air temperature, it appears reasonable from visual perspective for energy usage. However, the measure clearly requires a savings shape and the profile is a usage profile. Capacity savings estimates are therefore likely overestimated... the priority of performing any additional analysis for this measure should remain low, considering the small saver status of the measure, the low regionwide potential, and the lack of available data to create a savings shape. "</t>
        </r>
      </text>
    </comment>
    <comment ref="AL86" authorId="1" shapeId="0" xr:uid="{A2FF594C-BFA6-422A-82BB-A81CDCBC0DE8}">
      <text>
        <r>
          <rPr>
            <sz val="9"/>
            <color indexed="81"/>
            <rFont val="Tahoma"/>
            <family val="2"/>
          </rPr>
          <t>High confidence in data and savings estimates. Measure recently updated and approved by RTF until 2023, set to Small Saver. AEG adjustments did not significantly alter the analysis.</t>
        </r>
      </text>
    </comment>
    <comment ref="O87" authorId="1" shapeId="0" xr:uid="{00000000-0006-0000-0000-0000C6000000}">
      <text>
        <r>
          <rPr>
            <b/>
            <sz val="9"/>
            <color indexed="81"/>
            <rFont val="Tahoma"/>
            <family val="2"/>
          </rPr>
          <t xml:space="preserve">AEG:
</t>
        </r>
        <r>
          <rPr>
            <sz val="9"/>
            <color indexed="81"/>
            <rFont val="Tahoma"/>
            <family val="2"/>
          </rPr>
          <t>AEG concurs with the Cadmus recommendation: "Despite its poor rating, [Cadmus] recommends the RTF continue its use of the A-StockTank profile for this application due to the lack on an available alternative profile and the “small saver” status of the measure. Considering the profile is at least based on metering data and dependent on outdoor air temperature, it appears reasonable from visual perspective for energy usage. However, the measure clearly requires a savings shape and the profile is a usage profile. Capacity savings estimates are therefore likely overestimated... the priority of performing any additional analysis for this measure should remain low, considering the small saver status of the measure, the low regionwide potential, and the lack of available data to create a savings shape. "</t>
        </r>
      </text>
    </comment>
    <comment ref="AL87" authorId="1" shapeId="0" xr:uid="{5AA0E284-08B2-4A79-8E0E-D905FE897E37}">
      <text>
        <r>
          <rPr>
            <sz val="9"/>
            <color indexed="81"/>
            <rFont val="Tahoma"/>
            <family val="2"/>
          </rPr>
          <t>High confidence in data and savings estimates. Measure recently updated and approved by RTF until 2023, set to Small Saver. AEG adjustments did not significantly alter the analysis.</t>
        </r>
      </text>
    </comment>
    <comment ref="O88" authorId="1" shapeId="0" xr:uid="{00000000-0006-0000-0000-0000D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8" authorId="1" shapeId="0" xr:uid="{00000000-0006-0000-0000-0000D1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 but some additional adjustments have been suggested by AEG for better consistency with survey data. Changed quality estimate to medium high to reflect these recommendations.</t>
        </r>
      </text>
    </comment>
    <comment ref="O89" authorId="1" shapeId="0" xr:uid="{00000000-0006-0000-0000-0000D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89" authorId="1" shapeId="0" xr:uid="{00000000-0006-0000-0000-0000D3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0" authorId="1" shapeId="0" xr:uid="{00000000-0006-0000-0000-0000D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0" authorId="1" shapeId="0" xr:uid="{00000000-0006-0000-0000-0000D5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1" authorId="1" shapeId="0" xr:uid="{00000000-0006-0000-0000-0000D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1" authorId="1" shapeId="0" xr:uid="{00000000-0006-0000-0000-0000D7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2" authorId="1" shapeId="0" xr:uid="{00000000-0006-0000-0000-0000D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2" authorId="1" shapeId="0" xr:uid="{00000000-0006-0000-0000-0000D9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3" authorId="1" shapeId="0" xr:uid="{00000000-0006-0000-0000-0000D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3" authorId="1" shapeId="0" xr:uid="{00000000-0006-0000-0000-0000DB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4" authorId="1" shapeId="0" xr:uid="{00000000-0006-0000-0000-0000D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4" authorId="1" shapeId="0" xr:uid="{00000000-0006-0000-0000-0000DD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5" authorId="1" shapeId="0" xr:uid="{00000000-0006-0000-0000-0000D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5" authorId="1" shapeId="0" xr:uid="{00000000-0006-0000-0000-0000DF000000}">
      <text>
        <r>
          <rPr>
            <sz val="9"/>
            <color indexed="81"/>
            <rFont val="Tahoma"/>
            <family val="2"/>
          </rPr>
          <t>High confidence in data and savings estimates that have been developed with no significant improvements for quite some time. Measure recently updated and approved by RTF until 2022, set to Small Saver. AEG adjustments followed the approved 7th Plan methodology.</t>
        </r>
      </text>
    </comment>
    <comment ref="O96" authorId="1" shapeId="0" xr:uid="{00000000-0006-0000-0000-0000E0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6" authorId="1" shapeId="0" xr:uid="{00000000-0006-0000-0000-0000E1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97" authorId="1" shapeId="0" xr:uid="{00000000-0006-0000-0000-0000E2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7" authorId="1" shapeId="0" xr:uid="{00000000-0006-0000-0000-0000E3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98" authorId="1" shapeId="0" xr:uid="{00000000-0006-0000-0000-0000E4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8" authorId="1" shapeId="0" xr:uid="{00000000-0006-0000-0000-0000E5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99" authorId="1" shapeId="0" xr:uid="{00000000-0006-0000-0000-0000E6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99" authorId="1" shapeId="0" xr:uid="{00000000-0006-0000-0000-0000E7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0" authorId="1" shapeId="0" xr:uid="{00000000-0006-0000-0000-0000E8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0" authorId="1" shapeId="0" xr:uid="{00000000-0006-0000-0000-0000E9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1" authorId="1" shapeId="0" xr:uid="{00000000-0006-0000-0000-0000EA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1" authorId="1" shapeId="0" xr:uid="{00000000-0006-0000-0000-0000EB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2" authorId="1" shapeId="0" xr:uid="{00000000-0006-0000-0000-0000EC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2" authorId="1" shapeId="0" xr:uid="{00000000-0006-0000-0000-0000ED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3" authorId="1" shapeId="0" xr:uid="{00000000-0006-0000-0000-0000EE00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3" authorId="1" shapeId="0" xr:uid="{00000000-0006-0000-0000-0000EF00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4" authorId="1" shapeId="0" xr:uid="{00000000-0006-0000-0000-00000001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4" authorId="1" shapeId="0" xr:uid="{00000000-0006-0000-0000-00000101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5" authorId="1" shapeId="0" xr:uid="{00000000-0006-0000-0000-00000201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5" authorId="1" shapeId="0" xr:uid="{00000000-0006-0000-0000-00000301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6" authorId="1" shapeId="0" xr:uid="{00000000-0006-0000-0000-00000401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6" authorId="1" shapeId="0" xr:uid="{00000000-0006-0000-0000-00000501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7" authorId="1" shapeId="0" xr:uid="{00000000-0006-0000-0000-000006010000}">
      <text>
        <r>
          <rPr>
            <b/>
            <sz val="9"/>
            <color indexed="81"/>
            <rFont val="Tahoma"/>
            <family val="2"/>
          </rPr>
          <t xml:space="preserve">Based on AEG's preliminary findings, our recommendations (See draft Memo):
</t>
        </r>
        <r>
          <rPr>
            <sz val="9"/>
            <color indexed="81"/>
            <rFont val="Tahoma"/>
            <family val="2"/>
          </rPr>
          <t xml:space="preserve">1. Request and review load profile data from a representative sample of utilities and irrigation customers throughout the Northwest region on a periodic basis (e.g. as part of the development of each Power Plan) and update the irrigation load profile as needed.
2. Long-term load profile data suggest structural changes in irrigation loads over time, potentially due to efficiency changes in the equipment stock and operations. With these observations, as well as the knowledge that irrigation loads are weather/climate-dependent, additional weight should be considered for the vintage of load profiles when assessing their quality for prospective planning. 
</t>
        </r>
      </text>
    </comment>
    <comment ref="AL107" authorId="1" shapeId="0" xr:uid="{00000000-0006-0000-0000-000007010000}">
      <text>
        <r>
          <rPr>
            <sz val="9"/>
            <color indexed="81"/>
            <rFont val="Tahoma"/>
            <family val="2"/>
          </rPr>
          <t>Medium-High confidence in data and savings estimates that have been recently updated and approved by RTF as planning. AEG adjustments provided more generic averages for each state. Recommendations added to make estimates more specific to state and application.</t>
        </r>
      </text>
    </comment>
    <comment ref="O108" authorId="1" shapeId="0" xr:uid="{00000000-0006-0000-0000-000032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08" authorId="1" shapeId="0" xr:uid="{F166C897-DF50-42A0-AE6E-7FA0C3F46456}">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09" authorId="1" shapeId="0" xr:uid="{00000000-0006-0000-0000-000034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09" authorId="1" shapeId="0" xr:uid="{00000000-0006-0000-0000-000035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0" authorId="1" shapeId="0" xr:uid="{00000000-0006-0000-0000-000036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0" authorId="1" shapeId="0" xr:uid="{00000000-0006-0000-0000-000037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1" authorId="1" shapeId="0" xr:uid="{00000000-0006-0000-0000-000038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1" authorId="1" shapeId="0" xr:uid="{00000000-0006-0000-0000-000039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2" authorId="1" shapeId="0" xr:uid="{00000000-0006-0000-0000-00003A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2" authorId="1" shapeId="0" xr:uid="{00000000-0006-0000-0000-00003B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3" authorId="1" shapeId="0" xr:uid="{00000000-0006-0000-0000-00003C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3" authorId="1" shapeId="0" xr:uid="{00000000-0006-0000-0000-00003D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4" authorId="1" shapeId="0" xr:uid="{00000000-0006-0000-0000-00003E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4" authorId="1" shapeId="0" xr:uid="{00000000-0006-0000-0000-00003F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5" authorId="1" shapeId="0" xr:uid="{00000000-0006-0000-0000-000040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5" authorId="1" shapeId="0" xr:uid="{00000000-0006-0000-0000-000041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6" authorId="1" shapeId="0" xr:uid="{00000000-0006-0000-0000-000042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6" authorId="1" shapeId="0" xr:uid="{00000000-0006-0000-0000-000043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7" authorId="1" shapeId="0" xr:uid="{00000000-0006-0000-0000-000044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7" authorId="1" shapeId="0" xr:uid="{00000000-0006-0000-0000-000045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8" authorId="1" shapeId="0" xr:uid="{00000000-0006-0000-0000-000046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8" authorId="1" shapeId="0" xr:uid="{00000000-0006-0000-0000-000047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19" authorId="1" shapeId="0" xr:uid="{00000000-0006-0000-0000-000048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19" authorId="1" shapeId="0" xr:uid="{00000000-0006-0000-0000-000049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20" authorId="1" shapeId="0" xr:uid="{00000000-0006-0000-0000-00004A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0" authorId="1" shapeId="0" xr:uid="{00000000-0006-0000-0000-00004B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21" authorId="1" shapeId="0" xr:uid="{00000000-0006-0000-0000-00004C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1" authorId="1" shapeId="0" xr:uid="{00000000-0006-0000-0000-00004D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22" authorId="1" shapeId="0" xr:uid="{00000000-0006-0000-0000-00004E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2" authorId="1" shapeId="0" xr:uid="{00000000-0006-0000-0000-00004F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23" authorId="1" shapeId="0" xr:uid="{00000000-0006-0000-0000-000050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3" authorId="1" shapeId="0" xr:uid="{00000000-0006-0000-0000-000051010000}">
      <text>
        <r>
          <rPr>
            <sz val="9"/>
            <color indexed="81"/>
            <rFont val="Tahoma"/>
            <family val="2"/>
          </rPr>
          <t xml:space="preserve">Medium confidence in data and savings estimates. Project data that analysis is based on is very old, but is comparable to estimates from other sources. Data OK to use due to absence of more recent, region-specific data. </t>
        </r>
      </text>
    </comment>
    <comment ref="O124" authorId="1" shapeId="0" xr:uid="{00000000-0006-0000-0000-000052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4" authorId="1" shapeId="0" xr:uid="{00000000-0006-0000-0000-000053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25" authorId="1" shapeId="0" xr:uid="{00000000-0006-0000-0000-000054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5" authorId="1" shapeId="0" xr:uid="{00000000-0006-0000-0000-000055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26" authorId="1" shapeId="0" xr:uid="{00000000-0006-0000-0000-000056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6" authorId="1" shapeId="0" xr:uid="{00000000-0006-0000-0000-000057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27" authorId="1" shapeId="0" xr:uid="{00000000-0006-0000-0000-000058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7" authorId="1" shapeId="0" xr:uid="{00000000-0006-0000-0000-000059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28" authorId="1" shapeId="0" xr:uid="{00000000-0006-0000-0000-00005A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8" authorId="1" shapeId="0" xr:uid="{00000000-0006-0000-0000-00005B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29" authorId="1" shapeId="0" xr:uid="{00000000-0006-0000-0000-00005C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29" authorId="1" shapeId="0" xr:uid="{00000000-0006-0000-0000-00005D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0" authorId="1" shapeId="0" xr:uid="{00000000-0006-0000-0000-00005E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0" authorId="1" shapeId="0" xr:uid="{00000000-0006-0000-0000-00005F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1" authorId="1" shapeId="0" xr:uid="{00000000-0006-0000-0000-000060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1" authorId="1" shapeId="0" xr:uid="{00000000-0006-0000-0000-000061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2" authorId="1" shapeId="0" xr:uid="{00000000-0006-0000-0000-000062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2" authorId="1" shapeId="0" xr:uid="{00000000-0006-0000-0000-000063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3" authorId="1" shapeId="0" xr:uid="{00000000-0006-0000-0000-000064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3" authorId="1" shapeId="0" xr:uid="{00000000-0006-0000-0000-000065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4" authorId="1" shapeId="0" xr:uid="{00000000-0006-0000-0000-000066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4" authorId="1" shapeId="0" xr:uid="{00000000-0006-0000-0000-000067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5" authorId="1" shapeId="0" xr:uid="{00000000-0006-0000-0000-000068010000}">
      <text>
        <r>
          <rPr>
            <b/>
            <sz val="9"/>
            <color indexed="81"/>
            <rFont val="Tahoma"/>
            <family val="2"/>
          </rPr>
          <t xml:space="preserve">Based on AEG's preliminary findings, our recommendations (see Draft Memo): 
</t>
        </r>
        <r>
          <rPr>
            <sz val="9"/>
            <color indexed="81"/>
            <rFont val="Tahoma"/>
            <family val="2"/>
          </rPr>
          <t xml:space="preserve">1. The operations at the few dairies representing the largest portions of milk production skew toward larger facilities. Therefore, any electric-load-related potential analysis associated with dairy operations should account for this skew in any related planning assumptions and models. In the case of the Seventh Plan dairy load profile, the Council should consider upward revisions to its assumptions related to daily milking period duration, given that significant portions of the addressable electric load likely reflect longer milking periods. 
2. Request and review load profile data from a representative sample of utilities and dairy projects throughout the Northwest region on a periodic basis (e.g. as part of the development of each Power Plan) and update the dairy load profile as needed.
</t>
        </r>
      </text>
    </comment>
    <comment ref="AL135" authorId="1" shapeId="0" xr:uid="{00000000-0006-0000-0000-000069010000}">
      <text>
        <r>
          <rPr>
            <sz val="9"/>
            <color indexed="81"/>
            <rFont val="Tahoma"/>
            <family val="2"/>
          </rPr>
          <t>Medium confidence in data and savings estimates. Most of the project data that analysis is based on is very old and not very robust, but is comparable to estimates from other sources. More recent, region-specific data is encouraged.</t>
        </r>
      </text>
    </comment>
    <comment ref="O136" authorId="1" shapeId="0" xr:uid="{00000000-0006-0000-0000-00007A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36" authorId="1" shapeId="0" xr:uid="{00000000-0006-0000-0000-00007B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37" authorId="1" shapeId="0" xr:uid="{00000000-0006-0000-0000-00007C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37" authorId="1" shapeId="0" xr:uid="{00000000-0006-0000-0000-00007D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38" authorId="1" shapeId="0" xr:uid="{00000000-0006-0000-0000-00007E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38" authorId="1" shapeId="0" xr:uid="{00000000-0006-0000-0000-00007F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39" authorId="1" shapeId="0" xr:uid="{00000000-0006-0000-0000-000080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39" authorId="1" shapeId="0" xr:uid="{00000000-0006-0000-0000-000081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40" authorId="1" shapeId="0" xr:uid="{00000000-0006-0000-0000-000082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40" authorId="1" shapeId="0" xr:uid="{00000000-0006-0000-0000-000083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41" authorId="1" shapeId="0" xr:uid="{00000000-0006-0000-0000-000084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41" authorId="1" shapeId="0" xr:uid="{00000000-0006-0000-0000-000085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42" authorId="1" shapeId="0" xr:uid="{00000000-0006-0000-0000-000086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42" authorId="1" shapeId="0" xr:uid="{00000000-0006-0000-0000-000087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43" authorId="1" shapeId="0" xr:uid="{00000000-0006-0000-0000-000088010000}">
      <text>
        <r>
          <rPr>
            <b/>
            <sz val="9"/>
            <color indexed="81"/>
            <rFont val="Tahoma"/>
            <family val="2"/>
          </rPr>
          <t xml:space="preserve">AEG: </t>
        </r>
        <r>
          <rPr>
            <sz val="9"/>
            <color indexed="81"/>
            <rFont val="Tahoma"/>
            <family val="2"/>
          </rPr>
          <t xml:space="preserve">This seems to be focused on interior lighting during the day. Applicability to open-air dairies questionable. </t>
        </r>
      </text>
    </comment>
    <comment ref="AL143" authorId="1" shapeId="0" xr:uid="{00000000-0006-0000-0000-000089010000}">
      <text>
        <r>
          <rPr>
            <sz val="9"/>
            <color indexed="81"/>
            <rFont val="Tahoma"/>
            <family val="2"/>
          </rPr>
          <t xml:space="preserve">Since the incremental cost premium multiplier was sourced from interim data, the adjustment has a high uncertainty. However, the data is now much more recent (2015) than the original data used in the 7th Plan (2003) and should reflect more LED projects. More project detail is needed to see what exactly the data represents; region-specific data would be of great help. </t>
        </r>
      </text>
    </comment>
    <comment ref="O144" authorId="1" shapeId="0" xr:uid="{00000000-0006-0000-0000-00006A010000}">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4" authorId="1" shapeId="0" xr:uid="{00000000-0006-0000-0000-00006B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45" authorId="1" shapeId="0" xr:uid="{890CAE7F-6BFC-40C1-9B15-344E036528BD}">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5" authorId="1" shapeId="0" xr:uid="{00000000-0006-0000-0000-00006D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46" authorId="1" shapeId="0" xr:uid="{CB8260AF-C902-4A79-97C7-54EC05B02C70}">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6" authorId="1" shapeId="0" xr:uid="{00000000-0006-0000-0000-00006F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47" authorId="1" shapeId="0" xr:uid="{363A7DA9-6735-47EA-AD82-4CE574C9556A}">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7" authorId="1" shapeId="0" xr:uid="{00000000-0006-0000-0000-000071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48" authorId="1" shapeId="0" xr:uid="{16748431-BF4E-4697-BB40-1988D92403EC}">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8" authorId="1" shapeId="0" xr:uid="{00000000-0006-0000-0000-000073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49" authorId="1" shapeId="0" xr:uid="{33D2C104-BF9D-4BC3-AFDE-50E28EA4B3D7}">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49" authorId="1" shapeId="0" xr:uid="{00000000-0006-0000-0000-000075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50" authorId="1" shapeId="0" xr:uid="{6176214A-2710-40CB-91E1-2BD0700D6525}">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50" authorId="1" shapeId="0" xr:uid="{00000000-0006-0000-0000-000077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51" authorId="1" shapeId="0" xr:uid="{6E6BEDA9-E955-4D6A-BCE1-8B17210A9D79}">
      <text>
        <r>
          <rPr>
            <sz val="9"/>
            <color indexed="81"/>
            <rFont val="Tahoma"/>
            <family val="2"/>
          </rPr>
          <t>AEG recommends developing a schedule that takes both milking schedules and temperature into account; experts have indicated that fans only get turned on above 70/75 °F. Since fans are not only present in milking parlors but also feeding areas and stalls, the loadshape should be more sensitive to temperature and humidity fluctuations than the milking schedule. The loadshape pointers for the fan ventilation measures should be different from the dairy milking-based measures.</t>
        </r>
      </text>
    </comment>
    <comment ref="AL151" authorId="1" shapeId="0" xr:uid="{00000000-0006-0000-0000-000079010000}">
      <text>
        <r>
          <rPr>
            <sz val="9"/>
            <color indexed="81"/>
            <rFont val="Tahoma"/>
            <family val="2"/>
          </rPr>
          <t>Medium confidence in data and savings estimates. While the estimates are based on active and mostly recent sources, most sources overlap with each other (share assumptions) and do not provide region-specific data or parameters. A median estimate is used as a placeholder until more recent, region-specific data becomes available.</t>
        </r>
      </text>
    </comment>
    <comment ref="O152" authorId="1" shapeId="0" xr:uid="{00000000-0006-0000-0000-00008A010000}">
      <text>
        <r>
          <rPr>
            <b/>
            <sz val="9"/>
            <color indexed="81"/>
            <rFont val="Tahoma"/>
            <family val="2"/>
          </rPr>
          <t xml:space="preserve">AEG: </t>
        </r>
        <r>
          <rPr>
            <sz val="9"/>
            <color indexed="81"/>
            <rFont val="Tahoma"/>
            <family val="2"/>
          </rPr>
          <t xml:space="preserve">This shape pointer makes sense; nighttime operation, higher operation in winter and lower operation in summer. Small saver measure, looks good to go. </t>
        </r>
      </text>
    </comment>
    <comment ref="AL152" authorId="1" shapeId="0" xr:uid="{00000000-0006-0000-0000-00008B010000}">
      <text>
        <r>
          <rPr>
            <sz val="9"/>
            <color indexed="81"/>
            <rFont val="Tahoma"/>
            <family val="2"/>
          </rPr>
          <t xml:space="preserve">Medium-high confidence  in data and savings estimates. This is small saver, measure taken directly from RTF. </t>
        </r>
      </text>
    </comment>
    <comment ref="O153" authorId="1" shapeId="0" xr:uid="{00000000-0006-0000-0000-00008C010000}">
      <text>
        <r>
          <rPr>
            <b/>
            <sz val="9"/>
            <color indexed="81"/>
            <rFont val="Tahoma"/>
            <family val="2"/>
          </rPr>
          <t xml:space="preserve">AEG: </t>
        </r>
        <r>
          <rPr>
            <sz val="9"/>
            <color indexed="81"/>
            <rFont val="Tahoma"/>
            <family val="2"/>
          </rPr>
          <t xml:space="preserve">This shape pointer makes sense; nighttime operation, higher operation in winter and lower operation in summer. Small saver measure, looks good to go. </t>
        </r>
      </text>
    </comment>
    <comment ref="AL153" authorId="1" shapeId="0" xr:uid="{00000000-0006-0000-0000-00008D010000}">
      <text>
        <r>
          <rPr>
            <sz val="9"/>
            <color indexed="81"/>
            <rFont val="Tahoma"/>
            <family val="2"/>
          </rPr>
          <t xml:space="preserve">Medium-high confidence  in data and savings estimates. This is small saver, measure taken directly from RTF. </t>
        </r>
      </text>
    </comment>
    <comment ref="O154" authorId="1" shapeId="0" xr:uid="{00000000-0006-0000-0000-00008E010000}">
      <text>
        <r>
          <rPr>
            <b/>
            <sz val="9"/>
            <color indexed="81"/>
            <rFont val="Tahoma"/>
            <family val="2"/>
          </rPr>
          <t xml:space="preserve">AEG: </t>
        </r>
        <r>
          <rPr>
            <sz val="9"/>
            <color indexed="81"/>
            <rFont val="Tahoma"/>
            <family val="2"/>
          </rPr>
          <t xml:space="preserve">This shape pointer makes sense; nighttime operation, higher operation in winter and lower operation in summer. Small saver measure, looks good to go. </t>
        </r>
      </text>
    </comment>
    <comment ref="AL154" authorId="1" shapeId="0" xr:uid="{00000000-0006-0000-0000-00008F010000}">
      <text>
        <r>
          <rPr>
            <sz val="9"/>
            <color indexed="81"/>
            <rFont val="Tahoma"/>
            <family val="2"/>
          </rPr>
          <t xml:space="preserve">Medium-high confidence  in data and savings estimates. This is small saver, measure taken directly from RTF. </t>
        </r>
      </text>
    </comment>
    <comment ref="O155" authorId="1" shapeId="0" xr:uid="{00000000-0006-0000-0000-000090010000}">
      <text>
        <r>
          <rPr>
            <b/>
            <sz val="9"/>
            <color indexed="81"/>
            <rFont val="Tahoma"/>
            <family val="2"/>
          </rPr>
          <t xml:space="preserve">AEG: </t>
        </r>
        <r>
          <rPr>
            <sz val="9"/>
            <color indexed="81"/>
            <rFont val="Tahoma"/>
            <family val="2"/>
          </rPr>
          <t xml:space="preserve">This shape pointer makes sense; nighttime operation, higher operation in winter and lower operation in summer. Small saver measure, looks good to go. </t>
        </r>
      </text>
    </comment>
    <comment ref="AL155" authorId="1" shapeId="0" xr:uid="{00000000-0006-0000-0000-000091010000}">
      <text>
        <r>
          <rPr>
            <sz val="9"/>
            <color indexed="81"/>
            <rFont val="Tahoma"/>
            <family val="2"/>
          </rPr>
          <t xml:space="preserve">Medium-high confidence  in data and savings estimates. This is small saver, measure taken directly from RTF. </t>
        </r>
      </text>
    </comment>
    <comment ref="O156" authorId="1" shapeId="0" xr:uid="{00000000-0006-0000-0000-000022010000}">
      <text>
        <r>
          <rPr>
            <b/>
            <sz val="9"/>
            <color indexed="81"/>
            <rFont val="Tahoma"/>
            <family val="2"/>
          </rPr>
          <t>AEG:</t>
        </r>
        <r>
          <rPr>
            <sz val="9"/>
            <color indexed="81"/>
            <rFont val="Tahoma"/>
            <family val="2"/>
          </rPr>
          <t xml:space="preserve">
Emergency backup generators must be ready to start at a moment's notice in order to provide continuous support to critical loads and safety equipment.  To ensure that generators start quickly and reliably, a block heater is required to keep the generator block warm with a water-jacket temperature between 100 to 120 degrees F. This means that the block heater is always operating; AEG recommends starting with the "Flat-System" loadshape and adding seasonal variation to reflect increased consumption during colder months.</t>
        </r>
      </text>
    </comment>
    <comment ref="AL156" authorId="1" shapeId="0" xr:uid="{00000000-0006-0000-0000-000023010000}">
      <text>
        <r>
          <rPr>
            <sz val="9"/>
            <color indexed="81"/>
            <rFont val="Tahoma"/>
            <family val="2"/>
          </rPr>
          <t xml:space="preserve">Med-High confidence in data and savings estimates that have been applied to the PNW region using CalTF methodology and regressions. This approach is consistent with the draft (unreleased) version of the Idaho Power TRM and adjusted to PNW weather. Costs are badly referenced, and the shape pointer is inappropriate for the application. </t>
        </r>
      </text>
    </comment>
    <comment ref="O157" authorId="1" shapeId="0" xr:uid="{00000000-0006-0000-0000-000024010000}">
      <text>
        <r>
          <rPr>
            <b/>
            <sz val="9"/>
            <color indexed="81"/>
            <rFont val="Tahoma"/>
            <family val="2"/>
          </rPr>
          <t>AEG:</t>
        </r>
        <r>
          <rPr>
            <sz val="9"/>
            <color indexed="81"/>
            <rFont val="Tahoma"/>
            <family val="2"/>
          </rPr>
          <t xml:space="preserve">
Emergency backup generators must be ready to start at a moment's notice in order to provide continuous support to critical loads and safety equipment.  To ensure that generators start quickly and reliably, a block heater is required to keep the generator block warm with a water-jacket temperature between 100 to 120 degrees F. This means that the block heater is always operating; AEG recommends starting with the "Flat-System" loadshape and adding seasonal variation to reflect increased consumption during colder months.</t>
        </r>
      </text>
    </comment>
    <comment ref="AL157" authorId="1" shapeId="0" xr:uid="{00000000-0006-0000-0000-000025010000}">
      <text>
        <r>
          <rPr>
            <sz val="9"/>
            <color indexed="81"/>
            <rFont val="Tahoma"/>
            <family val="2"/>
          </rPr>
          <t xml:space="preserve">Med-High confidence in data and savings estimates that have been applied to the PNW region using CalTF methodology and regressions. This approach is consistent with the draft (unreleased) version of the Idaho Power TRM and adjusted to PNW weather. Costs are badly referenced, and the shape pointer is inappropriate for the application. </t>
        </r>
      </text>
    </comment>
    <comment ref="O158" authorId="1" shapeId="0" xr:uid="{00000000-0006-0000-0000-000026010000}">
      <text>
        <r>
          <rPr>
            <b/>
            <sz val="9"/>
            <color indexed="81"/>
            <rFont val="Tahoma"/>
            <family val="2"/>
          </rPr>
          <t>AEG:</t>
        </r>
        <r>
          <rPr>
            <sz val="9"/>
            <color indexed="81"/>
            <rFont val="Tahoma"/>
            <family val="2"/>
          </rPr>
          <t xml:space="preserve">
Emergency backup generators must be ready to start at a moment's notice in order to provide continuous support to critical loads and safety equipment.  To ensure that generators start quickly and reliably, a block heater is required to keep the generator block warm with a water-jacket temperature between 100 to 120 degrees F. This means that the block heater is always operating; AEG recommends starting with the "Flat-System" loadshape and adding seasonal variation to reflect increased consumption during colder months.</t>
        </r>
      </text>
    </comment>
    <comment ref="AL158" authorId="1" shapeId="0" xr:uid="{00000000-0006-0000-0000-000027010000}">
      <text>
        <r>
          <rPr>
            <sz val="9"/>
            <color indexed="81"/>
            <rFont val="Tahoma"/>
            <family val="2"/>
          </rPr>
          <t xml:space="preserve">Med-High confidence in data and savings estimates that have been applied to the PNW region using CalTF methodology and regressions. This approach is consistent with the draft (unreleased) version of the Idaho Power TRM and adjusted to PNW weather. Costs are badly referenced, and the shape pointer is inappropriate for the application. </t>
        </r>
      </text>
    </comment>
    <comment ref="O159" authorId="1" shapeId="0" xr:uid="{00000000-0006-0000-0000-000028010000}">
      <text>
        <r>
          <rPr>
            <b/>
            <sz val="9"/>
            <color indexed="81"/>
            <rFont val="Tahoma"/>
            <family val="2"/>
          </rPr>
          <t>AEG:</t>
        </r>
        <r>
          <rPr>
            <sz val="9"/>
            <color indexed="81"/>
            <rFont val="Tahoma"/>
            <family val="2"/>
          </rPr>
          <t xml:space="preserve">
Emergency backup generators must be ready to start at a moment's notice in order to provide continuous support to critical loads and safety equipment.  To ensure that generators start quickly and reliably, a block heater is required to keep the generator block warm with a water-jacket temperature between 100 to 120 degrees F. This means that the block heater is always operating; AEG recommends starting with the "Flat-System" loadshape and adding seasonal variation to reflect increased consumption during colder months.</t>
        </r>
      </text>
    </comment>
    <comment ref="AL159" authorId="1" shapeId="0" xr:uid="{00000000-0006-0000-0000-000029010000}">
      <text>
        <r>
          <rPr>
            <sz val="9"/>
            <color indexed="81"/>
            <rFont val="Tahoma"/>
            <family val="2"/>
          </rPr>
          <t xml:space="preserve">Med-High confidence in data and savings estimates that have been applied to the PNW region using CalTF methodology and regressions. This approach is consistent with the draft (unreleased) version of the Idaho Power TRM and adjusted to PNW weather. Costs are badly referenced, and the shape pointer is inappropriate for the application.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DVB</author>
  </authors>
  <commentList>
    <comment ref="B3" authorId="0" shapeId="0" xr:uid="{00000000-0006-0000-0100-000001000000}">
      <text>
        <r>
          <rPr>
            <sz val="9"/>
            <color indexed="81"/>
            <rFont val="Tahoma"/>
            <family val="2"/>
          </rPr>
          <t xml:space="preserve">Some measure names have attached prefixes in order to better group them together by application. </t>
        </r>
      </text>
    </comment>
    <comment ref="H3" authorId="0" shapeId="0" xr:uid="{00000000-0006-0000-0100-000002000000}">
      <text>
        <r>
          <rPr>
            <b/>
            <sz val="9"/>
            <color indexed="81"/>
            <rFont val="Tahoma"/>
            <family val="2"/>
          </rPr>
          <t>https://www.census.gov/cgi-bin/sssd/naics/naicsrch?chart_code=11&amp;search=2017%20NAICS%20Search</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DVB</author>
  </authors>
  <commentList>
    <comment ref="G21" authorId="0" shapeId="0" xr:uid="{955CC6E2-9653-4A70-8685-8E518DC4854F}">
      <text>
        <r>
          <rPr>
            <b/>
            <sz val="9"/>
            <color indexed="81"/>
            <rFont val="Tahoma"/>
            <family val="2"/>
          </rPr>
          <t xml:space="preserve">AEG:
</t>
        </r>
        <r>
          <rPr>
            <sz val="9"/>
            <color indexed="81"/>
            <rFont val="Tahoma"/>
            <family val="2"/>
          </rPr>
          <t>Some in Idaho (Pleasant Valley) are being converted back to wheel lines (Thunderbird) from pivots: 
Buchta believes pivots remain the best choice for sandy soils as they cover ground and put out water more quickly.  However, in heavy silt-loam soils common to Pleasant Valley, University of Idaho Extension irrigation specialist Howard Neibling said slower-applying wheel lines penetrate deeper, banking moisture for hot spells. Wheel lines can also push salts beneath plant root zones where they can't disrupt nutrient absorption.  Though Neibling doesn't foresee an industry wide shift back to wheel lines, he said they retain niches.</t>
        </r>
      </text>
    </comment>
    <comment ref="G22" authorId="0" shapeId="0" xr:uid="{BEEB883E-6843-4E9E-B01A-E90AA60FC8DD}">
      <text>
        <r>
          <rPr>
            <b/>
            <sz val="9"/>
            <color indexed="81"/>
            <rFont val="Tahoma"/>
            <family val="2"/>
          </rPr>
          <t xml:space="preserve">AEG:
</t>
        </r>
        <r>
          <rPr>
            <sz val="9"/>
            <color indexed="81"/>
            <rFont val="Tahoma"/>
            <family val="2"/>
          </rPr>
          <t>Some in Idaho (Pleasant Valley) are being converted back to wheel lines (Thunderbird) from pivots: 
Buchta believes pivots remain the best choice for sandy soils as they cover ground and put out water more quickly.  However, in heavy silt-loam soils common to Pleasant Valley, University of Idaho Extension irrigation specialist Howard Neibling said slower-applying wheel lines penetrate deeper, banking moisture for hot spells. Wheel lines can also push salts beneath plant root zones where they can't disrupt nutrient absorption.  Though Neibling doesn't foresee an industry wide shift back to wheel lines, he said they retain niches.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Tina Jayaweera</author>
  </authors>
  <commentList>
    <comment ref="B5" authorId="0" shapeId="0" xr:uid="{F7A1B8E3-1583-4382-9633-486064E8E9EF}">
      <text>
        <r>
          <rPr>
            <sz val="9"/>
            <color indexed="81"/>
            <rFont val="Tahoma"/>
            <family val="2"/>
          </rPr>
          <t xml:space="preserve">From 2017 Census of Ag, County Level data, Table 10
</t>
        </r>
      </text>
    </comment>
    <comment ref="E5" authorId="0" shapeId="0" xr:uid="{2C802325-E2C6-4914-817A-A895642194AF}">
      <text>
        <r>
          <rPr>
            <b/>
            <sz val="9"/>
            <color indexed="81"/>
            <rFont val="Tahoma"/>
            <family val="2"/>
          </rPr>
          <t>Tina Jayaweera:</t>
        </r>
        <r>
          <rPr>
            <sz val="9"/>
            <color indexed="81"/>
            <rFont val="Tahoma"/>
            <family val="2"/>
          </rPr>
          <t xml:space="preserve">
Only including those west or partially west of divide</t>
        </r>
      </text>
    </comment>
    <comment ref="F5" authorId="0" shapeId="0" xr:uid="{F4829F17-BF4C-410D-9E95-625487F6B840}">
      <text>
        <r>
          <rPr>
            <sz val="9"/>
            <color indexed="81"/>
            <rFont val="Tahoma"/>
            <family val="2"/>
          </rPr>
          <t xml:space="preserve">From 2017 Census of Ag, County Level data, Table 10
</t>
        </r>
      </text>
    </comment>
    <comment ref="J5" authorId="0" shapeId="0" xr:uid="{DF24B4FC-0E39-455C-8F7F-44CCD6AF7BEC}">
      <text>
        <r>
          <rPr>
            <sz val="9"/>
            <color indexed="81"/>
            <rFont val="Tahoma"/>
            <family val="2"/>
          </rPr>
          <t xml:space="preserve">From 2017 Census of Ag, County Level data, Table 10
</t>
        </r>
      </text>
    </comment>
    <comment ref="N5" authorId="0" shapeId="0" xr:uid="{6AF5BC03-1EFD-4DD4-A6D0-7D2C57075BD8}">
      <text>
        <r>
          <rPr>
            <sz val="9"/>
            <color indexed="81"/>
            <rFont val="Tahoma"/>
            <family val="2"/>
          </rPr>
          <t xml:space="preserve">From 2017 Census of Ag, County Level data, Table 10
</t>
        </r>
      </text>
    </comment>
    <comment ref="Q5" authorId="0" shapeId="0" xr:uid="{D555EE26-72F7-43B3-9462-5C977317D20D}">
      <text>
        <r>
          <rPr>
            <b/>
            <sz val="9"/>
            <color indexed="81"/>
            <rFont val="Tahoma"/>
            <family val="2"/>
          </rPr>
          <t>Tina Jayaweera:</t>
        </r>
        <r>
          <rPr>
            <sz val="9"/>
            <color indexed="81"/>
            <rFont val="Tahoma"/>
            <family val="2"/>
          </rPr>
          <t xml:space="preserve">
Only including those west or partially west of divide</t>
        </r>
      </text>
    </comment>
    <comment ref="R5" authorId="0" shapeId="0" xr:uid="{A7CA07C1-CEE9-4ED4-8543-BE438CE43FD2}">
      <text>
        <r>
          <rPr>
            <b/>
            <sz val="9"/>
            <color indexed="81"/>
            <rFont val="Tahoma"/>
            <family val="2"/>
          </rPr>
          <t>Tina Jayaweera:</t>
        </r>
        <r>
          <rPr>
            <sz val="9"/>
            <color indexed="81"/>
            <rFont val="Tahoma"/>
            <family val="2"/>
          </rPr>
          <t xml:space="preserve">
too many counties missing data on # of cows, so using # of farms</t>
        </r>
      </text>
    </comment>
    <comment ref="B12" authorId="0" shapeId="0" xr:uid="{19CBE623-6D86-4236-9BA1-3A5A23FC8FCD}">
      <text>
        <r>
          <rPr>
            <b/>
            <sz val="9"/>
            <color indexed="81"/>
            <rFont val="Tahoma"/>
            <family val="2"/>
          </rPr>
          <t>Tina Jayaweera:</t>
        </r>
        <r>
          <rPr>
            <sz val="9"/>
            <color indexed="81"/>
            <rFont val="Tahoma"/>
            <family val="2"/>
          </rPr>
          <t xml:space="preserve">
Not updated from 2012 as 2017 data is not updated</t>
        </r>
      </text>
    </comment>
  </commentList>
</comments>
</file>

<file path=xl/sharedStrings.xml><?xml version="1.0" encoding="utf-8"?>
<sst xmlns="http://schemas.openxmlformats.org/spreadsheetml/2006/main" count="2505" uniqueCount="560">
  <si>
    <t>End Use</t>
  </si>
  <si>
    <t>Category Name</t>
  </si>
  <si>
    <t>Measure Application</t>
  </si>
  <si>
    <t>Savings Component</t>
  </si>
  <si>
    <t>Savings for Period 1</t>
  </si>
  <si>
    <t>Measure Life</t>
  </si>
  <si>
    <t>Annual O&amp;M</t>
  </si>
  <si>
    <t>Shape Pointer</t>
  </si>
  <si>
    <t>Non-E Val ($/yr)</t>
  </si>
  <si>
    <t>Cost A</t>
  </si>
  <si>
    <t>Replacement Period A (yrs)</t>
  </si>
  <si>
    <t>Cost B</t>
  </si>
  <si>
    <t>Replacement Period B (yrs)</t>
  </si>
  <si>
    <t>Cost C</t>
  </si>
  <si>
    <t>Replacement Period C (yrs)</t>
  </si>
  <si>
    <t>Savings (therms/yr)</t>
  </si>
  <si>
    <t>Savings for Period 2 (kWh/yr)</t>
  </si>
  <si>
    <t>Length of Period 1 (yrs)</t>
  </si>
  <si>
    <t>Base Case Cost at Start of Period 2 ($)</t>
  </si>
  <si>
    <t>Geography</t>
  </si>
  <si>
    <t>Unit of Measure</t>
  </si>
  <si>
    <t>per acre</t>
  </si>
  <si>
    <t>Idaho</t>
  </si>
  <si>
    <t>Washington</t>
  </si>
  <si>
    <t>Oregon</t>
  </si>
  <si>
    <t>Montana</t>
  </si>
  <si>
    <t>Sprinkler Replacement</t>
  </si>
  <si>
    <t>Gasket Replacement</t>
  </si>
  <si>
    <t>Drain Replacement</t>
  </si>
  <si>
    <t>Line Repairs</t>
  </si>
  <si>
    <t>Hub Replacement</t>
  </si>
  <si>
    <t>Leveler Rebuild</t>
  </si>
  <si>
    <t>Nozzle Replacement</t>
  </si>
  <si>
    <t>Hardware</t>
  </si>
  <si>
    <t>Irrigation</t>
  </si>
  <si>
    <t>System Replacement</t>
  </si>
  <si>
    <t>System Upgrade</t>
  </si>
  <si>
    <t>Yes</t>
  </si>
  <si>
    <t>Notes</t>
  </si>
  <si>
    <t>Measure Description</t>
  </si>
  <si>
    <t>This measure estimates energy savings resulting from improved maintenance practices regarding the repair and replacement of impact sprinkler heads.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</si>
  <si>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repair of pipes.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</si>
  <si>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repair and replacement of levelers that keep sprinklers upright in a linear movement system.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</si>
  <si>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sprinkler nozzles.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</si>
  <si>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gaskets.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</si>
  <si>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drains. A drain is located adjacent to each sprinkler and automatically empties the lateral pipeline when water pressure drops off.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</si>
  <si>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hub gaskets.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</si>
  <si>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base boot gaskets in center pivot/linear move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</si>
  <si>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estimates energy savings resulting from improved maintenance practices regarding the replacement of tower gaskets in center pivot/linear move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</si>
  <si>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 xml:space="preserve">High-pressure impact sprinklers on center-pivot/linear move or wheel-line irrigation systems spread water over a large radius and allow for more time for the water to infiltrate the soil as the sprinkler passes. However, a large amount of water is lost to wind drift and evaporation, reducing the application efficiency as well as the irrigation uniformity. This measure covers savings stemming from high-pressure system replacement and redesign by increasing the irrigation uniformity of distribution. </t>
  </si>
  <si>
    <t xml:space="preserve">Low Elevation Spray Application (LESA) as well as Low Energy Precision Application (LEPA) technologies are modifications to the typical sprinkler head configuration on center-pivot/linear move or wheel-line irrigation systems. Both LESA and LEPA both apply water below the crop foliage, and LESA uses sprinkler/spray  heads positioned about a foot above the ground surface. LEPA, also known as Mobile Drip Irrigation (MDI), runs water directly on the soil surface by dragging the hoses on the ground (often with help of drag socks). Nozzle pressures can be regulated to as low 6 to 10-psig. Energy savings occur due to reduced water pressure and increased water application effectiveness (much less water is lost to wind drift and evaporation). This measure covers savings stemming from LESA to LESA system replacement and redesign by increasing the irrigation uniformity of distribution. </t>
  </si>
  <si>
    <t xml:space="preserve">Mid Elevation Spray Application (MESA) technology can be applied to center-pivot/linear move or wheel-line irrigation systems and competes with low-elevation spray application (LESA) as well as subsurface drip irrigation (SDI).  These sprinklers typically use 15-20 psi pressure regulators and thus need about 35-40 psi at the pivot point to operate properly. The smaller wetted radius doesn’t allow as much time for the water to infiltrate into the soil as the pivot passes. This measure covers savings stemming from MESA to MESA system replacement and redesign by increasing the irrigation uniformity of distribution. </t>
  </si>
  <si>
    <t xml:space="preserve">Mid Elevation Spray Application (MESA) technology can be applied to center-pivot/linear move or wheel-line irrigation systems and competes with low-elevation spray application (LESA) as well as subsurface drip irrigation (SDI).  These sprinklers typically use 15-20 psi pressure regulators and thus need about 35-40 psi at the pivot point to operate properly. The smaller wetted radius doesn’t allow as much time for the water to infiltrate into the soil as the pivot passes. Measures covers an upgrade from high pressure pivots/linear move systems (application efficiency improvement). </t>
  </si>
  <si>
    <t xml:space="preserve">Low Elevation Spray Application (LESA) as well as Low Energy Precision Application (LEPA) technologies are modifications to the typical sprinkler head configuration on center-pivot/linear move or wheel-line irrigation systems. Both LESA and LEPA both apply water below the crop foliage, and LESA uses sprinkler/spray  heads positioned about a foot above the ground surface. LEPA, also known as Mobile Drip Irrigation (MDI), runs water directly on the soil surface by dragging the hoses on the ground (often with help of drag socks). Nozzle pressures can be regulated to as low 6 to 10-psig. Energy savings occur due to reduced water pressure and increased water application effectiveness (much less water is lost to wind drift and evaporation). Measure covers upgrade from MESA (application efficiency improvement). </t>
  </si>
  <si>
    <t xml:space="preserve"> </t>
  </si>
  <si>
    <t>Heating System Improvements</t>
  </si>
  <si>
    <t>Process Heating</t>
  </si>
  <si>
    <t>Controls</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</si>
  <si>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</si>
  <si>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per stock tank</t>
  </si>
  <si>
    <t xml:space="preserve">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  </t>
  </si>
  <si>
    <t>Applicable NAICS Codes</t>
  </si>
  <si>
    <t>111 - Crop Production / 
112 - Animal Production and Aquaculture / 
113 - Forestry and Logging / 
115 - Support Activities for Agriculture and Forestry</t>
  </si>
  <si>
    <t>1111 - Oilseed and Grain Farming / 
1112 - Vegetable and Melon Farming / 
1113 - Fruit and Tree Nut Farming / 
1119 - Other Crop Farming</t>
  </si>
  <si>
    <t>Data Quality Indicator/Confidence in Impacts</t>
  </si>
  <si>
    <t>HIGH</t>
  </si>
  <si>
    <t>M-HIGH</t>
  </si>
  <si>
    <t>per pump</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</si>
  <si>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</si>
  <si>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Pump Efficiency Improvement</t>
  </si>
  <si>
    <t>Motors/Drives</t>
  </si>
  <si>
    <t>Motors</t>
  </si>
  <si>
    <t xml:space="preserve">This measure covers an improvement in pump efficiency from a constant speed baseline to a constant speed efficient case. In February of 2016, the US Department of Energy created a new rule and test procedure for pump systems (including pump controls if sold together). The new test procedure is based on the Hydraulic Institute's test procedure, and is used to rate pump systems with a Pump Energy Index (PEI), which provides a simpler and more consistent means to compute pump energy savings. DOE will require all pumps to be labeled by 2020. In parallel to this effort ACEEE's Extended Motor Product Labeling Initiative (EMPLI) is working toward the voluntary labeling of pump systems (similar to the PEI) in the near term. </t>
  </si>
  <si>
    <t xml:space="preserve">This measure covers an improvement in pump efficiency from a variable speed baseline to a variable speed efficient case. In February of 2016, the US Department of Energy created a new rule and test procedure for pump systems (including pump controls if sold together). The new test procedure is based on the Hydraulic Institute's test procedure, and is used to rate pump systems with a Pump Energy Index (PEI), which provides a simpler and more consistent means to compute pump energy savings. DOE will require all pumps to be labeled by 2020. In parallel to this effort ACEEE's Extended Motor Product Labeling Initiative (EMPLI) is working toward the voluntary labeling of pump systems (similar to the PEI) in the near term. </t>
  </si>
  <si>
    <t>Engine Block Heater Controls</t>
  </si>
  <si>
    <t>per heater</t>
  </si>
  <si>
    <t>MED</t>
  </si>
  <si>
    <t>1112 - Vegetable and Melon Farming</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</si>
  <si>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</si>
  <si>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Engine Block Heater Replacement</t>
  </si>
  <si>
    <t>Vintage</t>
  </si>
  <si>
    <t>#</t>
  </si>
  <si>
    <t>AEG Database of Energy Efficiency Measures (DEEM) Measure Name</t>
  </si>
  <si>
    <t>AEG Measure Category</t>
  </si>
  <si>
    <t>AEG Measure End Use</t>
  </si>
  <si>
    <t>Original 7th Plan/RTF or Synonymous Measure Name</t>
  </si>
  <si>
    <t>In 7th Plan?</t>
  </si>
  <si>
    <t>Applicable NAICS Code/Agricultural Segment</t>
  </si>
  <si>
    <t>Maintenance</t>
  </si>
  <si>
    <t>YES</t>
  </si>
  <si>
    <t>Replacement</t>
  </si>
  <si>
    <t>NO</t>
  </si>
  <si>
    <t>Scientific Irrigation Practices</t>
  </si>
  <si>
    <t>Irrigation Water Management - Scientific Irrigation Scheduling (SIS)</t>
  </si>
  <si>
    <t xml:space="preserve">An irrigation approach that uses soil moisture measurements, real-time weather information, and evapotranspiration modeling to minimize water applications while ensuring adequate irrigation for optimum crop production. Savings stem from more efficient use of resources and reduction in water use and pumping energy. </t>
  </si>
  <si>
    <t>Advanced Scientific Irrigation Practices</t>
  </si>
  <si>
    <t>Advanced Agricultural Decision Support System (AgriDSS)</t>
  </si>
  <si>
    <t xml:space="preserve">Site-specific crop management uses a variety of technologies to manage different parts of a field separately. Natural, inherent variability within fields means that mechanized farming could traditionally apply only crop treatments for “average” soil, nutrient, moisture, weed, and growth conditions [US Dept. of Agriculture]. Advanced practices use a decision support system consisting of precise global positioning combined with location-specific measurements—either in-field data collection (such as soil variables or pest occurrence) or remotely sensed data (such as from aircraft or satellites)— to quantify spatially variable field conditions and inform decisions on water, nutrient, and pesticide application. This measure could involve deficit irrigation practices. </t>
  </si>
  <si>
    <t>Irrigation System Commissioning</t>
  </si>
  <si>
    <t>Behavioral</t>
  </si>
  <si>
    <t>Center Pivot Commissioning</t>
  </si>
  <si>
    <t>This involves commissioning a center pivot or linear move system and likely includes two or more irrigation maintenance measures to improve system efficiency and distribution uniformity. An energy and/or leak audit would identify inefficiencies and energy savings opportunities in a center pivot/linear move irrigation system.</t>
  </si>
  <si>
    <t>Pumping System - Maintenance</t>
  </si>
  <si>
    <t>Inadequate maintenance can lower pump system efficiency, cause pumps to wear out more quickly, and increase pumping energy costs. The implementation of a pump system maintenance program will help to avoid these problems by keeping pumps running optimally.</t>
  </si>
  <si>
    <t>Pumping System - System Optimization</t>
  </si>
  <si>
    <t>A control method of optimizing use of existing VFDs to improve energy efficiency for irrigation systems using pressure feedback, which is especially useful in hilly terrain.</t>
  </si>
  <si>
    <t>Lighting</t>
  </si>
  <si>
    <t>Installation of a photocell-controlled LED lamp or fixture, including barn-type exterior lighting fixtures. Not applicable to street or roadway lighting.</t>
  </si>
  <si>
    <t xml:space="preserve">This measure entails the retrofitting of an onion or potato storage shed's ventilation fan, between 5 horsepower and 500 horsepower, with a Variable Frequency Drive (VFD). </t>
  </si>
  <si>
    <t>These measures encourage installation of high efficiency agricultural ventilation fans instead of standard efficiency fans.  These fans are box, panel, or basket fans and are sometimes designated as Low Volume High Speed (LVHS) to distinguish them from High Volume Low Speed (HVLS) fans. In Dairy facilities in hotter climates, these fans are primarily used to cool cows. They are often used in conjunction with water sprayers or misters to enhance evaporative cooling.</t>
  </si>
  <si>
    <t>Motors - Efficient Wind Machine</t>
  </si>
  <si>
    <t>Inversion Layer Fan</t>
  </si>
  <si>
    <t xml:space="preserve">During freezes on calm, clear nights in the spring (and autumn), the air layer near the ground is colder than the air aloft. This is known as a temperature inversion. Fans, or wind machines standing 30 feet high are angled downward to direct the warmer air down to the crop level to replace the cold air layer at the surface. This method can be effective when there are large temperature differences between air layers near the surface and those up higher. Replacing the motor of existing wind machines and applying appropriate controls (like variable speed drives) can save energy. </t>
  </si>
  <si>
    <t>1113 - Fruit and Tree Nut Farming</t>
  </si>
  <si>
    <t>Other Efficiency Improvement</t>
  </si>
  <si>
    <t>Refrigeration</t>
  </si>
  <si>
    <t>Plate Milk Pre-cooler</t>
  </si>
  <si>
    <t>11212 - Dairy Cattle and Milk Production /
11241 - Sheep Farming /
11242 - Goat Farming</t>
  </si>
  <si>
    <t>Milk Production</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</si>
  <si>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</si>
  <si>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Dairy - Automatic Milker Takeoffs</t>
  </si>
  <si>
    <t>Automatic milker takeoffs are installed on dairy milking vacuum pump systems and replace manual takeoffs. These devices shut off suction on the vacuum pump after a minimum flow rate is achieved. The vacuum pump must be equipped with a variable speed drive for this device to function properly.</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</si>
  <si>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</si>
  <si>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Dairy - Ultrasonic Tank Cleaning</t>
  </si>
  <si>
    <t>Miscellaneous</t>
  </si>
  <si>
    <t>Dairy Cleaning: Ultrasonic Tank Cleaning</t>
  </si>
  <si>
    <t>Chemical and pharmaceutical companies have long used solvents containing VOCs to clean tanks. Placing an ultrasonic transducer and a tubular resonator in a water-filled tank creates high- and low-pressure zones that cause tiny bubbles in the water. The bubbles grow to a particular diameter then violently implode, providing an intense scrubbing action on the surfaces of the tank.</t>
  </si>
  <si>
    <t>Refrigeration - Floating Head Pressure</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</si>
  <si>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</si>
  <si>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1121 - Cattle Ranching and Farming / 
1124 - Sheep and Goat Farming
1113 - Fruit and Tree Nut Farming
1125 - Aquaculture</t>
  </si>
  <si>
    <t>Refrigeration - Air-Cooled Condenser Retrofit</t>
  </si>
  <si>
    <t>Air-cooled condenser retrofits are often paired with floating head pressure (FHP) controls. Savings largely come from FHP, but additional savings come from replacement of groundwater pumping for condensing with air-cooled condensing.</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</si>
  <si>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</si>
  <si>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</si>
  <si>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Refrigeration - Water-Side Economizer</t>
  </si>
  <si>
    <t>Replacing pre-existing groundwater pre-cooling (and associated pumping) with a more efficient fluid cooler to provide milk pre-cooling. While groundwater pre-cooling achieves moderate heat extraction from the milk, higher groundwater temperatures require either more mechanical refrigeration load or higher pumping loads. Water-side economizers address the above issues, reduce the use of water in the cooling process, and improve the overall system efficiency. This has become an increasingly popular solution in data centers and is also applicable to milk refrigeration.</t>
  </si>
  <si>
    <t>Poultry - Energy Efficient Electric Brooders</t>
  </si>
  <si>
    <t>Space Heating</t>
  </si>
  <si>
    <t>Energy Efficient Electric Brooders (Replacing Gas Brooders)</t>
  </si>
  <si>
    <t>Chicks from day-old to 8 to 10 weeks of age, regardless of type, require a draft-free house with a source of supplementary heat (brooder). Electric brooders don't consume oxygen, so there is less of a chance of asphyxiation than exists with gas brooders.</t>
  </si>
  <si>
    <t>1123 - Poultry and Egg Production</t>
  </si>
  <si>
    <t>Hog/Pig - Creep Heating - Heating Pad Controller</t>
  </si>
  <si>
    <t>Creep heating in a farrowing facility is needed because temperatures needed by piglets are much higher than those needed for sows. By properly controlling the heating pad operation, energy waste and piglet mortality is reduced.</t>
  </si>
  <si>
    <t>1122 - Hog and Pig Farming</t>
  </si>
  <si>
    <t>Hog/Pig - Creep Heating - Creep Pad Replacement</t>
  </si>
  <si>
    <t>This measure replaces a heat lamp with a creep pad, which transfers energy much more effectively than radiation.</t>
  </si>
  <si>
    <t>Compressed Air - Equipment Upgrade</t>
  </si>
  <si>
    <t xml:space="preserve">There are numerous uses for a compressor in an agricultural setting, and most involve small or medium air compressors. Compressed air can be used to speed up work like tire inflation and pneumatic tools, or cleaning equipment and weeding. Dairy farms can also use compressed air to power milking machines (such as milker claw detachment unit), power flush systems to wash away animal waste, or use air pressure to power automatic stall and entry gates. Orchards can use air compressors to power sprayers to control diseases and insects. This measure is the replacement of existing air compressor equipment with more efficient and correctly sized compressors and motors in order to improve energy efficiency. </t>
  </si>
  <si>
    <t>Whole Facility Commissioning</t>
  </si>
  <si>
    <t>All</t>
  </si>
  <si>
    <t>Whole Farm Commissioning</t>
  </si>
  <si>
    <t>Whole facility (retro) commissioning is the process of improving the performance and energy efficiency of systems, equipment, and operations as a whole. This starts with an energy assessment, or audit, that identifies inefficiencies and energy savings opportunities. Major opportunities for whole facility improvement in agriculture include irrigation piping and pressure optimization or milking process improvement opportunities. This is a measure-package construct that would likely be more applicable to new construction and major renovations than existing facilities.</t>
  </si>
  <si>
    <t>Behavioral Programs</t>
  </si>
  <si>
    <t>Operational/Behavioral Programs</t>
  </si>
  <si>
    <t>This is a catch-all measure for all energy/water management information systems that target behavioral change. This could include real-time energy feedback, additional metering and benchmarking, the addition of energy/water information systems, business energy reports, building operator certification, and strategic energy management.</t>
  </si>
  <si>
    <t>Overhead Cooling with Efficient Mister Nozzles</t>
  </si>
  <si>
    <t>Cooling</t>
  </si>
  <si>
    <t>1113 - Fruit and Tree Nut Farming / 
1121 - Cattle Ranching and Farming / 
1122 - Hog and Pig Farming / 
1123 - Poultry and Egg Farming / 
1124 - Sheep and Goat Farming / 
1129 - Other Animal Production</t>
  </si>
  <si>
    <t>Irrigation Controller</t>
  </si>
  <si>
    <t xml:space="preserve">Energy and labor can be saved by installing irrigation controllers. These devices could be as simple as timers.  There are also more sophisticated and smarter irrigation controllers that use timers combined with soil moisture data. The input data would be different from SIS. </t>
  </si>
  <si>
    <t>per 1,000 lb milk</t>
  </si>
  <si>
    <t>per unit</t>
  </si>
  <si>
    <t>Dairy System Improvements</t>
  </si>
  <si>
    <t>Motors/Drives Controls</t>
  </si>
  <si>
    <t xml:space="preserve">HVAC </t>
  </si>
  <si>
    <t>HVAC System Improvements</t>
  </si>
  <si>
    <t>Ventilation System Improvements</t>
  </si>
  <si>
    <t>Motors/Drives Control Improvements (VFD)</t>
  </si>
  <si>
    <t>Heat Recovery Improvements</t>
  </si>
  <si>
    <t>Compressor Improvements</t>
  </si>
  <si>
    <t>Lamps/Ballasts/Fixtures</t>
  </si>
  <si>
    <t>Existing</t>
  </si>
  <si>
    <t xml:space="preserve">This measure involves the installation of a variable speed driven milk transfer pump. The measure saves energy by providing a steadier flow of milk through the pre-cooler, resulting in more effective pre-cooling of the milk. In a typical system, milk is collected in relatively small receiver tanks in the milking parlor that is filled up with milk that is then transferred with a single-speed pump through the pre-cooler to the refrigeration system. A typical cycle might only use the pump 1/4 of the time, and the high flow rate increases the temperature at which the milk leaves the pre-cooler while increasing the cooling load on the refrigeration system. By modulating the pump speed with demand via a VSD, the effectiveness of the pre-cooler is improved and the load on the refrigeration system is reduced. Requires pass-through pre-cooler to achieve savings. </t>
  </si>
  <si>
    <t>Automatic Milker Takeoffs</t>
  </si>
  <si>
    <t>A scroll compressor is a newer, more efficient style of compressor technology used in refrigeration equipment with fewer moving parts and higher reliability compared to a traditional hermetically sealed reciprocating compressor used for dairy milk refrigeration. A scroll compressor uses two concentric scrolls inserted one within the other; one scroll remains stationary as the other orbits around it. This movement draws gas into the compression chamber and moves it through successively smaller pockets formed by the scroll’s rotation, until it reaches maximum pressure at the center of the chamber. Once the required discharge pressure is achieved, the gas released through a discharge port in the fixed scroll. During each orbit, several pockets are compressed simultaneously, making the operation continuous.</t>
  </si>
  <si>
    <t>This measure involves installing energy efficient lighting in dairies.</t>
  </si>
  <si>
    <t>High volume low-speed (HVLS) ceiling fans are large (up to 24 ft. in diameter) fans that move large amounts of air at lower speeds, effectively mixing and circulating air within a given space to equalize temperature between ceiling and floor levels. In agricultural spaces like dairies, these fans provide an effective mechanism for cooling in the summer as well as reducing stratification of hot air in the winter. Air movement is essential to animal health, production and performance in agricultural facilities. Well-designed ventilation systems and fans will control temperature extremes, remove manure gases and odors, manage moisture levels and limit dust and dirt accumulation.</t>
  </si>
  <si>
    <t>This measure applies to replacing an existing thermo siphon heater on a backup generator with a circulating block heater and a smaller electric resistance heater. It is important to keep a backup generator warm when not in operation to allow for a quick startup and therefore provide the shortest break in electricity. 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</si>
  <si>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 xml:space="preserve">Last Revised by: </t>
  </si>
  <si>
    <t>ProCost Inputs</t>
  </si>
  <si>
    <t>Ag_Master Fields</t>
  </si>
  <si>
    <t>Column Key:</t>
  </si>
  <si>
    <t>Pressure Reduction</t>
  </si>
  <si>
    <t>System Conversion</t>
  </si>
  <si>
    <t>System Controls</t>
  </si>
  <si>
    <t>LOW</t>
  </si>
  <si>
    <t>111940 - Hay Farming</t>
  </si>
  <si>
    <t>1111 - Oilseed and Grain Farming / 
1112 - Vegetable and Melon Farming / 
1119 - Other Crop Farming</t>
  </si>
  <si>
    <t>While system upgrades like mid and low elevation spray application measures improve the water application efficiency, this in turn can also reduce the required pressure for a system that properly controls the pump. These pressure reduction measures provides an impact estimate for the pressure reduction portion of a well-designed system upgrade. Since pressure is not always reduced in a system upgrade, this measure is calculated separately.</t>
  </si>
  <si>
    <t>111 - Crop Production</t>
  </si>
  <si>
    <t>M-LOW</t>
  </si>
  <si>
    <t xml:space="preserve">Except for Minnesota CARD data, there were no other dairy and project-specific estimates that could be unitized by milk production and compared to the 2003 NYSERDA estimates used in the 7th Plan. AEG found expected trends in both datasets: costs and savings unitized per 1,000 lb were lower for larger herds (free stall, greater than 100 cows) than for smaller dairies (assumed as tie stall, less than 100 cows per the prior 7th Plan calculation for share of total milk production by dairy herd size). The 2003 NYSERDA study was deemed to be too old to provide representative for a quickly changing end use like lighting, so AEG recommends using the 2015 Minnesota CARD study data. To use this data, however, the project costs provided by MN CARD had to be changed to incremental costs. Since most of the non-midstream lighting is expected to be more high and low-bay lighting rather than general purpose lighting, AEG used cost estimates from a PG&amp;E work paper on high/low bay fixtures to generate a 54% cost premium for incremental cost. The Minnesota CARD data was then multiplied by this factor to reduce the full measure cost in this project to an incremental cost. The lifetime of the lighting measures was also reduced to 8 years, per the maximum lifetime in the  RTF non-residential midstream analysis and the BPA non-residential model. A more detailed agricultural lighting model is difficult to develop without appropriate market and saturation survey data; AEG recommends procuring more recent and region-specific project data. </t>
  </si>
  <si>
    <t>Exterior LED Area Light w/ New Photocell 20 - 29W</t>
  </si>
  <si>
    <t>Exterior LED Area Light w/ New Photocell 30 - 44W</t>
  </si>
  <si>
    <t>Exterior LED Area Light w/ New Photocell 45 - 59W</t>
  </si>
  <si>
    <t>Exterior LED Area Light w/ New Photocell 60 - 75W</t>
  </si>
  <si>
    <t>Pacific Northwest</t>
  </si>
  <si>
    <t>Variable Frequency Drive on Spud or Onion Shed Ventilation Fan</t>
  </si>
  <si>
    <t>This measure involves the ability of an irrigation system to apply different amounts of water to different areas of the field. There are two primary ways of doing this: variable speed irrigation (VSI) and variable rate irrigation (VRI). Variable speed irrigation does not require additional hardware on the pivot, but instead uses controls to slow down or speed up the pivot in different areas of the field, making it ideal for fields with multiple crops.  Due to the low applicability and  low interest in VSI, this measure is not included in this assessment. In variable rate irrigation (also called variable zone irrigation), the speed of the center pivot as well as the application rate along the pivot lateral can vary. The application rate along the lateral is usually varied by pulsing sprinklers on/off. Because additional hardware must be mounted on the pivot along with more sophisticated control technology, variable rate irrigation is much more expensive than variable speed irrigation. Although costs for VRI are unlikely to drop significantly, it is nevertheless a very promising advanced irrigation method.</t>
  </si>
  <si>
    <t>A milk pre-cooler, or plate cooler, is a heat exchanger installed in the milk line before the bulk tank. Groundwater from a well passes through the plate cooler in one direction and absorbs heat from the warm milk pumped through the plate cooler in the opposite direction. By pre-cooling milk utilizing a non-refrigerative source such as groundwater, compressor energy may be conserved. It is assumed that the warmed output water from the plate cooler is reused elsewhere on the farm for either general farm equipment washing or most likely for reuse as animal watering.</t>
  </si>
  <si>
    <t>AEG compared estimates from various TRMs (Idaho Power draft, Vermont, Wisconsin, Minnesota), project data from MN CARD, and two California IOU workpapers from PG&amp;E and SCE. All these except for Idaho Power and Vermont were easily unitized per 1,000 lb; AEG did not include these estimates in the final unitized estimates. The recommended unitized savings and costs were determined as a median of the estimates from compared data sources. No difference could be discerned between freestall and tie stall dairy configurations since no such granularity provided in the data; AEG recommends expanding across all dairy types and procuring more recent and region-specific project data.</t>
  </si>
  <si>
    <t xml:space="preserve">- AEG: There is a significant overlap with vacuum pump VSD which is already proposed for 8PP. Tend to be standard practice, especially if vacuum pump VSD already installed. Additionally, Pennsylvania TRM is only source with savings data so far. </t>
  </si>
  <si>
    <t>- AEG:  This measure primarily provides gas-fired water heating savings.</t>
  </si>
  <si>
    <t>This measure replaces large droplet overhead cooling misters with smaller droplet overhead cooling misters. Smaller water droplets provide improved evaporative cooling compared to larger water droplets.</t>
  </si>
  <si>
    <t>- Council (Jayaweera): Can't include this measure as it is fuel switching. Also not sure on importance of poultry, would indicate low priority.</t>
  </si>
  <si>
    <t>- AEG: Main application will likely be well pumps, irrigation pumps. Difficult to characterize and separate optimization from maintenance,</t>
  </si>
  <si>
    <t>Feedback on Measure</t>
  </si>
  <si>
    <t xml:space="preserve">- AEG: Main application will likely be well pumps, irrigation pumps. Difficult to characterize maintenance. </t>
  </si>
  <si>
    <t xml:space="preserve">- RTF (Firestone): A lot of these are probably diesel or propane, not electric.
- AEG:  Small saver since fan operation during shoulder seasons is only for a month or two a year, maybe a couple weeks total. Wind machines could also be compared to other ways to save crops from a frost - helicopters, heaters, and even encasing the fruits in ice - but these alternative methods are quite unlikely and difficult to analyze energetically. </t>
  </si>
  <si>
    <t>- Council (Jayaweera): Low priority, as I do not think hog industry is significant in PNW. 
- AEG:  Only current source is from IESO (from Ontario)</t>
  </si>
  <si>
    <t>- Council (Jayaweera): Low priority since not likely much electric CA systems.
- AEG: End uses for compressed air in agricultural are pretty wide-ranging but also small. Much of the compressed air use is likely with diesel-powered, mobile compressors. Dairy most likely candidate.</t>
  </si>
  <si>
    <t xml:space="preserve"> - NEEA (Wickes):  Because of global warming, crops increasingly will need overhead cooling. There are now novel designs and best practices emerging.
- BPA (Osborn): Every orchard basically has a mister already, and I don’t think there would be any energy savings potential there as they have already figured it out.
- AEG: We haven't been able to find data and information to characterize this measure. </t>
  </si>
  <si>
    <t xml:space="preserve">- BPA (Osborn): I work with Troy on his phone version of the irrigation scheduling app. It is basically a checkbook method where you, the grower, must input how much water you put down in your field every day. The app looks at the weather for the past and then calculates the evapotranspiration for the field. The app tells you “hey you are good”, “hey you need to put another inch.” It is probably more suitable to smaller farms. It takes effort and dedication to input the data.  We are also thinking about pump timers for hand lines and wheel lines. We incentivized twist timers many years ago. Pump timer technology today is better with integrated internet/Wi-Fi platform. For example, Nelson Irrigation and Agsense have products. I am trying to get them in the BPA April Implementation. But I am not saying these timers should be in the PP because I am unsure how big the market is, and how many small farms that are irrigated out there. It is probably such a small number so the savings wouldn’t even add up to 1 MW over 20 years. The larger farms have already integrated their entire operation to either a mobile platform or a desktop and we don’t need to be in that space telling what product is right because it is changing so quickly. For example, Nelson Irrigation is updating their center pivots every month. The timers would be for smaller farms.
- Idaho Power (Nesbitt): We would be interested in something on irrigation scheduling.
-  ETO (Kramer, Potter):  We are interested in Simpler Scheduling Devices for Irrigation and have discussed this with Cascade. We are looking at this as a way for customers to move easier to scheduling than what SIS can offer. 
- Cascade (Glynn): The new thing I am hearing about are irrigation controllers. I just don’t know how much of an uptick there is in the market for them though. Also, we haven’t seen any applications where irrigation controllers could be developed into a measure yet. The irrigation controllers would be applicable across all irrigation systems. I have seen some that control valves and would save on manual labor hours. The input data for irrigation controllers would be different from SIS. Some of the irrigation controllers would just be timers so less complicated. Others would be a little bit smarter, using timers and soil moisture data.  
- AEG: We were not able to find data to characterize this measure. </t>
  </si>
  <si>
    <t>- Council (Jayaweera): Would need to determine how this overlaps other measures.
- NEEA (Wickes): Expressed interest and opportunity for optimizing the piping and pressure at a farm but did not have any data top share.
- AEG: Impacts are all but impossible to predict or evaluate without robust project data.</t>
  </si>
  <si>
    <t>- Council (Jayaweera): It will be hard to justify savings without a basis for what is driving the savings (concern w/ overlap). OK to include if data support, but otherwise drop.
- NEEA (Wickes): Indicated that farmers in Eastern PNW are reticent to take behavioral advice from Western PNW. 
- AEG: Impacts are all but impossible to predict or evaluate without robust project data.</t>
  </si>
  <si>
    <t>- Council (Jayaweera): Would need to determine if this overlaps other measures.
- NEEA (Wickes): Expressed interest and opportunity for optimizing the piping and pressure at a farm but did not have any data top share. NEEA is starting a Whole Farm Commissioning Program. 
- AEG: Whole facility (R)Cx can really address any available end-use at an agricultural facility (e.g. a dairy). Impacts are all but impossible to predict or evaluate without robust project data.</t>
  </si>
  <si>
    <t xml:space="preserve">- BPA  (Osborn): We found that SIS participant and non-SIS participants in our SIS study did not differ but they were all saving water and energy. So, when I hear let’s just have another version of SIS and as much as I like SIS and have been a strong promoter of SIS and would love to see it continue, I just don’t see another expensive study happening to prove that this new advanced SIS version is going to be any different than the professional that go out into the fields and create reports for the farmers. Our study shows that there is no difference from farmers just winging it or copying the neighbors. 
- NEEA (Wickes):  Mentioned that we need to accelerate Decision Support System (DSS), which takes data from soil, moisture, weather, crop values, growth levels, and integrates this into an optimal irrigation package for pivots using variable speed. (DSS is NEEA's term for Advanced SIS.) There are standards in place now.  However, Wickes also acknowledged measure characterization of DSS may not be easy;  but data collection and drones should make this measure feasible in the future.  Dr. Charles Hillyer at Univ. of Texas is an advocate of PAIL (Precision Ag Irrigation Language) Dan both know DSS and PAIL. NEEA (Wickes) also mentioned the push for deficit irrigation. Energy savings from deficit irrigation would be based on the associated water savings/efficiency gains from the practice—e.g. from reduced pumping demands (or any other related water supply, treatment, or discharge loads) and would likely be covered in an Advanced SIS measure. Dr. Charles Hillyer at Univ. of Texas is an advocate of PAIL (Precision Ag Irrigation Language). Also Dan Berne know DSS and PAIL. NEEA (Wickes) also mentioned the push for deficit irrigation. Energy savings from deficit irrigation would be based on the associated water savings/efficiency gains from the practice—e.g. from reduced pumping demands (or any other related water supply, treatment, or discharge loads) and would likely be covered in an Advanced SIS measure.  
- WSU (Peters): Advanced SIS/Irrigation Decision Support System is ready to be included in the 8th PP but deficit irrigation is not as applicable. Yield is limited by not just access to water, but also sunlight, nutrients, etc. and if you look at crop production curves there is a maximum yield point.  Most deficit irrigation studies show that you can cut water back from a crop by 25-30% without comparable losses in yield (may only lose 3-5% of the yield). Problem is that in Washington State there is less incentive in cutting back on water because of the water law. And even if there was a water shortage, farmers wouldn’t want to cut back on watering but instead take any water they can get. Deficit irrigation would require the water law to be changed so the growers can use the water saved to irrigate additional land but we still wouldn’t really save any water since farmers would just use the water somewhere else to produce more food. If the power or water is very expensive, that is the cost of delivering the water is competing with the additional yield you would get, then deficit irrigation would make sense but that is rarely the case.
- AEG: Advanced SIS was suggested by Charlie Grist, Geoff Wickes, and Troy Peters, but we could not find any data to use for measure characterization.  It is also difficult to determine how much farther this measure can go past SIS practices on a more granular "within-field" basis. </t>
  </si>
  <si>
    <t xml:space="preserve">-  BPA (Osborn): Due to the results of the BPA SIS pilot, which shows close to no difference in delta water savings between those that participate in SIS and those that don’t, the SIS measure is going away.
-  NEEA (Wickes): SIS can probably be removed since it has been deactivated by RTF.
-  RTF (Firestone): I don't think we'd having savings from which to estimate potential outside Columbia Basin. The SIS study found no difference between the population and the SIS participants in irrigation practices, so even if the saturation of SIS were different, there's still no savings per acre to scale up. The SIS study was just done in the Columbia Basin where BPA has active SIS programs. Is there a difference in irrigation practices between SIS participants and non-SIS participants in other regions? We still don’t know if SIS does anything. It is still unknown. Perhaps non-SIS participants in the Columbia region where influenced by SIS participants in the same region and that makes everybody a better irrigator?  
-  Council (Jayaweera): Because the Council relies heavily on what RTF does when we develop the Power Plan, we will need to have some new information with some compelling data to change a decision that RTF has made on measure deactivation. While the BPA study was constrained to the Columbia Basin, this region also seemed to have the most applicability above and beyond current practice. Maybe there is some SIS potential outside of the Columbia Basin? We just don’t know. 
- Idaho Power (Nesbitt): We have looked at SIS over the years, but we have never done SIS. We were hoping to do SIS in the future. However, the BPA study results from two years ago determined there were no savings so we probably won’t do SIS now. I don’t necessarily agree with how the BPA SIS study was done, but we cannot start up a SIS program if the latest and greatest research shows that there are no savings. That is kind of the dilemma around SIS. In Idaho, SIS is a tough beast because there are areas in Idaho that are water short but not always water short so as a farmer you will use every drop you got. And there are certain crops in Idaho that have always historically been scheduled, such as potatoes.  I still think SIS may be a good idea but SIS can be hard to do in Idaho because our Commission generally wants a program to be available to everybody. It would be a tough program to run in Idaho because we have crop rotation, with potatoes one year and then something else the next couple of years. Regardless, we figured we would find a way to run a SIS program if the BPA study had showed savings. 
WSU (Peters): We did read the BPA/consultant/agency SIS study and we have problems with it. We don’t agree with the conclusion that SIS doesn’t save water. Instead we believe that you can conclude that growers’ behavior regarding SIS is all over the place. It is like exercise. Just because we know exercise is good for our health, not all people will be exercising. SIS is extra work for farmers. I think there are opportunities with irrigation automation that tells the farmers to turn the water on/off. Farmers have a lot going on and a million things they are trying to balance. So, they need a green, yellow, red light that give them an idea what to do but they also need to be able to adjust their response because soil moisture sensors are notorious for being variable and inaccurate. I think we can come up with ways to do this. We can use soil moisture sensors, enviro-transportation, and plant-base water stress detection. 
 ETO (Kramer, Potter): We are currently evaluating if we should continue with SIS, as this measure may not be viable. We know BPA is removing SIS so ETO sees some cautionary flags. 
- AEG: The BPA study was based on data from the Columbia River Basin and representative of Ag in the basin, not the entire Northwest Region. The BPA study and subsequent RTF analysis was done using aggregated data across various crop types. Because we were neither able to find any new project data showing there is any significant remaining opportunity for traditional SIS outside the Basin nor for SIS for specific crop types (even within the Basin), we could not characterize this measure. </t>
  </si>
  <si>
    <t>Motor Rewind</t>
  </si>
  <si>
    <t>ACHIEV</t>
  </si>
  <si>
    <t>Fraction of Applicable Measure Available by Year</t>
  </si>
  <si>
    <t>LO12Med</t>
  </si>
  <si>
    <t>LO5Med</t>
  </si>
  <si>
    <t>LO1Slow</t>
  </si>
  <si>
    <t>LO50Fast</t>
  </si>
  <si>
    <t>LO20Fast</t>
  </si>
  <si>
    <t>LOEven20</t>
  </si>
  <si>
    <t>LO3Slow</t>
  </si>
  <si>
    <t>Retro12Med</t>
  </si>
  <si>
    <t>Retro5Med</t>
  </si>
  <si>
    <t>Retro1Slow</t>
  </si>
  <si>
    <t>Retro50Fast</t>
  </si>
  <si>
    <t>Retro20Fast</t>
  </si>
  <si>
    <t>RetroEven20</t>
  </si>
  <si>
    <t>Fraction of Annual Applicable Measure Stock Achievable</t>
  </si>
  <si>
    <t>Retro3Slow</t>
  </si>
  <si>
    <t>Measure Index Name</t>
  </si>
  <si>
    <t>Ramp</t>
  </si>
  <si>
    <t>Data Source</t>
  </si>
  <si>
    <t>Irrigation Hardware - Retro</t>
  </si>
  <si>
    <t>Dairy - Retro</t>
  </si>
  <si>
    <t>Irrigation Efficiency - Retro</t>
  </si>
  <si>
    <t>Irrigation Pressure - Retro</t>
  </si>
  <si>
    <t>Irrigation Motor - Retro</t>
  </si>
  <si>
    <t>ID</t>
  </si>
  <si>
    <t>OR</t>
  </si>
  <si>
    <t>WA</t>
  </si>
  <si>
    <t>MT</t>
  </si>
  <si>
    <t>PNW</t>
  </si>
  <si>
    <t>APPLIC</t>
  </si>
  <si>
    <t>Product of Feasibility &amp; (1-Baseline Saturation)</t>
  </si>
  <si>
    <t>End use</t>
  </si>
  <si>
    <t>Using same assumptions as 6P</t>
  </si>
  <si>
    <t>Fraction of units where measure is technically feasible</t>
  </si>
  <si>
    <t>M BUNDLE ID</t>
  </si>
  <si>
    <t>Source</t>
  </si>
  <si>
    <t>distribution of existing fixtures unknown, assume equal</t>
  </si>
  <si>
    <t>BASE</t>
  </si>
  <si>
    <t>Current Saturation of Measure</t>
  </si>
  <si>
    <t>MEAS ID</t>
  </si>
  <si>
    <t>Lookup Value</t>
  </si>
  <si>
    <t>Estimate that free stall dairies have widely adopted VSD pumps (from Tom Osborn)</t>
  </si>
  <si>
    <t>Energy-Free Stock Watering Tanks</t>
  </si>
  <si>
    <t>Stock Tanks - NR</t>
  </si>
  <si>
    <t>estimate from 7P</t>
  </si>
  <si>
    <t>NEEA 2016 Green Motor Rewind Long Term Monitoring and Tracking study, The Cadmus Group, LLC. Individual applicability for each motor size; final applicability calculation done within Conservation Supply Curve workbook</t>
  </si>
  <si>
    <t>Depends on motor size; see conservation supply workbook</t>
  </si>
  <si>
    <t>Pump Upgrade</t>
  </si>
  <si>
    <t>Dick Stroh estimate from email on 8/1/2018</t>
  </si>
  <si>
    <t>Between 23 and 50%, depending on size</t>
  </si>
  <si>
    <t>Estimate East vs West split based on total irrigated acres by county</t>
  </si>
  <si>
    <t>W ID Counties</t>
  </si>
  <si>
    <t>Acres irrigated land</t>
  </si>
  <si>
    <t>W MT Counties</t>
  </si>
  <si>
    <t>W OR Counties</t>
  </si>
  <si>
    <t>W WA Counties</t>
  </si>
  <si>
    <t>Adams</t>
  </si>
  <si>
    <t>Benton</t>
  </si>
  <si>
    <t>Clallam</t>
  </si>
  <si>
    <t>Benewah</t>
  </si>
  <si>
    <t>Clackamas</t>
  </si>
  <si>
    <t>Clark</t>
  </si>
  <si>
    <t>Boise</t>
  </si>
  <si>
    <t>Deer Lodge</t>
  </si>
  <si>
    <t>Clatsop</t>
  </si>
  <si>
    <t>Cowlitz</t>
  </si>
  <si>
    <t>Bonner</t>
  </si>
  <si>
    <t>Flathead</t>
  </si>
  <si>
    <t>Columbia</t>
  </si>
  <si>
    <t>Grays Harbor</t>
  </si>
  <si>
    <t>Canyon</t>
  </si>
  <si>
    <t>Coos</t>
  </si>
  <si>
    <t>Island</t>
  </si>
  <si>
    <t>Clearwater</t>
  </si>
  <si>
    <t>Curry</t>
  </si>
  <si>
    <t>Jefferson</t>
  </si>
  <si>
    <t>Custer</t>
  </si>
  <si>
    <t>Granite</t>
  </si>
  <si>
    <t>Douglas</t>
  </si>
  <si>
    <t>King</t>
  </si>
  <si>
    <t>Elmore</t>
  </si>
  <si>
    <t>Lake</t>
  </si>
  <si>
    <t>Jackson</t>
  </si>
  <si>
    <t>Kitsap</t>
  </si>
  <si>
    <t>Gem</t>
  </si>
  <si>
    <t>Lewis and Clark</t>
  </si>
  <si>
    <t>Josephine</t>
  </si>
  <si>
    <t>Lewis</t>
  </si>
  <si>
    <t>Lincoln</t>
  </si>
  <si>
    <t>Lane</t>
  </si>
  <si>
    <t>Mason</t>
  </si>
  <si>
    <t>Kootenai</t>
  </si>
  <si>
    <t>Pacific</t>
  </si>
  <si>
    <t>Latah</t>
  </si>
  <si>
    <t>Mineral</t>
  </si>
  <si>
    <t>Linn</t>
  </si>
  <si>
    <t>Pierce</t>
  </si>
  <si>
    <t>Lemhi</t>
  </si>
  <si>
    <t>Missoula</t>
  </si>
  <si>
    <t>Marion</t>
  </si>
  <si>
    <t>San Juan</t>
  </si>
  <si>
    <t>Multnomah</t>
  </si>
  <si>
    <t>Skagit</t>
  </si>
  <si>
    <t>Nez Perce</t>
  </si>
  <si>
    <t>Powell</t>
  </si>
  <si>
    <t>Polk</t>
  </si>
  <si>
    <t>Skamania</t>
  </si>
  <si>
    <t>Payette</t>
  </si>
  <si>
    <t>Ravalli</t>
  </si>
  <si>
    <t>Tillamook</t>
  </si>
  <si>
    <t>Snohomish</t>
  </si>
  <si>
    <t>Shoshone</t>
  </si>
  <si>
    <t>Sanders</t>
  </si>
  <si>
    <t>Thurston</t>
  </si>
  <si>
    <t>Valley</t>
  </si>
  <si>
    <t>Silver Bow</t>
  </si>
  <si>
    <t>Yamhill</t>
  </si>
  <si>
    <t>Wahkiakum</t>
  </si>
  <si>
    <t>W OR Total</t>
  </si>
  <si>
    <t>Whatcom</t>
  </si>
  <si>
    <t>W ID Total</t>
  </si>
  <si>
    <t>W MT Total</t>
  </si>
  <si>
    <t>OR Total</t>
  </si>
  <si>
    <t>W WA Total</t>
  </si>
  <si>
    <t>ID Total</t>
  </si>
  <si>
    <t>MT Total</t>
  </si>
  <si>
    <t>% W OR</t>
  </si>
  <si>
    <t>WA Total</t>
  </si>
  <si>
    <t>% W ID</t>
  </si>
  <si>
    <t>% W MT</t>
  </si>
  <si>
    <t>% W WA</t>
  </si>
  <si>
    <t>Western Idaho</t>
  </si>
  <si>
    <t>Eastern and Southern Idaho</t>
  </si>
  <si>
    <t>Eastern Washington and Oregon</t>
  </si>
  <si>
    <t>Western Washington and Oregon</t>
  </si>
  <si>
    <t>Only Western MT part of NWPCC purview</t>
  </si>
  <si>
    <t>In CA, these are standard practice for large farms, likely low potential. Confirmed ubiquity with Tom Osborn 8/3/2018</t>
  </si>
  <si>
    <t>Using same assumptions as FreeStall; most dairies have widely adopted VSD pumps (Tom Osborn 2018 feedback)</t>
  </si>
  <si>
    <t>Quite common, but not as standard practice as for large free-stalls. Reduced saturation by 25% off the FreeStall value. Still, Dick Stroh has not seen many installations in Idaho.</t>
  </si>
  <si>
    <t>Compressor Upgrade - Any</t>
  </si>
  <si>
    <t>VSD - Milk Transfer Pump - Any</t>
  </si>
  <si>
    <t>Assume similar to tiestall pre-cooler, since measure needs pre-cooler in order to work</t>
  </si>
  <si>
    <t>AEG default assumption. Tom Osborn has seen some compressor upgrades.</t>
  </si>
  <si>
    <t>Using rounded assumption from 7th Plan. Should be very low saturation and very low feasibility (per Osborn/Stroh 2018 feedback)</t>
  </si>
  <si>
    <t>Using rounded assumption from 7th Plan. Should be very low saturation and slightly higher feasibility for tie-stall ((per Osborn/Stroh 2018 feedback)</t>
  </si>
  <si>
    <t>Haven't seen many of these installations.</t>
  </si>
  <si>
    <t>Same assumption at 7th Plan</t>
  </si>
  <si>
    <t xml:space="preserve">Most compressor systems can be retrofitted, but measure is better for larger compressors. </t>
  </si>
  <si>
    <t>Using assumption from 7th Plan for other measures</t>
  </si>
  <si>
    <t>VSD - Vacuum Pump - Free Stall</t>
  </si>
  <si>
    <t>VSD - Vacuum Pump - Tie Stall</t>
  </si>
  <si>
    <t>Plate Milk Pre-cooler - Free Stall</t>
  </si>
  <si>
    <t>Plate Milk Pre-Cooler - Tie Stall</t>
  </si>
  <si>
    <t>Energy Efficient Lighting - Free Stall</t>
  </si>
  <si>
    <t>Energy Efficient Lighting - Tie Stall</t>
  </si>
  <si>
    <t>Heat Recovery Refrigeration - Free Stall</t>
  </si>
  <si>
    <t>Heat Recovery Refrigeration - Tie Stall</t>
  </si>
  <si>
    <t>Efficient High Speed Fans - Free Stall</t>
  </si>
  <si>
    <t>Efficient High Speed Fans - Tie Stall</t>
  </si>
  <si>
    <t>High Volume Low Speed Fans - Free Stall</t>
  </si>
  <si>
    <t>High Volume Low Speed Fans - Tie Stall</t>
  </si>
  <si>
    <t>HVAC</t>
  </si>
  <si>
    <t>Dairy - NR</t>
  </si>
  <si>
    <t># of milk cow farms</t>
  </si>
  <si>
    <t>AEG assumption, Various configurations for efficient high speed fans available.</t>
  </si>
  <si>
    <t>AEG assumption based on none to minimal installations in BPA territory (Osborn/Stroh feedback 2018)</t>
  </si>
  <si>
    <t>Wheel and Hand_Rebuilt or new impact sprinkler</t>
  </si>
  <si>
    <t>Wheel and Hand_Gaskets</t>
  </si>
  <si>
    <t>Wheel and Hand_Drains</t>
  </si>
  <si>
    <t>Wheel and Hand_Cut and press repair</t>
  </si>
  <si>
    <t>Wheel and Hand_Hub gasket</t>
  </si>
  <si>
    <t>Wheel and Hand_Levelers</t>
  </si>
  <si>
    <t>Pivot and Linear_Base boot gasket</t>
  </si>
  <si>
    <t>Pivot and Linear_Tower gasket</t>
  </si>
  <si>
    <t>Wheel and Hand_Nozzle replacement</t>
  </si>
  <si>
    <t>Wheel-Line_Conversion to Low Pressure System (Alfalfa)</t>
  </si>
  <si>
    <t>Hand-Line_Conversion to Low Pressure System (Alfalfa)</t>
  </si>
  <si>
    <t>Pivot and Linear_Sprinkler package replacement, high pressure</t>
  </si>
  <si>
    <t>Pivot and Linear_Sprinkler package replacement, MESA</t>
  </si>
  <si>
    <t>Pivot and Linear_Sprinkler package replacement, LESA/LEPA/MDI</t>
  </si>
  <si>
    <t>Pivot and Linear_Upgrade from high pressure to MESA</t>
  </si>
  <si>
    <t>Pivot and Linear_Upgrade from MESA to LESA/LEPA/MDI</t>
  </si>
  <si>
    <t>Pivot and Linear_Pressure Reduction_High to Medium</t>
  </si>
  <si>
    <t>Pivot and Linear_Pressure Reduction_Medium to Low</t>
  </si>
  <si>
    <t>Variable Rate Irrigation</t>
  </si>
  <si>
    <t>Using same assumptions as 6P/7P</t>
  </si>
  <si>
    <t>Using low feasibility (from 35% in 7P), since hand and wheel lines are usually used for smaller/irregular shaped fields. Added downward adjustment for Idaho where some pivots in Pleasant Valley are being converted back to wheel lines (per local newspaper article cited by Dick Stroh - no citation provided)</t>
  </si>
  <si>
    <t>Reduced to account for smaller amount of Thunderbird applications</t>
  </si>
  <si>
    <t>Using same assumptions as 7P/6P</t>
  </si>
  <si>
    <t>Ventilation</t>
  </si>
  <si>
    <t>This measure estimates energy savings resulting from improved maintenance practices regarding the replacement of hub gaskets on Thunderbird wheel line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t>
  </si>
  <si>
    <t>This measure involves conversion of wheel- and hand-line systems to more efficient low pressure sprinklers, which results from savings from both an improvement in water application efficiency and pressure reduction.</t>
  </si>
  <si>
    <t>Assume that some have been installed, but has been a slow uptake so far (not much activity seen)</t>
  </si>
  <si>
    <t>Should be applicable to most thermosiphon engine block heaters</t>
  </si>
  <si>
    <t>Stationary Engine Block Heater - Retro</t>
  </si>
  <si>
    <t>Stationary Engine Circulating Block Heater</t>
  </si>
  <si>
    <t>Reduced feasibility to 25% since this is only applicable to thunderbird lines</t>
  </si>
  <si>
    <t>Assumes 30% of the medium pressure center pivot acres in FRIS can be converted to LESA.</t>
  </si>
  <si>
    <t>AEG assumption - 10% of pumps assumed by Dick Stroh to be variable speed, another 20% of each constant and variable speed stock assumed to be higher efficiency</t>
  </si>
  <si>
    <t>Thermostatically Controlled Outlets</t>
  </si>
  <si>
    <t>None</t>
  </si>
  <si>
    <t>Mobile Engine Block Heater Controls</t>
  </si>
  <si>
    <t>Process Heat</t>
  </si>
  <si>
    <t>Thermostatically Controlled Outlets for Pump House Heaters</t>
  </si>
  <si>
    <t>While AEG originally attempted to include this measure in the agricultural model for the 8th Plan, it had to be excluded. Per talks with Tom Osborn and Dick Stroh, the only operating machinery (usually one tractor/plow) during the winter is kept inside heated maintenance sheds and is not plugged into an engine block heater. The rest of the machinery sits idle and is fired back up in spring for planting. One or two trucks/personal diesel pickups may be plugged in, but this could easily be on a residential meter and not applicable to agriculture. Dick Stroh has stated that block heaters aren't used on farms. Measure has been removed from analysis.</t>
  </si>
  <si>
    <t>While AEG originally attempted to include this measure in the agricultural model for the 8th Plan, it had to be excluded. Per talks with Tom Osborn and Dick Stroh, this measure is most applicable to rural residential mobile homes and not to agricultural end uses. There are no agricultural pump houses heated with an electric milk house heater; all agricultural irrigation pumps get drained and shut down over the winter. Only irrigation districts have heated pump houses, but these are heated with central space heat since it is also a maintenance building. According to Tom, a better way to include this measure in the 8th Plan would be to look at mobile homes that are on wells and apply this measure to them. These have a pressure tank and piping inside a shed (pump house) that is heated with milk house heater.</t>
  </si>
  <si>
    <t>Improved Water-Based Cooling Techniques</t>
  </si>
  <si>
    <t xml:space="preserve">This suite of measures addresses improved cooling techniques for cows. Milk production increases metabolic heat, and as cows get hotter milk production slows. In addition to avoiding heat stress via shade and fans, soaker systems may be added to provide additional heat dissipation through evaporative heat loss. To improve heat management in dairy stalls, a conductive cooling system may be implemented. This system can be as complicated as heat exchanger panels for each bed with a circulating pump and chiller, or can be as simple as running groundwater through a hose under each bed. A targeted convection cooling approach may also be used, where air is evaporatively cooled and then delivered directly to the cow through ducts. </t>
  </si>
  <si>
    <t>11212 - Dairy Cattle and Milk Production</t>
  </si>
  <si>
    <t>AEG procured project data from the California Technical Forum (CalTF) workpaper analysis, which originally came from BPA tests. After determining that only generators &lt;800 kW were applicable for agriculture, which corresponds to Size 1, AEG worked with the Size 1 raw data that had daily average OAT and block heater kWh for four (4) generators for baseline and treatment cases. AEG conducted separate regressions for each baseline site, and only two sites (TCWWTP and HCNW) provided a valid relationship between daily consumption and average OAT. The original CalTF analysis only uses the HCNW site for the baseline, which consumed two to four times as much energy as the other engine block heaters in the sample and resulted in what appeared to be an overestimated baseline. The CalTF regression across all four sites during the treatment phase was used for the efficient case; this regresses daily energy consumption as a function of circulating block heater capacity (kW) and capacity multiplied by the daily temperature. Individual treatment group regressions were tested as well, but the original CalTF heater size treatment regression seems to do a good job of taking both heater size and outside temperature into account. These regressions were applied to average daily temperatures for each representative PNW city, with consumption only counted if the average daily temperature was below 50°F. The savings per climate station were then calculated as the difference between average of two baseline temperature regressions (as opposed to only HCNW regression) and the combined treatment regression from original CalTF analysis that takes both temperature and heater size into account. The values were then rolled up per state, with results for the state of Washington calculated as 90% Spokane and 10% Seattle. Costs quoted in the Idaho Power Company's draft TRM (v2.0) were deflated from 2018$ to 2012$ and used in the analysis.</t>
  </si>
  <si>
    <t>Levelized Cost</t>
  </si>
  <si>
    <t>Calculated 20-year Potential (aMW)</t>
  </si>
  <si>
    <t>Busbar Savings (kWh/unit)</t>
  </si>
  <si>
    <t>Maximum 20-Year Potential (aMW)</t>
  </si>
  <si>
    <t>111 - Crop Production / 
112 - Animal Production and Aquaculture</t>
  </si>
  <si>
    <t>AEG used the 7th Plan methodology with the most recent RTF workbook. 
Adjustments to Analysis: Determined average rounded pump size for wells, surface/tailwater, and booster pumps from FRIS 2013 (to be updated with new FRIS data, as available). Calculated savings and incremental costs for each average pump size per pump type per state based on the RTF analysis - actually made the calculation changes instead of using a standard HP size from the original  RTF analysis. 
Adjustments to the FRIS analysis from 7th Plan included the addition of tailwater discharge and booster pump data. The HP estimate calculation for surface water, tailwater discharge, and booster pumps was adjusted to use GPM (where previously it was erroneously referencing hours of use); a 90% factor was also added to the calculation by AEG to reflect average pump efficiency. 
Adjustments to the RTF analysis included: while the Green Motor Rewind analysis uses the logged HOU from BPA's "Green Motor Initiative Rewind Savings" 2012 report, these hours differ significantly from the HOU values provided in FRIS 2013 (32-84% difference). After RTF CAT feedback and NWPCC staff approval, the hours of use from the RTF Irrigation Hardware UES measure were used for calculations; these were vetted by RTF subcommittee.
Market Data used: The market data from FRIS is the only method found to expand per-unit savings to potential per state and for the whole region (consistent with earlier 7th Plan analysis). It provides enough data to calculate an average pump size per state, and then provides the number of pumps per state. This count is much greater than the counts in the Irrigation Motors workbook. Ideally, we would develop a more accurate approach for determining average savings and cost per pump (using a few pump sizes per application). While FRIS provides discharge volume distributions for each type of pump and per state (in terms of GPM bins), only one average lift and discharge pressure value is provided; this makes it possible to calculate and average HP but not a distribution of HPs since corresponding lift and discharge pressures are not provided for each GPM bin.
Used an assumption of relative split between pump motors that are candidates for Green Motor Rewind and pump motors that are better candidates for replacement based on suggestion from RTF staff. AEG assumed 80% based on BPA staff comments.</t>
  </si>
  <si>
    <t xml:space="preserve">This measure was removed because it is standard practice; feedback from BPA staff (Tom Osborn/Dick Stroh) showed that if it was not at saturation now (already at 80-90%) it most definitely will be at saturation by the time the 8th Plan comes out. This measure tends to have a year payback, and everyone is adding them since it reduces the amount of product weight lost. Furthermore, more recent project data has been requested but has not been provided. </t>
  </si>
  <si>
    <t>Install VSD on Irrigation Pump</t>
  </si>
  <si>
    <t xml:space="preserve">Was previously 92% based on the percentage of lighting upgrades in 2003 NYSERDA study + 20% to account for recent program activity. NYSERDA installation data not considered representative. Saturation reduced to 50% for low- and high-bay lighting. Accomplishments data from 2010-2016 points to something closer to 30% saturation (used for area lighting barn lights): the total aMW 2010-2016 were approximately 3x the 2010-2012 accomplishments, which was assumed to equal 10% for LED area lighting in 7th Plan. </t>
  </si>
  <si>
    <t xml:space="preserve">AEG compared the 6th/7th Plan (NYSERDA) estimates for the milk pre-cooler to estimates from Minnesota CARD project data, a PG&amp;E work paper, the Michigan Energy Measure Database, and TRMs from Vermont, Maine, Minnesota, and Wisconsin. Since most of the TRMs provided an algorithmic way of calculating savings that took the amount of cows and milk produced per day into account, it is possible to unitize the savings and costs per 1000 lbs like they were presented in the 7th Plan. AEG found that the 7P savings and costs per pre-cooler unit were significantly lower than most other estimates while the unitized savings (per 1,000 lb) were well within the range found from external sources. While on the low end, the unitized costs were also within the ranges that could be found in other sources. AEG recommends keeping the NYSERDA-based 7th Plan estimates as is for now, until more current and region-specific data is available. Since this measure is already assumed to have a very high saturation, it is unlikely that more region-specific data will be obtained. </t>
  </si>
  <si>
    <t xml:space="preserve">AEG used data from Minnesota CARD, (Draft and Unreleased) Idaho Power TRM, PG&amp;E workpaper, and various other TRMs (Vermont, Maine, Minnesota, Wisconsin) to compare to 6th/7th Plan (2003 NYSERDA Study) numbers for the milk vacuum pump VSD measure. Since most of these  sources (VT, ME, WI, IPC TRMs and PG&amp;E workpaper) did not provide a way to unitize vacuum pump VFD savings per 1,000 lbs of milk (and the relationship between VFD savings and milk production from NYSERDA is tenuous at best), the savings were compared per unit. AEG found the Idaho Power TRM and PG&amp;E savings to be quite high; the median per unit savings from NYSERDA 7th Plan were similar to those found in the Minnesota CARD project data as well as assumptions made in Vermont, Maine, Wisconsin and Minnesota TRMs. Both the NYSERDA costs per unit and unitized per 1,000 lbs are quite low compared to costs found in other sources, but the low R2 between savings and production makes unitizing the savings for this measure by production suspect for any sources outside NYSERDA and Minnesota CARD (which are based on project data). While AEG wanted to recommend using more recent MN CARD values (these can be separated by dairy size/type), the MN CARD unitized costs are much higher than any other costs seen in this research. AEG recommends keeping the NYSERDA-based 7th Plan estimates as is for now, until more current and region-specific data is available. Since this measure is already assumed to have a very high saturation (95%), it is unlikely that more region-specific data will be obtained. </t>
  </si>
  <si>
    <t>AEG compared the 6th/7th Plan (NYSERDA) estimates for refrigeration heat recovery (in dairy setting) to estimates from Minnesota CARD, a PG&amp;E workpaper, and TRMs from Pennsylvania, Vermont, and Wisconsin. AEG found that the unitized savings (per 1,000 lbs) in the 7th Plan were similar to those from other sources (particularly MN CARD, VT TRM, and WI TRM) AEG recommends changing the savings and costs for this measure to a median of all estimates found. Although the 7P savings were only applied to tie stall dairies, AEG removed this identifier; there is nothing blocking a heat recovery unit from being placed in another type of facility like a free stall dairy. The recommended costs are higher than those in the 7th Plan, while the savings are slightly lower. There is limited data from outside jurisdictions and no data from the Pacific Northwest; more current and more region-specific data is encouraged. Feedback from BPA indicated that most dairies (80% of free stall and 20% of tiestall) heat their water with propane, which significantly limits the applicability of this measure.</t>
  </si>
  <si>
    <t>After seeing this measure appear in various sources, AEG used semi-recent project data from Minnesota CARD and PG&amp;E along with algorithmic estimates from Pennsylvania, Wisconsin, and Maine TRMs. The project costs from the MN CARD study were adjusted to incremental cost by using the cost premium from the PG&amp;E workpaper to ensure that all costs were incremental. The median of these estimates is then recommended for the 8th Plan. No difference could be discerned between freestall and tiestall dairy configurations since no such granularity for farm size was provided in the data; AEG recommends expanding across all dairy types. AEG recommends adding more current and region-specific data as it becomes available.</t>
  </si>
  <si>
    <t>AEG compared estimates from various TRMs - Idaho Power (Draft and Unreleased), Illinois, Minnesota, Wisconsin, and Pennsylvania. The recommended savings per HVLS fan were determined using the median demand reduction from all compared sources multiplied by the assumed hours of use per state. Hours of use were calculated for the five (5) main representative PNW cities as hours above 70 and 75°F (based on Tom Osborn recommendations of cutoff temperature of 75°F with Idaho being  dryer and the others likely needing a lower temperature) and weighted for Washington state at 90% Spokane and 10% Seattle. Although the Wisconsin TRM recommends using a 50°F temperature, and IL/PA TRMs use 65 degrees, a more conservative cutoff is used until evaluation or other data suggests otherwise. Weighted average incremental costs from the Wisconsin TRM were used since they are based on actual project data; the other sources had similar costs but were likely sourced from one original estimate. This measure is not applied to tiestall dairies, since the ceilings are too low for proper and safe application. AEG recommends using this measure for free stall dairies and procuring more recent and region-specific project data from utilities.</t>
  </si>
  <si>
    <t>AEG compared estimates from various TRMs - Illinois, Minnesota, Pennsylvania, and Wisconsin - as well as a PG&amp;E workpaper. The recommended savings per fan were determined using the median demand reduction from all compared sources multiplied by the assumed hours of use per state from the HVLS analysis. The recommended costs per fan were determined as a median of the estimates from compared data sources. AEG recommends using this measure across all dairy types and procuring more recent and region-specific project data.</t>
  </si>
  <si>
    <t>Updated RTF savings from the most recent UES workbook were converted according to 7th Plan methodology to state-specific impacts per acre with FRIS 2013 data. While the measures were updated and some of the FRIS 2013 tables were added/adjusted for correctness, no significant changes were made to the original methodology. Correct nozzle/acre calculations were added to fix savings additivity of LESA/MESA conversions.</t>
  </si>
  <si>
    <t>Assigned Below</t>
  </si>
  <si>
    <t>- AEG: Difficult to characterize this typically custom measure as a prescriptive measure.  We have not been able to secure any implementation data for this measure from NW utilities.
- BPA (Osborn): We use a generic calculator to determine energy savings for the typical measures, and have not had very many dairy measures in the past 5 years.  So I don’t think we will have good data on that.</t>
  </si>
  <si>
    <t>- AEG: Difficult  to characterize this typically custom measure as a prescriptive measure. Commonly seen in CA dairy programs. We have not been able to secure any implementation data for this measure from NW utilities. Any back of the envelope savings estimate would be too uncertain to be worth including.
- This could also be applied to other segments where immediate, on-site refrigeration is required. Some fruit and aquaculture might also need refrigeration on site.
- BPA (Osborn): We use a generic calculator to determine energy savings for the typical measures, and have not had very many dairy measures in the past 5 years.  So I don’t think we will have good data on that.</t>
  </si>
  <si>
    <t>- AEG: Difficult  to characterize this typically custom measure as a prescriptive measure. Commonly seen in CA dairy programs as a custom measure. We have not been able to secure any implementation data for this measure from NW utilities. Any back of the envelope savings estimate would be too uncertain to be worth including.
- BPA (Osborn): We use a generic calculator to determine energy savings for the typical measures, and have not had very many dairy measures in the past 5 years.  So I don’t think we will have good data on that.</t>
  </si>
  <si>
    <t>- AEG: Difficult  to characterize this typically custom measure as a prescriptive measure.  Commonly seen in CA dairy programs.  We have not been able to secure any implementation data for this measure from NW utilities.  Any back of the envelope savings estimate would be too uncertain to be worth including.
- BPA (Osborn): We use a generic calculator to determine energy savings for the typical measures, and have not had very many dairy measures in the past 5 years.  So I don’t think we will have good data on that.</t>
  </si>
  <si>
    <t xml:space="preserve">This Table summarizes measures initially considered but later excluded from the analysis based on Council, RTF, and NW utility feedback and/or lack of detailed project implementation data. The Council may consider some of the excluded measures for future PPs. </t>
  </si>
  <si>
    <t>Lighting - NR</t>
  </si>
  <si>
    <t>112 - Animal Production and Aquaculture</t>
  </si>
  <si>
    <t>Capital Cost (2016$)</t>
  </si>
  <si>
    <t>Process Loads</t>
  </si>
  <si>
    <t>Not applicable in tie stalls because the ceilings tend to be too low</t>
  </si>
  <si>
    <t>7th Plan stated that larger farms use different milking system</t>
  </si>
  <si>
    <t>1121 - Cattle Ranching and Farming</t>
  </si>
  <si>
    <t xml:space="preserve">AEG used the most recent RTF UES workbook to convert savings per city to estimates per state. Representative cities were assigned as follows: OR = Portland, ID = Boise, MT = Kalispell, WA = 10% Seattle/90% Spokane. AEG checked that the representative city was OK to use for each state using the RTF Climate Zone v1.2 file by comparing average HDD per state (weighted and un-weighted) and per city. While this is okay as a first-order adjustment, a more accurate approach would be to designate a representative weather station for the agricultural areas of each state and replicate the RTF analysis with the more appropriate weather data. 
For the market and potential analysis, AEG used the Farm and Ranch Irrigation Survey data (2013, to be updated to 2018) to determine the number of cattle farms in each state (could not separate NAICS code for equine facilities from other goat/chicken/pig facilities), with 2 stock tanks assumed per farm. The technical feasibility was limited to the percentage of farms with herds below 500 head, since this is where this type of tank is installed. Based on discussions with Dick Stroh and Tom Osborn, these stock tanks are a viable replacement for smaller farms. Since they are only sized for 1 to 4 cows at a time, they are not applicable to megadairies which generally use larger troughs and aren't likely to care about the minimal energy impact of deicing. AEG sized the herd size limit at 500 head since one (1) regular open stock tank (replaced by E-Free stock tank) can generally provide water for up to 120 cows, and more if it has more openings. While this measure has not taken off at all, it is still a viable replacement for smaller farms. AEG assumed a 1% saturation for energy-free tanks based on BPA staff feedback of very low saturation and uptake for this measure. The energy-free tanks were analyzed as lost opportunity/normal replacement. Thermostatic stock tank de-icers were not included in the analysis since the NWPCC does not consider early retirement measures. </t>
  </si>
  <si>
    <t>TRC</t>
  </si>
  <si>
    <t>Using same assumption as 7P for LESA; assume 30% of MESA systems can still be adjusted down to LESA. This assumption needs more research via efforts such as GIS work promoted by Troy Peters</t>
  </si>
  <si>
    <t>Half of the technical feasibility of the LESA hardware upgrade: Assume half of the LESA upgrades could also get a pressure reduction and provide same level of service.</t>
  </si>
  <si>
    <t>Half of the technical feasibility of the MESA hardware upgrade: Assume half of the MESA upgrades could also get a pressure reduction and provide same level of service.</t>
  </si>
  <si>
    <t>Assuming all high P systems can be at least retrofitted to MESA. Achievability is capped at 85% later in the model, so 15% will still not be converted in the end.</t>
  </si>
  <si>
    <t>While AEG only found 2 projects, the BPA Agricultural Market Study (2016) (Page B-20) stated that VRI is currently used by about 5% of growers according to one irrigation consultant and an agriculture engineer</t>
  </si>
  <si>
    <t>Using (1 - high pressure center pivot saturation in FRIS) as the saturation for the measure; assume that all high pressure systems have not been replaced in quite some time. 1-BASE will equal the amount of high pressure systems still available. Will need update with FRIS 2017</t>
  </si>
  <si>
    <t>Using (1 - high pressure center pivot saturation in FRIS) as the saturation for the measure; 1-BASE will equal the amount of high pressure systems still available when applied to total pivot acres. Will need update the "Acres" sheet in Irr_Eff workbook with FRIS 2017</t>
  </si>
  <si>
    <t>Using (1- the saturation of medium pressure pivot systems in FRIS) here will result in the applicable MESA systems in the APPLIC sheet when applied to total pivot acres. Will need update the "Acres" sheet in Irr_Eff workbook with FRIS 2017</t>
  </si>
  <si>
    <t>Using (1- the saturation of medium pressure pivot systems in FRIS) here will result in the applicable MESA systems in the APPLIC sheet when applied to total pivot acres. Assume that 25% of MESA systems have been recently replaced/upgraded.. Will need update the "Acres" sheet in Irr_Eff workbook with FRIS 2017</t>
  </si>
  <si>
    <t>Using (1 - high pressure center pivot saturation in FRIS) as the saturation for the measure; 1-BASE will equal the amount of high pressure systems still available when applied to total pivot acres. Will need update with FRIS 2017</t>
  </si>
  <si>
    <t>Useful in many applications, and should be more technically feasible than LESA for various terrain and crop types</t>
  </si>
  <si>
    <t>New for 8PP?</t>
  </si>
  <si>
    <t xml:space="preserve">~20% of smaller dairies have propane heat (Tom Osborn/Dick Stroh estimate in 2018), so 80% likely to be electric WH. However, equipment sizes are small, so assume that only 1/4 could be big enough systems to technically warrant heat recovery. </t>
  </si>
  <si>
    <t>~80% of large dairies have propane heat (Tom Osborn/Dick Stroh estimate in 2018), so only 20% possible.</t>
  </si>
  <si>
    <t>While dairy drenching/misting is common, this should not fully remove the need for fans. Adding water without air circulation can cause humid, stagnant air that can cause health issues; ventilation is often also required to remove other gases. Technical feasibility for replacing fans with HVLS is mostly limited by the height and structural integrity of stall ceilings.</t>
  </si>
  <si>
    <t>While dairy drenching/misting is common, this should not fully remove the need for fans. Adding water without air circulation can cause humid, stagnant air that can cause health issues; ventilation is also required to remove other gases. Technical feasibility for replacing old fans with newer efficient ones is high.</t>
  </si>
  <si>
    <t>NWPCC Energy Efficiency Potential Assessment for the Agriculture Sector: Final Measure List</t>
  </si>
  <si>
    <t>Last Revised by: Dimitry Burdjalov, AEG on 8/27/2018</t>
  </si>
  <si>
    <t>No</t>
  </si>
  <si>
    <t xml:space="preserve">- Conductive cooling and targeted convection cooling systems are being studied by the Western Cooling Efficiency Center (WCEC) at UC Davis (http://www.etcc-ca.com/sites/default/files/reports/et13sce7020_conductive_cooling_system_for_dairy_farms_report_final.pdf and http://www.energy.ca.gov/research/epic/documents/2016-12-01_symposium/presentations/1-10_Improving_Water_and_Energy_Efficiency_in_Californias_Dairy_Industry.pdf). 
- Dick Stroh mentioned that it was pretty common to do "conductive cooling" by running groundwater through hoses under the beds.
- While Tom Osborn has mentioned cow soaking (often implemented as feed lane soaking) numerous times through interactions and questions about HVLS fans, AEG has not found evidence of retrofits where fans were removed because of the addition of cow soaking. While soaking + fans is a common practice in hotter climates like California, soaking practices might be enough to cool cows in the PNW region. More research and analysis of typical conditions is recommended.
- Furthermore, ventilation is also necessary outside of cooling reasons: need to take the methane and other gases out (sometimes done by wind, but can't always be dependent on this). Furthermore, increasing the humidity within the stalls via evaporative misting and soaking without removing some of the humid air could cause health issues on particularly hot and still days. </t>
  </si>
  <si>
    <t>Efficient Stock Tank De-Icer</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</si>
  <si>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de-icer is not thermostatically controlled (which is likely rare), there are substantial energy savings to be had. This measure requires that a thermostatically-controlled de-icer replaces a functioning, non-thermostatically controlled de-icer. This early retirement case is the only case assumed to have energy savings, since all known de-icers currently on the market are thermostatically-controlled.</t>
  </si>
  <si>
    <t>- This measure was originally set for inclusion in the 8th Plan based on the RTF analysis. However, the NWPCC indicated that this measure should be removed, as the Council doesn't consider early replacement measures in the power plan (savings are not long term). Since this measure is early replacement, it is only capturing short-term savings that would have happened anyways after one year. For a 20-year plan, we want to see savings that are still there in Year 20. Since the analysis was entirely based on RTF work, the removal of this measure is not a big loss of work.</t>
  </si>
  <si>
    <t>Measure Type</t>
  </si>
  <si>
    <t>Using (1- the saturation of low pressure pivot systems in FRIS) here will result in the applicable LESA systems in the APPLIC sheet when applied to total pivot acres. Assume that 25% of LESA systems have been recently replaced/upgraded. Will need update the "Acres" sheet in Irr_Eff workbook with FRIS 2017</t>
  </si>
  <si>
    <t>Measure Index</t>
  </si>
  <si>
    <t>IrrSprnklr</t>
  </si>
  <si>
    <t>IrrGskt</t>
  </si>
  <si>
    <t>IrrDrn</t>
  </si>
  <si>
    <t>IrrRpr</t>
  </si>
  <si>
    <t>IrrHub</t>
  </si>
  <si>
    <t>IrrLvlr</t>
  </si>
  <si>
    <t>IrrNzzl</t>
  </si>
  <si>
    <t>IrrRepl</t>
  </si>
  <si>
    <t>IrrUpg</t>
  </si>
  <si>
    <t>IrrPRed</t>
  </si>
  <si>
    <t>IrrConvert</t>
  </si>
  <si>
    <t>IrrCtrl</t>
  </si>
  <si>
    <t>HeatSys</t>
  </si>
  <si>
    <t>MtrRewind</t>
  </si>
  <si>
    <t>PmpImprov</t>
  </si>
  <si>
    <t>MtrCtrl</t>
  </si>
  <si>
    <t>DairyPreCool</t>
  </si>
  <si>
    <t>DairyHeatRecov</t>
  </si>
  <si>
    <t>DairyCompress</t>
  </si>
  <si>
    <t>Vent</t>
  </si>
  <si>
    <t>EngBlockHt</t>
  </si>
  <si>
    <t>'MeasureTypeCode'</t>
  </si>
  <si>
    <t>'State'</t>
  </si>
  <si>
    <t>Ramp Rate</t>
  </si>
  <si>
    <t>AEG adapted the "AgExteriorAreaLights_v2_3" workbook into 7th Plan format and selected the most likely measure permutation (LED fixture + new photocell) for the analysis. The RTF analysis methodology was followed and the LED fixture and lamp lumens/wattages were updated with the latest data in August 2018 (HID lamp prices were also updated); fixture prices did not change as much as lamp prices changed from 2016 to 2018. Final costs were adjusted to reflect the 2016 dollar year per recent Council guidance. 
The market data for this measure was based off the number of farms from the USDA 2012 census, with the 7th Plan assumption of 1.3 lights/farm being used to convert farms to fixtures. Some types of farms (by NAICS code) were estimated to likely have twice as many barn lights (assumed to have more barns and outdoor lighting requirements) based on professional judgment. The number of lights was kept flat year over year as a moderately conservative assumption. It is not clear that there is a trend of an increase in number of farms; for dairies at least, the number of farms significantly decreased from 2007 to 2012 to 2017. Since the agricultural forecast that would be most likely be used to extrapolate agricultural growth is based on consumption/irrigated acres, this does not necessarily mean that there are more farms/barns being built/created. Furthermore, it could be assumed that this measure is only applicable for existing fixtures and that new construction would use a rather affordable LED barn light. The 20-year potential for this normal replacement/lost opportunity measure was calculated using the 7th Plan stock accounting methodology, appropriately assigned applicabilities, and an annual turnover rate of 1/EUL.</t>
  </si>
  <si>
    <t>Pivot and Linear_Pressure Reduction_Medium2 to Low</t>
  </si>
  <si>
    <t>This measure is only for those systems going from High to Medium to Low pressure.</t>
  </si>
  <si>
    <t>Assume 30% of systems converted to from High to Med pressure can then be adjusted down to Low pressure.</t>
  </si>
  <si>
    <t>Very little quantifiable data exists for this measure; NWPCC asked AEG to include an estimate for this measure. A rough 10% savings estimate (from Tom Osborn, BPA based on one project in 2017) was applied to the median post-retrofit annual electricity consumption per pump from the system conversion analysis.  Though a graduate thesis in Alberta, Canada indicated slightly higher savings (12-21% for wheat and potatoes), the more conservative and region-specific 10% savings estimate was used. AEG compiled an average cost range based on discussions and other sources to result in an average project cost of approximately $34,000. Although this measure will tend to be very site-specific, costly, and difficult to quantify, it is still promising and should be investigated further.</t>
  </si>
  <si>
    <t>AEG adapted the analysis in the 7th Plan "Ag-ConvertP_Irr-7P_v3" workbook to reflect the latest assumptions made by the RTF for hardware and upgrades. AEG also ensured that the pressure reduction measures were additive to the system upgrade measures and made the following adjustments:
• The High to Low pressure reduction measure from the 7th Plan was removed based on Council feedback, and only High to Medium and Medium to Low measures were analyzed. Since there is no additional cost expected for those acres that reduce their pressure from Medium to Low concurrently with the High to Medium pressure retrofit, a third measure (“Medium2 to Low”) was created to capture this difference in cost effectiveness. 
• The pre- and post-retrofit pump discharge rates in the new analysis were set equal to the efficient case flow rates from the RTF system upgrade measures.  Since the RTF upgrade measure calculates savings based on a reduction in flow rate due to higher application efficiencies but not a difference in pressure, this calculation keeps flow rate constant and reduces pressure. The system lift and pressure per state and system type were also adjusted for consistency across both analyses. The efficient case system pressures for medium and low-pressure measures were changed to be consistent with MESA and LEPA/LESA/MDI estimates at 40 and 15 psi, respectively. 
• The 7th Plan had an increase in pump efficiency for the pressure reduction measures; AEG changed this increase from a 14% increase (6th/7th Plan) to a 5% addition to take into account some increase in system efficiency for the pump retrofit (VFD, impeller trimming, etc.) yet leave room to not double-count other efficiency increases happen from pump/motor upgrades in separate measure in the “Irr_Motors” workbook. While pump efficiency improves with reduced flow due to reduction in head pressure, AEG found that the original project data evaluated by Richard Stroh and Tom Eckman in 2003 had a maximum efficiency gain from flow reduction of 4.4%.  As such, 5% is a more reasonable efficiency increase assumption than 14%. The VFD addition is assumed as the main source of the project costs for pressure reduction measures, which were estimated as $150/HP. No pump efficiency changes are evaluated for the wheel- and hand-line conversion measures, consistent with the 7th Plan.</t>
  </si>
  <si>
    <t>For the pump upgrade measures, AEG used the following adjustments and approach:
• Agricultural measure impacts from the original RTF UES analysis were adjusted by the hours of use from the RTF Irrigation Hardware UES workbook to ensure that all irrigation motor measures were consistent. 
• Pump measure impacts were averaged across pump class and efficiency rating improvement. Lacking other data, an average of a large amount of data was chosen as the representative value from an assumed equal distribution of possible outcomes.
• A weighted average irrigation pump horsepower value per state was determined across all pump types based on FRIS data; the dataset was used since it is the only known source that can expand across the whole region. It was then assumed that 20% of pumps in the region are candidates for pump upgrades as opposed to Green Motor Rewinds.</t>
  </si>
  <si>
    <t>MAX</t>
  </si>
  <si>
    <t>SUM</t>
  </si>
  <si>
    <t>Circulating Engine Block Heater</t>
  </si>
  <si>
    <t>Energy Free Stock Tank</t>
  </si>
  <si>
    <t>Dairy Refrigeration Measures</t>
  </si>
  <si>
    <t>Exterior Area Lighting</t>
  </si>
  <si>
    <t>Dairy Ventilation Measures</t>
  </si>
  <si>
    <t>Dairy Lighting</t>
  </si>
  <si>
    <t>Green Motor Rewind</t>
  </si>
  <si>
    <t>Pump Upgrades</t>
  </si>
  <si>
    <t>Actual Max Potential (minimum of 85% Max and Sum of Calculated Technical Potential)</t>
  </si>
  <si>
    <t>Irrigation Hardware and Upgrades</t>
  </si>
  <si>
    <t>Irrigation System Pressure Reduction</t>
  </si>
  <si>
    <t>Incremental savings without taking into account measure persistence</t>
  </si>
  <si>
    <t>Incremental Potential Curve</t>
  </si>
  <si>
    <t>Dimitry Burdjalov, AEG on 9/26/2018</t>
  </si>
  <si>
    <t>Item</t>
  </si>
  <si>
    <t>Date</t>
  </si>
  <si>
    <t>Updates from AEG deliverable Sept 2018</t>
  </si>
  <si>
    <t>Data from 2017 Census of Ag, County Level data, Table 10. https://www.nass.usda.gov/Publications/AgCensus/2017/</t>
  </si>
  <si>
    <t>Updated W vs E tab with 2017 census of Ag</t>
  </si>
  <si>
    <t>MAX options</t>
  </si>
  <si>
    <t>Last edited; 8/19/19</t>
  </si>
  <si>
    <t>Wholesale Demand Reduction (kW/unit) - Peak 1</t>
  </si>
  <si>
    <t xml:space="preserve">Baseline saturation of 50% is used in the current practice baseline of the measure for this NR measure, so a baseline saturation is not included here for the applicability. </t>
  </si>
  <si>
    <t>High Volume Low Speed Fans - Free Stall - Idaho</t>
  </si>
  <si>
    <t>High Volume Low Speed Fans - Tie Stall - Idaho</t>
  </si>
  <si>
    <t>High Volume Low Speed Fans - Free Stall - Montana</t>
  </si>
  <si>
    <t>High Volume Low Speed Fans - Tie Stall - Montana</t>
  </si>
  <si>
    <t>High Volume Low Speed Fans - Free Stall - Oregon</t>
  </si>
  <si>
    <t>High Volume Low Speed Fans - Tie Stall - Oregon</t>
  </si>
  <si>
    <t>High Volume Low Speed Fans - Free Stall - Washington</t>
  </si>
  <si>
    <t>High Volume Low Speed Fans - Tie Stall - Washington</t>
  </si>
  <si>
    <t>Efficient High Speed Fans - Free Stall - Idaho</t>
  </si>
  <si>
    <t>Efficient High Speed Fans - Tie Stall - Idaho</t>
  </si>
  <si>
    <t>Efficient High Speed Fans - Free Stall - Montana</t>
  </si>
  <si>
    <t>Efficient High Speed Fans - Tie Stall - Montana</t>
  </si>
  <si>
    <t>Efficient High Speed Fans - Free Stall - Oregon</t>
  </si>
  <si>
    <t>Efficient High Speed Fans - Tie Stall - Oregon</t>
  </si>
  <si>
    <t>Efficient High Speed Fans - Free Stall - Washington</t>
  </si>
  <si>
    <t>Efficient High Speed Fans - Tie Stall - Washington</t>
  </si>
  <si>
    <t>Used 2017 Census of Agriculture and applying to all cattle farms &lt;500 head and equine farms &lt;100 head. The count already includes these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</si>
</sst>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0.0"/>
    <numFmt numFmtId="167" formatCode="0.0%"/>
  </numFmts>
  <fonts count="23" x14ac:knownFonts="1">
    <font>
      <sz val="11"/>
      <color theme="1"/>
      <name val="Calibri"/>
      <family val="2"/>
    </font>
    <font>
      <sz val="10"/>
      <color theme="1"/>
      <name val="Arial"/>
      <family val="2"/>
    </font>
    <font>
      <sz val="11"/>
      <color theme="1"/>
      <name val="Calibri"/>
      <family val="2"/>
    </font>
    <font>
      <sz val="10"/>
      <name val="Arial"/>
      <family val="2"/>
    </font>
    <font>
      <sz val="12"/>
      <name val="Arial"/>
      <family val="2"/>
    </font>
    <font>
      <sz val="10"/>
      <color indexed="8"/>
      <name val="Arial"/>
      <family val="2"/>
    </font>
    <font>
      <b/>
      <sz val="8"/>
      <color indexed="81"/>
      <name val="Tahoma"/>
      <family val="2"/>
    </font>
    <font>
      <sz val="8"/>
      <color indexed="81"/>
      <name val="Tahoma"/>
      <family val="2"/>
    </font>
    <font>
      <sz val="10"/>
      <color theme="1"/>
      <name val="Arial"/>
      <family val="2"/>
    </font>
    <font>
      <sz val="11"/>
      <color theme="1"/>
      <name val="Calibri"/>
      <family val="2"/>
      <scheme val="minor"/>
    </font>
    <font>
      <sz val="11"/>
      <color rgb="FF3F3F76"/>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9"/>
      <color indexed="81"/>
      <name val="Tahoma"/>
      <family val="2"/>
    </font>
    <font>
      <sz val="9"/>
      <color indexed="81"/>
      <name val="Tahoma"/>
      <family val="2"/>
    </font>
    <font>
      <b/>
      <sz val="11"/>
      <color theme="0"/>
      <name val="Calibri"/>
      <family val="2"/>
    </font>
    <font>
      <b/>
      <sz val="10"/>
      <color theme="1"/>
      <name val="Arial"/>
      <family val="2"/>
    </font>
    <font>
      <b/>
      <sz val="10"/>
      <name val="Arial"/>
      <family val="2"/>
    </font>
    <font>
      <b/>
      <sz val="11"/>
      <color theme="1"/>
      <name val="Calibri"/>
      <family val="2"/>
    </font>
  </fonts>
  <fills count="2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8"/>
      </patternFill>
    </fill>
    <fill>
      <patternFill patternType="solid">
        <fgColor theme="4"/>
        <bgColor theme="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66FF"/>
        <bgColor indexed="64"/>
      </patternFill>
    </fill>
    <fill>
      <patternFill patternType="solid">
        <fgColor rgb="FFFF99FF"/>
        <bgColor indexed="64"/>
      </patternFill>
    </fill>
    <fill>
      <patternFill patternType="solid">
        <fgColor theme="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style="thin">
        <color theme="0" tint="-0.14993743705557422"/>
      </left>
      <right style="thin">
        <color theme="0" tint="-0.14993743705557422"/>
      </right>
      <top/>
      <bottom/>
      <diagonal/>
    </border>
    <border>
      <left style="thin">
        <color theme="0" tint="-0.14993743705557422"/>
      </left>
      <right style="medium">
        <color theme="0" tint="-0.14996795556505021"/>
      </right>
      <top/>
      <bottom/>
      <diagonal/>
    </border>
    <border>
      <left style="thin">
        <color theme="0" tint="-0.14990691854609822"/>
      </left>
      <right style="thin">
        <color theme="0" tint="-0.14990691854609822"/>
      </right>
      <top style="medium">
        <color theme="0" tint="-0.1498764000366222"/>
      </top>
      <bottom style="medium">
        <color theme="0" tint="-0.1498764000366222"/>
      </bottom>
      <diagonal/>
    </border>
    <border>
      <left style="thin">
        <color theme="0" tint="-0.14990691854609822"/>
      </left>
      <right style="thin">
        <color theme="0" tint="-0.14990691854609822"/>
      </right>
      <top style="medium">
        <color theme="0" tint="-0.1498764000366222"/>
      </top>
      <bottom/>
      <diagonal/>
    </border>
    <border>
      <left style="thin">
        <color theme="0" tint="-0.14990691854609822"/>
      </left>
      <right style="thin">
        <color theme="0" tint="-0.14990691854609822"/>
      </right>
      <top style="medium">
        <color theme="0" tint="-0.1498764000366222"/>
      </top>
      <bottom style="thin">
        <color theme="4" tint="0.3999755851924192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6">
    <xf numFmtId="0" fontId="0" fillId="0" borderId="0"/>
    <xf numFmtId="44" fontId="2" fillId="0" borderId="0" applyFont="0" applyFill="0" applyBorder="0" applyAlignment="0" applyProtection="0"/>
    <xf numFmtId="0" fontId="3" fillId="2" borderId="0" applyNumberFormat="0" applyAlignment="0">
      <alignment horizontal="right"/>
    </xf>
    <xf numFmtId="0" fontId="4" fillId="0" borderId="0"/>
    <xf numFmtId="0" fontId="9" fillId="0" borderId="0"/>
    <xf numFmtId="9" fontId="9" fillId="0" borderId="0" applyFont="0" applyFill="0" applyBorder="0" applyAlignment="0" applyProtection="0"/>
    <xf numFmtId="0" fontId="10" fillId="8" borderId="2" applyNumberFormat="0" applyAlignment="0" applyProtection="0"/>
    <xf numFmtId="0" fontId="11" fillId="5" borderId="0" applyNumberFormat="0" applyBorder="0" applyAlignment="0" applyProtection="0"/>
    <xf numFmtId="0" fontId="12" fillId="7" borderId="0" applyNumberFormat="0" applyBorder="0" applyAlignment="0" applyProtection="0"/>
    <xf numFmtId="0" fontId="13" fillId="6" borderId="0" applyNumberFormat="0" applyBorder="0" applyAlignment="0" applyProtection="0"/>
    <xf numFmtId="0" fontId="14" fillId="9" borderId="2" applyNumberFormat="0" applyAlignment="0" applyProtection="0"/>
    <xf numFmtId="0" fontId="15" fillId="10" borderId="3" applyNumberFormat="0" applyAlignment="0" applyProtection="0"/>
    <xf numFmtId="0" fontId="16" fillId="11" borderId="0" applyNumberFormat="0" applyBorder="0" applyAlignment="0" applyProtection="0"/>
    <xf numFmtId="0" fontId="3" fillId="0" borderId="0"/>
    <xf numFmtId="9" fontId="3"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alignment readingOrder="1"/>
    </xf>
    <xf numFmtId="43" fontId="8" fillId="0" borderId="0" applyFont="0" applyFill="0" applyBorder="0" applyAlignment="0" applyProtection="0"/>
    <xf numFmtId="0" fontId="3" fillId="0" borderId="0">
      <alignment readingOrder="1"/>
    </xf>
    <xf numFmtId="9" fontId="3" fillId="0" borderId="0" applyFont="0" applyFill="0" applyBorder="0" applyAlignment="0" applyProtection="0"/>
    <xf numFmtId="0" fontId="1" fillId="0" borderId="0"/>
  </cellStyleXfs>
  <cellXfs count="221">
    <xf numFmtId="0" fontId="0" fillId="0" borderId="0" xfId="0"/>
    <xf numFmtId="0" fontId="5" fillId="3" borderId="1" xfId="3" applyFont="1" applyFill="1" applyBorder="1" applyAlignment="1">
      <alignment horizontal="center" vertical="center" wrapText="1"/>
    </xf>
    <xf numFmtId="0" fontId="3" fillId="0" borderId="1" xfId="0" applyFont="1" applyBorder="1" applyAlignment="1">
      <alignment horizontal="center" readingOrder="1"/>
    </xf>
    <xf numFmtId="0" fontId="3" fillId="2" borderId="1" xfId="2" applyFont="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3" applyFont="1" applyFill="1" applyBorder="1" applyAlignment="1">
      <alignment horizontal="center" vertical="center" wrapText="1"/>
    </xf>
    <xf numFmtId="0" fontId="8" fillId="0" borderId="0" xfId="0" applyFont="1"/>
    <xf numFmtId="0" fontId="8" fillId="0" borderId="1" xfId="0" applyFont="1" applyBorder="1" applyAlignment="1">
      <alignment horizontal="center"/>
    </xf>
    <xf numFmtId="0" fontId="8" fillId="0" borderId="1" xfId="0" applyFont="1" applyBorder="1"/>
    <xf numFmtId="164" fontId="8" fillId="0" borderId="1" xfId="0" applyNumberFormat="1" applyFont="1" applyBorder="1"/>
    <xf numFmtId="164" fontId="8" fillId="0" borderId="1" xfId="1" applyNumberFormat="1" applyFont="1" applyBorder="1"/>
    <xf numFmtId="0" fontId="8" fillId="0" borderId="1" xfId="0" applyFont="1" applyBorder="1" applyAlignment="1">
      <alignment readingOrder="1"/>
    </xf>
    <xf numFmtId="165" fontId="8" fillId="0" borderId="1" xfId="0" applyNumberFormat="1" applyFont="1" applyBorder="1"/>
    <xf numFmtId="2" fontId="8" fillId="0" borderId="1" xfId="0" applyNumberFormat="1" applyFont="1" applyBorder="1"/>
    <xf numFmtId="1" fontId="8" fillId="0" borderId="1" xfId="0" applyNumberFormat="1" applyFont="1" applyBorder="1" applyAlignment="1">
      <alignment horizontal="center"/>
    </xf>
    <xf numFmtId="0" fontId="8" fillId="0" borderId="1" xfId="0" applyFont="1" applyBorder="1" applyAlignment="1"/>
    <xf numFmtId="0" fontId="19" fillId="12" borderId="0" xfId="0" applyFont="1" applyFill="1" applyAlignment="1">
      <alignment horizontal="center" vertical="center" wrapText="1"/>
    </xf>
    <xf numFmtId="0" fontId="19" fillId="12" borderId="4"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0" fillId="0" borderId="8" xfId="0" applyBorder="1" applyAlignment="1">
      <alignment vertical="center"/>
    </xf>
    <xf numFmtId="0" fontId="0" fillId="0" borderId="8" xfId="0" applyFill="1" applyBorder="1" applyAlignment="1">
      <alignment vertical="center" wrapText="1"/>
    </xf>
    <xf numFmtId="0" fontId="0" fillId="0" borderId="8" xfId="0"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NumberFormat="1" applyBorder="1" applyAlignment="1">
      <alignment vertical="center"/>
    </xf>
    <xf numFmtId="0" fontId="0" fillId="0" borderId="9" xfId="0" applyBorder="1" applyAlignment="1">
      <alignment vertical="center"/>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Font="1" applyBorder="1" applyAlignment="1">
      <alignment vertical="center" wrapText="1"/>
    </xf>
    <xf numFmtId="0" fontId="20" fillId="0" borderId="0" xfId="0" applyFont="1" applyAlignment="1">
      <alignment horizontal="left"/>
    </xf>
    <xf numFmtId="0" fontId="5" fillId="3" borderId="1" xfId="3" applyFont="1" applyFill="1" applyBorder="1" applyAlignment="1">
      <alignment horizontal="left" vertical="center" wrapText="1"/>
    </xf>
    <xf numFmtId="0" fontId="3" fillId="2" borderId="1" xfId="2" applyFont="1" applyBorder="1" applyAlignment="1">
      <alignment horizontal="left" vertical="center"/>
    </xf>
    <xf numFmtId="0" fontId="8" fillId="14" borderId="1" xfId="0" applyFont="1" applyFill="1" applyBorder="1" applyAlignment="1">
      <alignment horizontal="center"/>
    </xf>
    <xf numFmtId="0" fontId="8" fillId="14" borderId="1" xfId="0" applyFont="1" applyFill="1" applyBorder="1"/>
    <xf numFmtId="165" fontId="8" fillId="14" borderId="1" xfId="0" applyNumberFormat="1" applyFont="1" applyFill="1" applyBorder="1"/>
    <xf numFmtId="1" fontId="8" fillId="14" borderId="1" xfId="0" applyNumberFormat="1" applyFont="1" applyFill="1" applyBorder="1" applyAlignment="1">
      <alignment horizontal="center"/>
    </xf>
    <xf numFmtId="164" fontId="8" fillId="14" borderId="1" xfId="0" applyNumberFormat="1" applyFont="1" applyFill="1" applyBorder="1"/>
    <xf numFmtId="164" fontId="8" fillId="14" borderId="1" xfId="1" applyNumberFormat="1" applyFont="1" applyFill="1" applyBorder="1"/>
    <xf numFmtId="0" fontId="8" fillId="14" borderId="1" xfId="0" applyFont="1" applyFill="1" applyBorder="1" applyAlignment="1"/>
    <xf numFmtId="0" fontId="8" fillId="15" borderId="0" xfId="0" applyFont="1" applyFill="1" applyAlignment="1">
      <alignment horizontal="center"/>
    </xf>
    <xf numFmtId="0" fontId="8" fillId="15" borderId="0" xfId="0" applyFont="1" applyFill="1"/>
    <xf numFmtId="0" fontId="20" fillId="15" borderId="0" xfId="0" applyFont="1" applyFill="1" applyAlignment="1">
      <alignment horizontal="left"/>
    </xf>
    <xf numFmtId="0" fontId="8" fillId="15" borderId="0" xfId="0" applyFont="1" applyFill="1" applyAlignment="1">
      <alignment horizontal="left"/>
    </xf>
    <xf numFmtId="0" fontId="0" fillId="13" borderId="8" xfId="0" quotePrefix="1" applyFont="1" applyFill="1" applyBorder="1" applyAlignment="1">
      <alignment vertical="center" wrapText="1"/>
    </xf>
    <xf numFmtId="0" fontId="0" fillId="0" borderId="8" xfId="0" quotePrefix="1" applyFont="1" applyBorder="1" applyAlignment="1">
      <alignment vertical="center" wrapText="1"/>
    </xf>
    <xf numFmtId="0" fontId="0" fillId="13" borderId="8" xfId="0" quotePrefix="1" applyFont="1" applyFill="1" applyBorder="1" applyAlignment="1">
      <alignment vertical="center"/>
    </xf>
    <xf numFmtId="0" fontId="0" fillId="0" borderId="10" xfId="0" quotePrefix="1" applyFont="1" applyBorder="1" applyAlignment="1">
      <alignment vertical="center" wrapText="1"/>
    </xf>
    <xf numFmtId="0" fontId="3" fillId="0" borderId="0" xfId="13"/>
    <xf numFmtId="9" fontId="3" fillId="0" borderId="0" xfId="13" applyNumberFormat="1"/>
    <xf numFmtId="0" fontId="3" fillId="16" borderId="0" xfId="13" applyFill="1"/>
    <xf numFmtId="0" fontId="3" fillId="16" borderId="11" xfId="13" applyFill="1" applyBorder="1"/>
    <xf numFmtId="9" fontId="0" fillId="0" borderId="0" xfId="14" applyFont="1"/>
    <xf numFmtId="0" fontId="3" fillId="0" borderId="0" xfId="16"/>
    <xf numFmtId="0" fontId="3" fillId="0" borderId="0" xfId="19"/>
    <xf numFmtId="0" fontId="3" fillId="18" borderId="0" xfId="13" applyFill="1"/>
    <xf numFmtId="9" fontId="3" fillId="18" borderId="0" xfId="13" applyNumberFormat="1" applyFill="1"/>
    <xf numFmtId="9" fontId="0" fillId="18" borderId="0" xfId="14" applyFont="1" applyFill="1"/>
    <xf numFmtId="9" fontId="0" fillId="18" borderId="0" xfId="14" applyNumberFormat="1" applyFont="1" applyFill="1"/>
    <xf numFmtId="0" fontId="21" fillId="0" borderId="0" xfId="16" applyFont="1"/>
    <xf numFmtId="0" fontId="3" fillId="0" borderId="0" xfId="16" applyAlignment="1">
      <alignment horizontal="center"/>
    </xf>
    <xf numFmtId="0" fontId="3" fillId="16" borderId="17" xfId="16" applyFill="1" applyBorder="1"/>
    <xf numFmtId="0" fontId="3" fillId="16" borderId="1" xfId="16" applyFill="1" applyBorder="1"/>
    <xf numFmtId="0" fontId="3" fillId="17" borderId="0" xfId="16" applyFill="1"/>
    <xf numFmtId="9" fontId="0" fillId="0" borderId="0" xfId="14" applyFont="1" applyAlignment="1">
      <alignment horizontal="center"/>
    </xf>
    <xf numFmtId="9" fontId="0" fillId="0" borderId="0" xfId="14" applyFont="1" applyFill="1"/>
    <xf numFmtId="0" fontId="3" fillId="19" borderId="0" xfId="13" applyFill="1"/>
    <xf numFmtId="9" fontId="0" fillId="0" borderId="0" xfId="14" applyFont="1" applyAlignment="1">
      <alignment horizontal="left"/>
    </xf>
    <xf numFmtId="0" fontId="3" fillId="0" borderId="0" xfId="23" applyAlignment="1"/>
    <xf numFmtId="0" fontId="3" fillId="0" borderId="0" xfId="23" applyFont="1" applyAlignment="1"/>
    <xf numFmtId="0" fontId="3" fillId="0" borderId="12" xfId="23" applyBorder="1" applyAlignment="1"/>
    <xf numFmtId="9" fontId="0" fillId="0" borderId="13" xfId="24" applyFont="1" applyBorder="1"/>
    <xf numFmtId="0" fontId="3" fillId="0" borderId="12" xfId="23" applyFont="1" applyBorder="1" applyAlignment="1"/>
    <xf numFmtId="0" fontId="8" fillId="0" borderId="0" xfId="4" applyFont="1"/>
    <xf numFmtId="0" fontId="3" fillId="0" borderId="0" xfId="19" applyAlignment="1">
      <alignment horizontal="center" vertical="center" wrapText="1"/>
    </xf>
    <xf numFmtId="0" fontId="8" fillId="0" borderId="1" xfId="0" applyFont="1" applyFill="1" applyBorder="1" applyAlignment="1">
      <alignment horizontal="center"/>
    </xf>
    <xf numFmtId="0" fontId="8" fillId="0" borderId="1" xfId="0" applyFont="1" applyFill="1" applyBorder="1"/>
    <xf numFmtId="165" fontId="8" fillId="0" borderId="1" xfId="0" applyNumberFormat="1" applyFont="1" applyFill="1" applyBorder="1"/>
    <xf numFmtId="1" fontId="8" fillId="0" borderId="1" xfId="0" applyNumberFormat="1" applyFont="1" applyFill="1" applyBorder="1" applyAlignment="1">
      <alignment horizontal="center"/>
    </xf>
    <xf numFmtId="164" fontId="8" fillId="0" borderId="1" xfId="0" applyNumberFormat="1" applyFont="1" applyFill="1" applyBorder="1"/>
    <xf numFmtId="0" fontId="8" fillId="0" borderId="0" xfId="0" applyFont="1" applyFill="1"/>
    <xf numFmtId="164" fontId="8" fillId="0" borderId="1" xfId="1" applyNumberFormat="1" applyFont="1" applyFill="1" applyBorder="1"/>
    <xf numFmtId="0" fontId="8" fillId="0" borderId="1" xfId="0" applyFont="1" applyFill="1" applyBorder="1" applyAlignment="1"/>
    <xf numFmtId="1" fontId="8" fillId="14" borderId="1" xfId="0" applyNumberFormat="1" applyFont="1" applyFill="1" applyBorder="1"/>
    <xf numFmtId="0" fontId="3" fillId="0" borderId="0" xfId="13" applyFill="1"/>
    <xf numFmtId="0" fontId="0" fillId="0" borderId="0" xfId="0" applyAlignment="1">
      <alignment horizontal="center" vertical="center" wrapText="1"/>
    </xf>
    <xf numFmtId="0" fontId="3" fillId="0" borderId="0" xfId="19" applyAlignment="1">
      <alignment vertical="center"/>
    </xf>
    <xf numFmtId="0" fontId="0" fillId="0" borderId="0" xfId="0" applyFont="1" applyAlignment="1">
      <alignment vertical="center"/>
    </xf>
    <xf numFmtId="0" fontId="3" fillId="0" borderId="0" xfId="23" applyAlignment="1">
      <alignment horizontal="center" vertical="center" wrapText="1"/>
    </xf>
    <xf numFmtId="0" fontId="3" fillId="0" borderId="0" xfId="16" applyFont="1"/>
    <xf numFmtId="0" fontId="3" fillId="16" borderId="0" xfId="16" applyFont="1" applyFill="1"/>
    <xf numFmtId="0" fontId="3" fillId="16" borderId="16" xfId="16" applyFont="1" applyFill="1" applyBorder="1"/>
    <xf numFmtId="0" fontId="3" fillId="0" borderId="0" xfId="16" applyFont="1" applyFill="1"/>
    <xf numFmtId="0" fontId="3" fillId="0" borderId="0" xfId="16" applyFont="1" applyAlignment="1">
      <alignment horizontal="center"/>
    </xf>
    <xf numFmtId="0" fontId="3" fillId="16" borderId="17" xfId="16" applyFont="1" applyFill="1" applyBorder="1"/>
    <xf numFmtId="0" fontId="8" fillId="0" borderId="0" xfId="0" applyFont="1" applyAlignment="1">
      <alignment horizontal="center"/>
    </xf>
    <xf numFmtId="0" fontId="8" fillId="16" borderId="17" xfId="0" applyFont="1" applyFill="1" applyBorder="1"/>
    <xf numFmtId="0" fontId="8" fillId="16" borderId="1" xfId="0" applyFont="1" applyFill="1" applyBorder="1"/>
    <xf numFmtId="0" fontId="3" fillId="20" borderId="0" xfId="13" applyFill="1"/>
    <xf numFmtId="9" fontId="0" fillId="20" borderId="0" xfId="14" applyFont="1" applyFill="1"/>
    <xf numFmtId="9" fontId="0" fillId="0" borderId="0" xfId="14" applyNumberFormat="1" applyFont="1" applyAlignment="1">
      <alignment horizontal="center"/>
    </xf>
    <xf numFmtId="0" fontId="3" fillId="20" borderId="0" xfId="16" applyFill="1"/>
    <xf numFmtId="0" fontId="0" fillId="13" borderId="10" xfId="0" applyFont="1" applyFill="1" applyBorder="1" applyAlignment="1">
      <alignment vertical="center" wrapText="1"/>
    </xf>
    <xf numFmtId="0" fontId="0" fillId="0" borderId="8" xfId="0" applyNumberFormat="1" applyBorder="1" applyAlignment="1">
      <alignment vertical="center"/>
    </xf>
    <xf numFmtId="0" fontId="0" fillId="0" borderId="0" xfId="0" applyAlignment="1">
      <alignment vertical="center" wrapText="1"/>
    </xf>
    <xf numFmtId="0" fontId="0" fillId="0" borderId="0" xfId="0" quotePrefix="1" applyAlignment="1">
      <alignment vertical="center" wrapText="1"/>
    </xf>
    <xf numFmtId="0" fontId="5" fillId="21" borderId="1" xfId="3" applyFont="1" applyFill="1" applyBorder="1" applyAlignment="1">
      <alignment horizontal="center" vertical="center" wrapText="1"/>
    </xf>
    <xf numFmtId="0" fontId="8" fillId="15" borderId="1" xfId="0" applyFont="1" applyFill="1" applyBorder="1" applyAlignment="1">
      <alignment horizontal="center"/>
    </xf>
    <xf numFmtId="0" fontId="8" fillId="15" borderId="1" xfId="0" applyFont="1" applyFill="1" applyBorder="1"/>
    <xf numFmtId="165" fontId="8" fillId="15" borderId="1" xfId="0" applyNumberFormat="1" applyFont="1" applyFill="1" applyBorder="1"/>
    <xf numFmtId="1" fontId="8" fillId="15" borderId="1" xfId="0" applyNumberFormat="1" applyFont="1" applyFill="1" applyBorder="1" applyAlignment="1">
      <alignment horizontal="center"/>
    </xf>
    <xf numFmtId="164" fontId="8" fillId="15" borderId="1" xfId="0" applyNumberFormat="1" applyFont="1" applyFill="1" applyBorder="1"/>
    <xf numFmtId="164" fontId="8" fillId="15" borderId="1" xfId="1" applyNumberFormat="1" applyFont="1" applyFill="1" applyBorder="1"/>
    <xf numFmtId="0" fontId="8" fillId="15" borderId="1" xfId="0" applyFont="1" applyFill="1" applyBorder="1" applyAlignment="1"/>
    <xf numFmtId="2" fontId="8" fillId="15" borderId="1" xfId="0" applyNumberFormat="1" applyFont="1" applyFill="1" applyBorder="1"/>
    <xf numFmtId="1" fontId="8" fillId="15" borderId="1" xfId="0" applyNumberFormat="1" applyFont="1" applyFill="1" applyBorder="1"/>
    <xf numFmtId="2" fontId="8" fillId="14" borderId="1" xfId="0" applyNumberFormat="1" applyFont="1" applyFill="1" applyBorder="1"/>
    <xf numFmtId="2" fontId="8" fillId="0" borderId="1" xfId="0" applyNumberFormat="1" applyFont="1" applyBorder="1" applyAlignment="1">
      <alignment readingOrder="1"/>
    </xf>
    <xf numFmtId="2" fontId="8" fillId="0" borderId="1" xfId="0" applyNumberFormat="1" applyFont="1" applyFill="1" applyBorder="1"/>
    <xf numFmtId="9" fontId="0" fillId="19" borderId="0" xfId="14" applyFont="1" applyFill="1"/>
    <xf numFmtId="1" fontId="3" fillId="14" borderId="1" xfId="0" applyNumberFormat="1" applyFont="1" applyFill="1" applyBorder="1"/>
    <xf numFmtId="1" fontId="8" fillId="0" borderId="1" xfId="0" applyNumberFormat="1" applyFont="1" applyFill="1" applyBorder="1"/>
    <xf numFmtId="44" fontId="8" fillId="0" borderId="1" xfId="0" applyNumberFormat="1" applyFont="1" applyFill="1" applyBorder="1"/>
    <xf numFmtId="3" fontId="8" fillId="0" borderId="1" xfId="0" applyNumberFormat="1" applyFont="1" applyFill="1" applyBorder="1"/>
    <xf numFmtId="9" fontId="3" fillId="0" borderId="0" xfId="16" applyNumberFormat="1" applyFont="1" applyAlignment="1">
      <alignment vertical="center"/>
    </xf>
    <xf numFmtId="0" fontId="3" fillId="0" borderId="0" xfId="16" applyFont="1" applyAlignment="1">
      <alignment vertical="center" wrapText="1"/>
    </xf>
    <xf numFmtId="9" fontId="3" fillId="20" borderId="0" xfId="16" applyNumberFormat="1" applyFont="1" applyFill="1" applyAlignment="1">
      <alignment vertical="center"/>
    </xf>
    <xf numFmtId="0" fontId="3" fillId="20" borderId="0" xfId="16" applyFont="1" applyFill="1" applyAlignment="1">
      <alignment vertical="center" wrapText="1"/>
    </xf>
    <xf numFmtId="0" fontId="3" fillId="0" borderId="0" xfId="16" applyFont="1" applyAlignment="1">
      <alignment vertical="center"/>
    </xf>
    <xf numFmtId="0" fontId="3" fillId="20" borderId="0" xfId="16" applyFont="1" applyFill="1" applyAlignment="1">
      <alignment vertical="center"/>
    </xf>
    <xf numFmtId="9" fontId="3" fillId="18" borderId="0" xfId="16" applyNumberFormat="1" applyFont="1" applyFill="1" applyAlignment="1">
      <alignment vertical="center"/>
    </xf>
    <xf numFmtId="0" fontId="3" fillId="16" borderId="19" xfId="16" applyFont="1" applyFill="1" applyBorder="1"/>
    <xf numFmtId="0" fontId="8" fillId="20" borderId="1" xfId="0" applyFont="1" applyFill="1" applyBorder="1" applyAlignment="1">
      <alignment vertical="center"/>
    </xf>
    <xf numFmtId="9" fontId="3" fillId="0" borderId="1" xfId="16" applyNumberFormat="1" applyFont="1" applyBorder="1" applyAlignment="1">
      <alignment vertical="center"/>
    </xf>
    <xf numFmtId="0" fontId="3" fillId="0" borderId="1" xfId="16" applyFont="1" applyBorder="1" applyAlignment="1">
      <alignment vertical="center" wrapText="1"/>
    </xf>
    <xf numFmtId="9" fontId="3" fillId="20" borderId="1" xfId="16" applyNumberFormat="1" applyFont="1" applyFill="1" applyBorder="1" applyAlignment="1">
      <alignment vertical="center"/>
    </xf>
    <xf numFmtId="0" fontId="3" fillId="20" borderId="1" xfId="16" applyFont="1" applyFill="1" applyBorder="1" applyAlignment="1">
      <alignment vertical="center" wrapText="1"/>
    </xf>
    <xf numFmtId="0" fontId="3" fillId="0" borderId="1" xfId="16" applyFont="1" applyBorder="1" applyAlignment="1">
      <alignment vertical="center"/>
    </xf>
    <xf numFmtId="10" fontId="3" fillId="20" borderId="1" xfId="16" applyNumberFormat="1" applyFont="1" applyFill="1" applyBorder="1" applyAlignment="1">
      <alignment vertical="center"/>
    </xf>
    <xf numFmtId="0" fontId="3" fillId="20" borderId="1" xfId="16" applyFont="1" applyFill="1" applyBorder="1" applyAlignment="1">
      <alignment vertical="center"/>
    </xf>
    <xf numFmtId="9" fontId="8" fillId="0" borderId="0" xfId="14"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3" fillId="0" borderId="0" xfId="16" applyFont="1" applyFill="1" applyAlignment="1">
      <alignment vertical="center"/>
    </xf>
    <xf numFmtId="0" fontId="8" fillId="0" borderId="0" xfId="0" applyFont="1" applyFill="1" applyAlignment="1">
      <alignment vertical="center"/>
    </xf>
    <xf numFmtId="9" fontId="8" fillId="0" borderId="0" xfId="14" applyFont="1" applyFill="1" applyAlignment="1">
      <alignment horizontal="center" vertical="center"/>
    </xf>
    <xf numFmtId="9" fontId="8" fillId="0" borderId="1" xfId="14" applyFont="1" applyBorder="1" applyAlignment="1">
      <alignment horizontal="center" vertical="center"/>
    </xf>
    <xf numFmtId="0" fontId="8" fillId="0" borderId="1" xfId="0" applyFont="1" applyBorder="1" applyAlignment="1">
      <alignment vertical="center" wrapText="1"/>
    </xf>
    <xf numFmtId="9" fontId="8" fillId="20" borderId="1" xfId="14" applyFont="1" applyFill="1" applyBorder="1" applyAlignment="1">
      <alignment horizontal="center" vertical="center"/>
    </xf>
    <xf numFmtId="0" fontId="8" fillId="20" borderId="1" xfId="0" applyFont="1" applyFill="1" applyBorder="1" applyAlignment="1">
      <alignment vertical="center" wrapText="1"/>
    </xf>
    <xf numFmtId="0" fontId="8" fillId="17" borderId="1" xfId="0" applyFont="1" applyFill="1" applyBorder="1" applyAlignment="1">
      <alignment vertical="center"/>
    </xf>
    <xf numFmtId="9" fontId="8" fillId="0" borderId="1" xfId="14" applyFont="1" applyFill="1" applyBorder="1" applyAlignment="1">
      <alignment horizontal="center" vertical="center"/>
    </xf>
    <xf numFmtId="0" fontId="3" fillId="17" borderId="1" xfId="16" applyFont="1" applyFill="1" applyBorder="1" applyAlignment="1">
      <alignment vertical="center"/>
    </xf>
    <xf numFmtId="0" fontId="0" fillId="0" borderId="0" xfId="0" quotePrefix="1"/>
    <xf numFmtId="0" fontId="8" fillId="0" borderId="1" xfId="0" applyFont="1" applyBorder="1" applyAlignment="1">
      <alignment horizontal="left"/>
    </xf>
    <xf numFmtId="0" fontId="8" fillId="14" borderId="1" xfId="0" applyFont="1" applyFill="1" applyBorder="1" applyAlignment="1">
      <alignment horizontal="left"/>
    </xf>
    <xf numFmtId="0" fontId="0" fillId="0" borderId="1" xfId="0" applyBorder="1"/>
    <xf numFmtId="0" fontId="8" fillId="0" borderId="1" xfId="0" applyFont="1" applyFill="1" applyBorder="1" applyAlignment="1">
      <alignment horizontal="left"/>
    </xf>
    <xf numFmtId="0" fontId="8" fillId="15" borderId="1" xfId="0" applyFont="1" applyFill="1" applyBorder="1" applyAlignment="1">
      <alignment horizontal="left"/>
    </xf>
    <xf numFmtId="0" fontId="0" fillId="0" borderId="9" xfId="0" applyNumberFormat="1" applyBorder="1" applyAlignment="1">
      <alignment vertical="center"/>
    </xf>
    <xf numFmtId="0" fontId="0" fillId="0" borderId="9" xfId="0" applyBorder="1" applyAlignment="1">
      <alignment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0" xfId="0" applyFill="1" applyBorder="1"/>
    <xf numFmtId="0" fontId="0" fillId="0" borderId="0" xfId="0"/>
    <xf numFmtId="0" fontId="3" fillId="2" borderId="1" xfId="2" applyFont="1" applyBorder="1" applyAlignment="1">
      <alignment horizontal="center" vertical="center" wrapText="1"/>
    </xf>
    <xf numFmtId="2" fontId="8" fillId="0" borderId="1" xfId="0" applyNumberFormat="1" applyFont="1" applyBorder="1"/>
    <xf numFmtId="0" fontId="0" fillId="0" borderId="8" xfId="0" applyBorder="1" applyAlignment="1">
      <alignment vertical="center" wrapText="1"/>
    </xf>
    <xf numFmtId="0" fontId="0" fillId="0" borderId="9" xfId="0" applyBorder="1" applyAlignment="1">
      <alignment vertical="center" wrapText="1"/>
    </xf>
    <xf numFmtId="0" fontId="8" fillId="15" borderId="0" xfId="0" applyFont="1" applyFill="1"/>
    <xf numFmtId="0" fontId="0" fillId="13" borderId="8" xfId="0" quotePrefix="1" applyFont="1" applyFill="1" applyBorder="1" applyAlignment="1">
      <alignment vertical="center" wrapText="1"/>
    </xf>
    <xf numFmtId="0" fontId="5" fillId="21" borderId="1" xfId="3" applyFont="1" applyFill="1" applyBorder="1" applyAlignment="1">
      <alignment horizontal="center" vertical="center" wrapText="1"/>
    </xf>
    <xf numFmtId="2" fontId="8" fillId="15" borderId="1" xfId="0" applyNumberFormat="1" applyFont="1" applyFill="1" applyBorder="1"/>
    <xf numFmtId="2" fontId="8" fillId="14" borderId="1" xfId="0" applyNumberFormat="1" applyFont="1" applyFill="1" applyBorder="1"/>
    <xf numFmtId="2" fontId="8" fillId="0" borderId="1" xfId="0" applyNumberFormat="1" applyFont="1" applyBorder="1" applyAlignment="1">
      <alignment readingOrder="1"/>
    </xf>
    <xf numFmtId="2" fontId="8" fillId="0" borderId="1" xfId="0" applyNumberFormat="1" applyFont="1" applyFill="1" applyBorder="1"/>
    <xf numFmtId="0" fontId="8" fillId="18" borderId="1" xfId="0" applyFont="1" applyFill="1" applyBorder="1" applyAlignment="1">
      <alignment vertical="center"/>
    </xf>
    <xf numFmtId="9" fontId="3" fillId="18" borderId="1" xfId="16" applyNumberFormat="1" applyFont="1" applyFill="1" applyBorder="1" applyAlignment="1">
      <alignment vertical="center"/>
    </xf>
    <xf numFmtId="0" fontId="3" fillId="18" borderId="1" xfId="16" applyFont="1" applyFill="1" applyBorder="1" applyAlignment="1">
      <alignment vertical="center" wrapText="1"/>
    </xf>
    <xf numFmtId="2" fontId="8" fillId="15" borderId="0" xfId="0" applyNumberFormat="1" applyFont="1" applyFill="1"/>
    <xf numFmtId="166" fontId="0" fillId="0" borderId="0" xfId="0" applyNumberFormat="1"/>
    <xf numFmtId="166" fontId="22" fillId="0" borderId="0" xfId="0" applyNumberFormat="1" applyFont="1"/>
    <xf numFmtId="0" fontId="3" fillId="0" borderId="0" xfId="23" applyFill="1" applyAlignment="1"/>
    <xf numFmtId="0" fontId="3" fillId="0" borderId="0" xfId="23" applyFont="1" applyFill="1" applyAlignment="1"/>
    <xf numFmtId="0" fontId="3" fillId="0" borderId="0" xfId="0" applyFont="1" applyFill="1" applyAlignment="1">
      <alignment vertical="center"/>
    </xf>
    <xf numFmtId="0" fontId="3" fillId="0" borderId="0" xfId="19" applyFill="1" applyAlignment="1">
      <alignment vertical="center"/>
    </xf>
    <xf numFmtId="0" fontId="0" fillId="0" borderId="0" xfId="0" applyFont="1" applyFill="1" applyAlignment="1">
      <alignment vertical="center"/>
    </xf>
    <xf numFmtId="0" fontId="0" fillId="0" borderId="12" xfId="0" applyFont="1" applyFill="1" applyBorder="1" applyAlignment="1">
      <alignment vertical="center"/>
    </xf>
    <xf numFmtId="0" fontId="8" fillId="0" borderId="12" xfId="4" applyFont="1" applyFill="1" applyBorder="1" applyAlignment="1">
      <alignment horizontal="left"/>
    </xf>
    <xf numFmtId="0" fontId="8" fillId="0" borderId="13" xfId="4" applyFont="1" applyFill="1" applyBorder="1" applyAlignment="1">
      <alignment horizontal="left"/>
    </xf>
    <xf numFmtId="0" fontId="3" fillId="0" borderId="11" xfId="23" applyFont="1" applyFill="1" applyBorder="1" applyAlignment="1"/>
    <xf numFmtId="9" fontId="8" fillId="0" borderId="14" xfId="4" applyNumberFormat="1" applyFont="1" applyFill="1" applyBorder="1" applyAlignment="1">
      <alignment horizontal="center"/>
    </xf>
    <xf numFmtId="0" fontId="3" fillId="0" borderId="15" xfId="23" applyFont="1" applyFill="1" applyBorder="1" applyAlignment="1"/>
    <xf numFmtId="9" fontId="3" fillId="0" borderId="18" xfId="23" applyNumberFormat="1" applyFont="1" applyFill="1" applyBorder="1" applyAlignment="1">
      <alignment horizontal="center"/>
    </xf>
    <xf numFmtId="9" fontId="3" fillId="0" borderId="14" xfId="23" applyNumberFormat="1" applyFont="1" applyFill="1" applyBorder="1" applyAlignment="1">
      <alignment horizontal="center"/>
    </xf>
    <xf numFmtId="0" fontId="8" fillId="0" borderId="13" xfId="4" applyFont="1" applyFill="1" applyBorder="1" applyAlignment="1">
      <alignment horizontal="center"/>
    </xf>
    <xf numFmtId="0" fontId="8" fillId="0" borderId="11" xfId="4" applyFont="1" applyFill="1" applyBorder="1" applyAlignment="1">
      <alignment horizontal="left"/>
    </xf>
    <xf numFmtId="0" fontId="8" fillId="0" borderId="15" xfId="4" applyFont="1" applyFill="1" applyBorder="1" applyAlignment="1">
      <alignment horizontal="left"/>
    </xf>
    <xf numFmtId="9" fontId="8" fillId="0" borderId="18" xfId="4" applyNumberFormat="1" applyFont="1" applyFill="1" applyBorder="1" applyAlignment="1">
      <alignment horizontal="center"/>
    </xf>
    <xf numFmtId="9" fontId="3" fillId="0" borderId="13" xfId="24" applyFill="1" applyBorder="1" applyAlignment="1">
      <alignment vertical="center"/>
    </xf>
    <xf numFmtId="14" fontId="0" fillId="0" borderId="0" xfId="0" applyNumberFormat="1"/>
    <xf numFmtId="9" fontId="0" fillId="0" borderId="0" xfId="0" applyNumberFormat="1"/>
    <xf numFmtId="0" fontId="8" fillId="22" borderId="1" xfId="0" applyFont="1" applyFill="1" applyBorder="1" applyAlignment="1">
      <alignment horizontal="left"/>
    </xf>
    <xf numFmtId="0" fontId="8" fillId="22" borderId="1" xfId="0" applyFont="1" applyFill="1" applyBorder="1" applyAlignment="1">
      <alignment horizontal="center"/>
    </xf>
    <xf numFmtId="0" fontId="8" fillId="22" borderId="1" xfId="0" applyFont="1" applyFill="1" applyBorder="1"/>
    <xf numFmtId="165" fontId="8" fillId="22" borderId="1" xfId="0" applyNumberFormat="1" applyFont="1" applyFill="1" applyBorder="1"/>
    <xf numFmtId="1" fontId="8" fillId="22" borderId="1" xfId="0" applyNumberFormat="1" applyFont="1" applyFill="1" applyBorder="1" applyAlignment="1">
      <alignment horizontal="center"/>
    </xf>
    <xf numFmtId="164" fontId="8" fillId="22" borderId="1" xfId="0" applyNumberFormat="1" applyFont="1" applyFill="1" applyBorder="1"/>
    <xf numFmtId="164" fontId="8" fillId="22" borderId="1" xfId="1" applyNumberFormat="1" applyFont="1" applyFill="1" applyBorder="1"/>
    <xf numFmtId="2" fontId="8" fillId="22" borderId="1" xfId="0" applyNumberFormat="1" applyFont="1" applyFill="1" applyBorder="1" applyAlignment="1">
      <alignment readingOrder="1"/>
    </xf>
    <xf numFmtId="2" fontId="8" fillId="22" borderId="1" xfId="0" applyNumberFormat="1" applyFont="1" applyFill="1" applyBorder="1"/>
    <xf numFmtId="0" fontId="8" fillId="22" borderId="1" xfId="0" applyFont="1" applyFill="1" applyBorder="1" applyAlignment="1"/>
    <xf numFmtId="0" fontId="8" fillId="22" borderId="0" xfId="0" applyFont="1" applyFill="1"/>
    <xf numFmtId="167" fontId="0" fillId="0" borderId="0" xfId="14" applyNumberFormat="1" applyFont="1"/>
    <xf numFmtId="0" fontId="1" fillId="0" borderId="0" xfId="25"/>
    <xf numFmtId="0" fontId="8" fillId="0" borderId="0" xfId="0" applyFont="1" applyAlignment="1">
      <alignment horizontal="left"/>
    </xf>
    <xf numFmtId="0" fontId="3" fillId="20" borderId="1" xfId="16" applyFont="1" applyFill="1" applyBorder="1" applyAlignment="1">
      <alignment horizontal="left" vertical="center" wrapText="1"/>
    </xf>
  </cellXfs>
  <cellStyles count="26">
    <cellStyle name="Accent5 2" xfId="12" xr:uid="{00000000-0005-0000-0000-000000000000}"/>
    <cellStyle name="Bad 2" xfId="9" xr:uid="{00000000-0005-0000-0000-000001000000}"/>
    <cellStyle name="Calculation 2" xfId="10" xr:uid="{00000000-0005-0000-0000-000002000000}"/>
    <cellStyle name="Check Cell 2" xfId="11" xr:uid="{00000000-0005-0000-0000-000003000000}"/>
    <cellStyle name="Comma 2" xfId="22" xr:uid="{41B66A60-1FCE-494C-BA26-0AE9A09422EF}"/>
    <cellStyle name="Comma 3" xfId="18" xr:uid="{727C79A6-F19E-46DE-AB23-413C9C96980D}"/>
    <cellStyle name="Currency" xfId="1" builtinId="4"/>
    <cellStyle name="Currency 2" xfId="20" xr:uid="{43FEC8B1-8539-4A9E-B1C5-3CBA6FFEE01C}"/>
    <cellStyle name="Data Field" xfId="2" xr:uid="{00000000-0005-0000-0000-000005000000}"/>
    <cellStyle name="Good 2" xfId="7" xr:uid="{00000000-0005-0000-0000-000006000000}"/>
    <cellStyle name="Input 2" xfId="6" xr:uid="{00000000-0005-0000-0000-000007000000}"/>
    <cellStyle name="Neutral 2" xfId="8" xr:uid="{00000000-0005-0000-0000-000008000000}"/>
    <cellStyle name="Normal" xfId="0" builtinId="0"/>
    <cellStyle name="Normal 13" xfId="23" xr:uid="{086876A9-B34B-4BE1-A8F2-87C4F60872E4}"/>
    <cellStyle name="Normal 2" xfId="4" xr:uid="{00000000-0005-0000-0000-00000A000000}"/>
    <cellStyle name="Normal 2 2" xfId="16" xr:uid="{C5FFCF44-C1FB-4A31-BD9C-BD5A570A79EA}"/>
    <cellStyle name="Normal 3" xfId="13" xr:uid="{21CD4ED4-3196-4849-8CD0-966B5242F9F5}"/>
    <cellStyle name="Normal 4" xfId="15" xr:uid="{AC6C4237-FA14-4A35-9337-6B193C1956F6}"/>
    <cellStyle name="Normal 53" xfId="25" xr:uid="{645427A4-5B93-4F55-B6B6-FAB8F64F4E4C}"/>
    <cellStyle name="Normal 6" xfId="21" xr:uid="{43BC875A-1B93-4A9E-A0BF-12C50BB9DA74}"/>
    <cellStyle name="Normal_DairySupplyCurve_6thPlan" xfId="19" xr:uid="{28526BBE-8EDC-4D80-BB73-AEB37C90CE09}"/>
    <cellStyle name="Normal_MTDUCT" xfId="3" xr:uid="{00000000-0005-0000-0000-00000B000000}"/>
    <cellStyle name="Percent 2" xfId="5" xr:uid="{00000000-0005-0000-0000-00000C000000}"/>
    <cellStyle name="Percent 2 2" xfId="24" xr:uid="{48E1CB17-0BAF-40BF-83EB-7B8FC591DAAE}"/>
    <cellStyle name="Percent 3" xfId="14" xr:uid="{CCD70405-A799-4F54-B758-B6EB4C078419}"/>
    <cellStyle name="Percent 4" xfId="17" xr:uid="{9AEBE63F-74B8-4422-BBFB-BC0D8A39FB62}"/>
  </cellStyles>
  <dxfs count="12">
    <dxf>
      <alignment vertical="center" textRotation="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horizontal="center" vertical="center" textRotation="0" wrapText="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vertical="center" textRotation="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vertical="center" textRotation="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horizontal="center" vertical="center" textRotation="0" wrapText="1"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horizontal="center" vertical="center" textRotation="0" wrapText="1"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vertical="center" textRotation="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numFmt numFmtId="0" formatCode="General"/>
      <alignment vertical="center" textRotation="0" indent="0" justifyLastLine="0" shrinkToFit="0" readingOrder="0"/>
      <border diagonalUp="0" diagonalDown="0">
        <left style="thin">
          <color theme="0" tint="-0.14990691854609822"/>
        </left>
        <right style="thin">
          <color theme="0" tint="-0.14990691854609822"/>
        </right>
        <top style="medium">
          <color theme="0" tint="-0.1498764000366222"/>
        </top>
        <bottom style="medium">
          <color theme="0" tint="-0.1498764000366222"/>
        </bottom>
        <vertical style="thin">
          <color theme="0" tint="-0.14990691854609822"/>
        </vertical>
        <horizontal style="medium">
          <color theme="0" tint="-0.1498764000366222"/>
        </horizontal>
      </border>
    </dxf>
    <dxf>
      <alignment vertical="center" textRotation="0" indent="0" justifyLastLine="0" shrinkToFit="0" readingOrder="0"/>
    </dxf>
    <dxf>
      <font>
        <b/>
        <i val="0"/>
        <strike val="0"/>
        <condense val="0"/>
        <extend val="0"/>
        <outline val="0"/>
        <shadow val="0"/>
        <u val="none"/>
        <vertAlign val="baseline"/>
        <sz val="11"/>
        <color theme="0"/>
        <name val="Calibri"/>
        <scheme val="none"/>
      </font>
      <fill>
        <patternFill patternType="solid">
          <fgColor theme="4"/>
          <bgColor theme="4"/>
        </patternFill>
      </fill>
      <alignment horizontal="center" vertical="center" textRotation="0" wrapText="1" indent="0" justifyLastLine="0" shrinkToFit="0" readingOrder="0"/>
    </dxf>
    <dxf>
      <font>
        <color rgb="FFFF0000"/>
      </font>
    </dxf>
    <dxf>
      <font>
        <color rgb="FF0000FF"/>
      </font>
    </dxf>
  </dxfs>
  <tableStyles count="0" defaultTableStyle="TableStyleMedium2" defaultPivotStyle="PivotStyleLight16"/>
  <colors>
    <mruColors>
      <color rgb="FFFF99FF"/>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Curves!$A$2</c:f>
              <c:strCache>
                <c:ptCount val="1"/>
                <c:pt idx="0">
                  <c:v>Irrigation Hardware and Upgrades</c:v>
                </c:pt>
              </c:strCache>
            </c:strRef>
          </c:tx>
          <c:spPr>
            <a:solidFill>
              <a:schemeClr val="accent1"/>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Curves!$B$2:$U$2</c:f>
              <c:numCache>
                <c:formatCode>0.0</c:formatCode>
                <c:ptCount val="20"/>
                <c:pt idx="0">
                  <c:v>1.0361865463925992</c:v>
                </c:pt>
                <c:pt idx="1">
                  <c:v>1.0669091532967121</c:v>
                </c:pt>
                <c:pt idx="2">
                  <c:v>1.1046293114167487</c:v>
                </c:pt>
                <c:pt idx="3">
                  <c:v>1.1470202877040312</c:v>
                </c:pt>
                <c:pt idx="4">
                  <c:v>1.203330926832912</c:v>
                </c:pt>
                <c:pt idx="5">
                  <c:v>1.2662979551701778</c:v>
                </c:pt>
                <c:pt idx="6">
                  <c:v>1.3298761116679569</c:v>
                </c:pt>
                <c:pt idx="7">
                  <c:v>1.3951379885358512</c:v>
                </c:pt>
                <c:pt idx="8">
                  <c:v>1.4474057715360906</c:v>
                </c:pt>
                <c:pt idx="9">
                  <c:v>1.4900018862925322</c:v>
                </c:pt>
                <c:pt idx="10">
                  <c:v>1.5055463966501155</c:v>
                </c:pt>
                <c:pt idx="11">
                  <c:v>1.4925653590928731</c:v>
                </c:pt>
                <c:pt idx="12">
                  <c:v>1.4615080555181255</c:v>
                </c:pt>
                <c:pt idx="13">
                  <c:v>1.4099971021474678</c:v>
                </c:pt>
                <c:pt idx="14">
                  <c:v>1.3493450731695045</c:v>
                </c:pt>
                <c:pt idx="15">
                  <c:v>1.2799578592925038</c:v>
                </c:pt>
                <c:pt idx="16">
                  <c:v>1.2047256436248632</c:v>
                </c:pt>
                <c:pt idx="17">
                  <c:v>1.1305041318772133</c:v>
                </c:pt>
                <c:pt idx="18">
                  <c:v>1.0713734461793141</c:v>
                </c:pt>
                <c:pt idx="19">
                  <c:v>1.0369497704802708</c:v>
                </c:pt>
              </c:numCache>
            </c:numRef>
          </c:val>
          <c:extLst>
            <c:ext xmlns:c16="http://schemas.microsoft.com/office/drawing/2014/chart" uri="{C3380CC4-5D6E-409C-BE32-E72D297353CC}">
              <c16:uniqueId val="{00000000-7D91-45BB-8EB5-057B68C7E287}"/>
            </c:ext>
          </c:extLst>
        </c:ser>
        <c:ser>
          <c:idx val="1"/>
          <c:order val="1"/>
          <c:tx>
            <c:strRef>
              <c:f>Curves!$A$3</c:f>
              <c:strCache>
                <c:ptCount val="1"/>
                <c:pt idx="0">
                  <c:v>Irrigation System Pressure Reduction</c:v>
                </c:pt>
              </c:strCache>
            </c:strRef>
          </c:tx>
          <c:spPr>
            <a:solidFill>
              <a:schemeClr val="accent2"/>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Curves!$B$3:$U$3</c:f>
              <c:numCache>
                <c:formatCode>0.0</c:formatCode>
                <c:ptCount val="20"/>
                <c:pt idx="0">
                  <c:v>5.1477873599471272E-2</c:v>
                </c:pt>
                <c:pt idx="1">
                  <c:v>9.0222708441576149E-2</c:v>
                </c:pt>
                <c:pt idx="2">
                  <c:v>0.17034572772721032</c:v>
                </c:pt>
                <c:pt idx="3">
                  <c:v>0.28803011271066647</c:v>
                </c:pt>
                <c:pt idx="4">
                  <c:v>0.44404643804490485</c:v>
                </c:pt>
                <c:pt idx="5">
                  <c:v>0.62505817421765708</c:v>
                </c:pt>
                <c:pt idx="6">
                  <c:v>0.81649054207424598</c:v>
                </c:pt>
                <c:pt idx="7">
                  <c:v>1.00427657411821</c:v>
                </c:pt>
                <c:pt idx="8">
                  <c:v>1.1621950639350767</c:v>
                </c:pt>
                <c:pt idx="9">
                  <c:v>1.2799557005700621</c:v>
                </c:pt>
                <c:pt idx="10">
                  <c:v>1.3369408681666468</c:v>
                </c:pt>
                <c:pt idx="11">
                  <c:v>1.3275440630445807</c:v>
                </c:pt>
                <c:pt idx="12">
                  <c:v>1.2564222378802825</c:v>
                </c:pt>
                <c:pt idx="13">
                  <c:v>1.127780684647413</c:v>
                </c:pt>
                <c:pt idx="14">
                  <c:v>0.9581070571194934</c:v>
                </c:pt>
                <c:pt idx="15">
                  <c:v>0.77034643344672438</c:v>
                </c:pt>
                <c:pt idx="16">
                  <c:v>0.57746543209438739</c:v>
                </c:pt>
                <c:pt idx="17">
                  <c:v>0.39579277660078804</c:v>
                </c:pt>
                <c:pt idx="18">
                  <c:v>0.25176364761896863</c:v>
                </c:pt>
                <c:pt idx="19">
                  <c:v>0.16553995222535467</c:v>
                </c:pt>
              </c:numCache>
            </c:numRef>
          </c:val>
          <c:extLst>
            <c:ext xmlns:c16="http://schemas.microsoft.com/office/drawing/2014/chart" uri="{C3380CC4-5D6E-409C-BE32-E72D297353CC}">
              <c16:uniqueId val="{00000001-7D91-45BB-8EB5-057B68C7E287}"/>
            </c:ext>
          </c:extLst>
        </c:ser>
        <c:ser>
          <c:idx val="2"/>
          <c:order val="2"/>
          <c:tx>
            <c:strRef>
              <c:f>Curves!$A$4</c:f>
              <c:strCache>
                <c:ptCount val="1"/>
                <c:pt idx="0">
                  <c:v>Variable Rate Irrigation</c:v>
                </c:pt>
              </c:strCache>
            </c:strRef>
          </c:tx>
          <c:spPr>
            <a:solidFill>
              <a:schemeClr val="accent3"/>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Curves!$B$4:$U$4</c:f>
              <c:numCache>
                <c:formatCode>0.0</c:formatCode>
                <c:ptCount val="20"/>
                <c:pt idx="0">
                  <c:v>2.4423697793522395E-2</c:v>
                </c:pt>
                <c:pt idx="1">
                  <c:v>4.8813882069117548E-2</c:v>
                </c:pt>
                <c:pt idx="2">
                  <c:v>8.6441784088472889E-2</c:v>
                </c:pt>
                <c:pt idx="3">
                  <c:v>0.1401221135672584</c:v>
                </c:pt>
                <c:pt idx="4">
                  <c:v>0.21249641778117051</c:v>
                </c:pt>
                <c:pt idx="5">
                  <c:v>0.30175196327294584</c:v>
                </c:pt>
                <c:pt idx="6">
                  <c:v>0.40660233269967755</c:v>
                </c:pt>
                <c:pt idx="7">
                  <c:v>0.52488561226143604</c:v>
                </c:pt>
                <c:pt idx="8">
                  <c:v>0.64494377126599423</c:v>
                </c:pt>
                <c:pt idx="9">
                  <c:v>0.75827481926329454</c:v>
                </c:pt>
                <c:pt idx="10">
                  <c:v>0.84528399425907597</c:v>
                </c:pt>
                <c:pt idx="11">
                  <c:v>0.89166409509949296</c:v>
                </c:pt>
                <c:pt idx="12">
                  <c:v>0.8900471886339294</c:v>
                </c:pt>
                <c:pt idx="13">
                  <c:v>0.83539245414529995</c:v>
                </c:pt>
                <c:pt idx="14">
                  <c:v>0.73575533844286767</c:v>
                </c:pt>
                <c:pt idx="15">
                  <c:v>0.60954267132754325</c:v>
                </c:pt>
                <c:pt idx="16">
                  <c:v>0.46697869654896246</c:v>
                </c:pt>
                <c:pt idx="17">
                  <c:v>0.32390850203733318</c:v>
                </c:pt>
                <c:pt idx="18">
                  <c:v>0.20734876805601049</c:v>
                </c:pt>
                <c:pt idx="19">
                  <c:v>0.13550220632708179</c:v>
                </c:pt>
              </c:numCache>
            </c:numRef>
          </c:val>
          <c:extLst>
            <c:ext xmlns:c16="http://schemas.microsoft.com/office/drawing/2014/chart" uri="{C3380CC4-5D6E-409C-BE32-E72D297353CC}">
              <c16:uniqueId val="{00000002-7D91-45BB-8EB5-057B68C7E287}"/>
            </c:ext>
          </c:extLst>
        </c:ser>
        <c:ser>
          <c:idx val="3"/>
          <c:order val="3"/>
          <c:tx>
            <c:strRef>
              <c:f>Curves!$A$5</c:f>
              <c:strCache>
                <c:ptCount val="1"/>
                <c:pt idx="0">
                  <c:v>Green Motor Rewind</c:v>
                </c:pt>
              </c:strCache>
            </c:strRef>
          </c:tx>
          <c:spPr>
            <a:solidFill>
              <a:schemeClr val="accent4"/>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Curves!$B$5:$U$5</c:f>
              <c:numCache>
                <c:formatCode>0.0</c:formatCode>
                <c:ptCount val="20"/>
                <c:pt idx="0">
                  <c:v>0.19591653861314257</c:v>
                </c:pt>
                <c:pt idx="1">
                  <c:v>0.1967482971023351</c:v>
                </c:pt>
                <c:pt idx="2">
                  <c:v>0.19743045516721724</c:v>
                </c:pt>
                <c:pt idx="3">
                  <c:v>0.19907269417209755</c:v>
                </c:pt>
                <c:pt idx="4">
                  <c:v>0.19887842842445128</c:v>
                </c:pt>
                <c:pt idx="5">
                  <c:v>0.17853067619096558</c:v>
                </c:pt>
                <c:pt idx="6">
                  <c:v>0.14285132102139553</c:v>
                </c:pt>
                <c:pt idx="7">
                  <c:v>0.1140912268735966</c:v>
                </c:pt>
                <c:pt idx="8">
                  <c:v>9.1794301963435382E-2</c:v>
                </c:pt>
                <c:pt idx="9">
                  <c:v>7.3427416034068438E-2</c:v>
                </c:pt>
                <c:pt idx="10">
                  <c:v>5.8663654345769208E-2</c:v>
                </c:pt>
                <c:pt idx="11">
                  <c:v>4.6950657400319611E-2</c:v>
                </c:pt>
                <c:pt idx="12">
                  <c:v>3.7582729533633161E-2</c:v>
                </c:pt>
                <c:pt idx="13">
                  <c:v>3.0292402184936354E-2</c:v>
                </c:pt>
                <c:pt idx="14">
                  <c:v>2.4417426074381628E-2</c:v>
                </c:pt>
                <c:pt idx="15">
                  <c:v>1.9682789889119666E-2</c:v>
                </c:pt>
                <c:pt idx="16">
                  <c:v>1.352810883028785E-4</c:v>
                </c:pt>
                <c:pt idx="17">
                  <c:v>4.8687398206376188E-5</c:v>
                </c:pt>
                <c:pt idx="18">
                  <c:v>1.6726796509387044E-5</c:v>
                </c:pt>
                <c:pt idx="19">
                  <c:v>5.4969751525338897E-6</c:v>
                </c:pt>
              </c:numCache>
            </c:numRef>
          </c:val>
          <c:extLst>
            <c:ext xmlns:c16="http://schemas.microsoft.com/office/drawing/2014/chart" uri="{C3380CC4-5D6E-409C-BE32-E72D297353CC}">
              <c16:uniqueId val="{00000003-7D91-45BB-8EB5-057B68C7E287}"/>
            </c:ext>
          </c:extLst>
        </c:ser>
        <c:ser>
          <c:idx val="4"/>
          <c:order val="4"/>
          <c:tx>
            <c:strRef>
              <c:f>Curves!$A$6</c:f>
              <c:strCache>
                <c:ptCount val="1"/>
                <c:pt idx="0">
                  <c:v>Pump Upgrades</c:v>
                </c:pt>
              </c:strCache>
            </c:strRef>
          </c:tx>
          <c:spPr>
            <a:solidFill>
              <a:schemeClr val="accent5"/>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Curves!$B$6:$U$6</c:f>
              <c:numCache>
                <c:formatCode>0.0</c:formatCode>
                <c:ptCount val="20"/>
                <c:pt idx="0">
                  <c:v>0.7552845529458817</c:v>
                </c:pt>
                <c:pt idx="1">
                  <c:v>0.75792401965148226</c:v>
                </c:pt>
                <c:pt idx="2">
                  <c:v>0.75999529981125324</c:v>
                </c:pt>
                <c:pt idx="3">
                  <c:v>0.76559042738415284</c:v>
                </c:pt>
                <c:pt idx="4">
                  <c:v>0.76423668401450728</c:v>
                </c:pt>
                <c:pt idx="5">
                  <c:v>0.68555108157953026</c:v>
                </c:pt>
                <c:pt idx="6">
                  <c:v>0.54830525074633962</c:v>
                </c:pt>
                <c:pt idx="7">
                  <c:v>0.43768564737019017</c:v>
                </c:pt>
                <c:pt idx="8">
                  <c:v>0.35183475443731743</c:v>
                </c:pt>
                <c:pt idx="9">
                  <c:v>0.28125379292315483</c:v>
                </c:pt>
                <c:pt idx="10">
                  <c:v>0.22453837275209948</c:v>
                </c:pt>
                <c:pt idx="11">
                  <c:v>0.17958709628296646</c:v>
                </c:pt>
                <c:pt idx="12">
                  <c:v>0.14368163964730543</c:v>
                </c:pt>
                <c:pt idx="13">
                  <c:v>0.11574062063452077</c:v>
                </c:pt>
                <c:pt idx="14">
                  <c:v>9.3238039115419682E-2</c:v>
                </c:pt>
                <c:pt idx="15">
                  <c:v>7.511438060454341E-2</c:v>
                </c:pt>
                <c:pt idx="16">
                  <c:v>5.1596321291700773E-4</c:v>
                </c:pt>
                <c:pt idx="17">
                  <c:v>1.8558611037160629E-4</c:v>
                </c:pt>
                <c:pt idx="18">
                  <c:v>6.3722230466217925E-5</c:v>
                </c:pt>
                <c:pt idx="19">
                  <c:v>2.0929232652265162E-5</c:v>
                </c:pt>
              </c:numCache>
            </c:numRef>
          </c:val>
          <c:extLst>
            <c:ext xmlns:c16="http://schemas.microsoft.com/office/drawing/2014/chart" uri="{C3380CC4-5D6E-409C-BE32-E72D297353CC}">
              <c16:uniqueId val="{00000004-7D91-45BB-8EB5-057B68C7E287}"/>
            </c:ext>
          </c:extLst>
        </c:ser>
        <c:ser>
          <c:idx val="5"/>
          <c:order val="5"/>
          <c:tx>
            <c:strRef>
              <c:f>Curves!$A$7</c:f>
              <c:strCache>
                <c:ptCount val="1"/>
                <c:pt idx="0">
                  <c:v>Dairy Refrigeration Measures</c:v>
                </c:pt>
              </c:strCache>
            </c:strRef>
          </c:tx>
          <c:spPr>
            <a:solidFill>
              <a:schemeClr val="accent6"/>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Curves!$B$7:$U$7</c:f>
              <c:numCache>
                <c:formatCode>0.0</c:formatCode>
                <c:ptCount val="20"/>
                <c:pt idx="0">
                  <c:v>2.5877344675033317E-2</c:v>
                </c:pt>
                <c:pt idx="1">
                  <c:v>4.1365434594979669E-2</c:v>
                </c:pt>
                <c:pt idx="2">
                  <c:v>8.4249449926713987E-2</c:v>
                </c:pt>
                <c:pt idx="3">
                  <c:v>0.1503076331292606</c:v>
                </c:pt>
                <c:pt idx="4">
                  <c:v>0.23898664887848611</c:v>
                </c:pt>
                <c:pt idx="5">
                  <c:v>0.34128809074582966</c:v>
                </c:pt>
                <c:pt idx="6">
                  <c:v>0.4431736170082714</c:v>
                </c:pt>
                <c:pt idx="7">
                  <c:v>0.52616048279410599</c:v>
                </c:pt>
                <c:pt idx="8">
                  <c:v>0.57677533186310781</c:v>
                </c:pt>
                <c:pt idx="9">
                  <c:v>0.5875811622349445</c:v>
                </c:pt>
                <c:pt idx="10">
                  <c:v>0.55789244867345311</c:v>
                </c:pt>
                <c:pt idx="11">
                  <c:v>0.49584777481267206</c:v>
                </c:pt>
                <c:pt idx="12">
                  <c:v>0.41556979177418607</c:v>
                </c:pt>
                <c:pt idx="13">
                  <c:v>0.3273346950926499</c:v>
                </c:pt>
                <c:pt idx="14">
                  <c:v>0.24119398585774271</c:v>
                </c:pt>
                <c:pt idx="15">
                  <c:v>0.16883579010041924</c:v>
                </c:pt>
                <c:pt idx="16">
                  <c:v>0.1125571934002795</c:v>
                </c:pt>
                <c:pt idx="17">
                  <c:v>7.1627304891087082E-2</c:v>
                </c:pt>
                <c:pt idx="18">
                  <c:v>4.359922906414071E-2</c:v>
                </c:pt>
                <c:pt idx="19">
                  <c:v>2.543288362074754E-2</c:v>
                </c:pt>
              </c:numCache>
            </c:numRef>
          </c:val>
          <c:extLst>
            <c:ext xmlns:c16="http://schemas.microsoft.com/office/drawing/2014/chart" uri="{C3380CC4-5D6E-409C-BE32-E72D297353CC}">
              <c16:uniqueId val="{00000005-7D91-45BB-8EB5-057B68C7E287}"/>
            </c:ext>
          </c:extLst>
        </c:ser>
        <c:ser>
          <c:idx val="6"/>
          <c:order val="6"/>
          <c:tx>
            <c:strRef>
              <c:f>Curves!$A$8</c:f>
              <c:strCache>
                <c:ptCount val="1"/>
                <c:pt idx="0">
                  <c:v>Dairy Ventilation Measures</c:v>
                </c:pt>
              </c:strCache>
            </c:strRef>
          </c:tx>
          <c:spPr>
            <a:solidFill>
              <a:schemeClr val="accent1">
                <a:lumMod val="60000"/>
              </a:schemeClr>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Curves!$B$8:$U$8</c:f>
              <c:numCache>
                <c:formatCode>0.0</c:formatCode>
                <c:ptCount val="20"/>
                <c:pt idx="0">
                  <c:v>6.1756161449629211E-3</c:v>
                </c:pt>
                <c:pt idx="1">
                  <c:v>1.3758287872265042E-2</c:v>
                </c:pt>
                <c:pt idx="2">
                  <c:v>2.3037259055064631E-2</c:v>
                </c:pt>
                <c:pt idx="3">
                  <c:v>3.3808682563720889E-2</c:v>
                </c:pt>
                <c:pt idx="4">
                  <c:v>4.6094855092346329E-2</c:v>
                </c:pt>
                <c:pt idx="5">
                  <c:v>6.0458867611619421E-2</c:v>
                </c:pt>
                <c:pt idx="6">
                  <c:v>7.6216412411308859E-2</c:v>
                </c:pt>
                <c:pt idx="7">
                  <c:v>9.2313857489064316E-2</c:v>
                </c:pt>
                <c:pt idx="8">
                  <c:v>0.10748376760595463</c:v>
                </c:pt>
                <c:pt idx="9">
                  <c:v>0.12052359028735299</c:v>
                </c:pt>
                <c:pt idx="10">
                  <c:v>0.13061435562295134</c:v>
                </c:pt>
                <c:pt idx="11">
                  <c:v>0.13753942736714705</c:v>
                </c:pt>
                <c:pt idx="12">
                  <c:v>0.14168344311451261</c:v>
                </c:pt>
                <c:pt idx="13">
                  <c:v>0.14380526488927428</c:v>
                </c:pt>
                <c:pt idx="14">
                  <c:v>0.14471559873064993</c:v>
                </c:pt>
                <c:pt idx="15">
                  <c:v>0.14503541776520543</c:v>
                </c:pt>
                <c:pt idx="16">
                  <c:v>0.1451251379810938</c:v>
                </c:pt>
                <c:pt idx="17">
                  <c:v>0.14514469291434981</c:v>
                </c:pt>
                <c:pt idx="18">
                  <c:v>0.14514790719855586</c:v>
                </c:pt>
                <c:pt idx="19">
                  <c:v>0.14514829302209553</c:v>
                </c:pt>
              </c:numCache>
            </c:numRef>
          </c:val>
          <c:extLst>
            <c:ext xmlns:c16="http://schemas.microsoft.com/office/drawing/2014/chart" uri="{C3380CC4-5D6E-409C-BE32-E72D297353CC}">
              <c16:uniqueId val="{00000006-7D91-45BB-8EB5-057B68C7E287}"/>
            </c:ext>
          </c:extLst>
        </c:ser>
        <c:ser>
          <c:idx val="7"/>
          <c:order val="7"/>
          <c:tx>
            <c:strRef>
              <c:f>Curves!$A$9</c:f>
              <c:strCache>
                <c:ptCount val="1"/>
                <c:pt idx="0">
                  <c:v>Dairy Lighting</c:v>
                </c:pt>
              </c:strCache>
            </c:strRef>
          </c:tx>
          <c:spPr>
            <a:solidFill>
              <a:schemeClr val="accent2">
                <a:lumMod val="60000"/>
              </a:schemeClr>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Curves!$B$9:$U$9</c:f>
              <c:numCache>
                <c:formatCode>0.0</c:formatCode>
                <c:ptCount val="20"/>
                <c:pt idx="0">
                  <c:v>5.9537552651067666E-2</c:v>
                </c:pt>
                <c:pt idx="1">
                  <c:v>0.10297406913208665</c:v>
                </c:pt>
                <c:pt idx="2">
                  <c:v>0.13476641571836434</c:v>
                </c:pt>
                <c:pt idx="3">
                  <c:v>0.16112422379325717</c:v>
                </c:pt>
                <c:pt idx="4">
                  <c:v>0.18593640304924799</c:v>
                </c:pt>
                <c:pt idx="5">
                  <c:v>0.20841280111902757</c:v>
                </c:pt>
                <c:pt idx="6">
                  <c:v>0.2290203461561727</c:v>
                </c:pt>
                <c:pt idx="7">
                  <c:v>0.24722313374202642</c:v>
                </c:pt>
                <c:pt idx="8">
                  <c:v>0.26380405873714802</c:v>
                </c:pt>
                <c:pt idx="9">
                  <c:v>0.27912726649223085</c:v>
                </c:pt>
                <c:pt idx="10">
                  <c:v>0.29276282810502013</c:v>
                </c:pt>
                <c:pt idx="11">
                  <c:v>0.30434059104547245</c:v>
                </c:pt>
                <c:pt idx="12">
                  <c:v>0.31523752698206792</c:v>
                </c:pt>
                <c:pt idx="13">
                  <c:v>0.32359848563495391</c:v>
                </c:pt>
                <c:pt idx="14">
                  <c:v>0.32699859425621747</c:v>
                </c:pt>
                <c:pt idx="15">
                  <c:v>0.32964660151298542</c:v>
                </c:pt>
                <c:pt idx="16">
                  <c:v>0.33170887163813484</c:v>
                </c:pt>
                <c:pt idx="17">
                  <c:v>0.33331496922650622</c:v>
                </c:pt>
                <c:pt idx="18">
                  <c:v>0.33456579928601876</c:v>
                </c:pt>
                <c:pt idx="19">
                  <c:v>0.33553994671585652</c:v>
                </c:pt>
              </c:numCache>
            </c:numRef>
          </c:val>
          <c:extLst>
            <c:ext xmlns:c16="http://schemas.microsoft.com/office/drawing/2014/chart" uri="{C3380CC4-5D6E-409C-BE32-E72D297353CC}">
              <c16:uniqueId val="{00000007-7D91-45BB-8EB5-057B68C7E287}"/>
            </c:ext>
          </c:extLst>
        </c:ser>
        <c:ser>
          <c:idx val="8"/>
          <c:order val="8"/>
          <c:tx>
            <c:strRef>
              <c:f>Curves!$A$10</c:f>
              <c:strCache>
                <c:ptCount val="1"/>
                <c:pt idx="0">
                  <c:v>Energy Free Stock Tank</c:v>
                </c:pt>
              </c:strCache>
            </c:strRef>
          </c:tx>
          <c:spPr>
            <a:solidFill>
              <a:schemeClr val="accent3">
                <a:lumMod val="60000"/>
              </a:schemeClr>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Curves!$B$10:$U$10</c:f>
              <c:numCache>
                <c:formatCode>0.0</c:formatCode>
                <c:ptCount val="20"/>
                <c:pt idx="0">
                  <c:v>9.5438323356987422E-4</c:v>
                </c:pt>
                <c:pt idx="1">
                  <c:v>2.8366362132458208E-3</c:v>
                </c:pt>
                <c:pt idx="2">
                  <c:v>6.124736858603516E-3</c:v>
                </c:pt>
                <c:pt idx="3">
                  <c:v>1.1405334350318626E-2</c:v>
                </c:pt>
                <c:pt idx="4">
                  <c:v>1.9220691176806304E-2</c:v>
                </c:pt>
                <c:pt idx="5">
                  <c:v>3.0184532842596788E-2</c:v>
                </c:pt>
                <c:pt idx="6">
                  <c:v>4.5010724973339633E-2</c:v>
                </c:pt>
                <c:pt idx="7">
                  <c:v>6.4003394438288591E-2</c:v>
                </c:pt>
                <c:pt idx="8">
                  <c:v>8.7294358822883625E-2</c:v>
                </c:pt>
                <c:pt idx="9">
                  <c:v>0.1142274771194163</c:v>
                </c:pt>
                <c:pt idx="10">
                  <c:v>0.14366905997547835</c:v>
                </c:pt>
                <c:pt idx="11">
                  <c:v>0.17491452211652378</c:v>
                </c:pt>
                <c:pt idx="12">
                  <c:v>0.20615194513819124</c:v>
                </c:pt>
                <c:pt idx="13">
                  <c:v>0.23650577046646559</c:v>
                </c:pt>
                <c:pt idx="14">
                  <c:v>0.26314217101735382</c:v>
                </c:pt>
                <c:pt idx="15">
                  <c:v>0.28477448868695049</c:v>
                </c:pt>
                <c:pt idx="16">
                  <c:v>0.30089487024537148</c:v>
                </c:pt>
                <c:pt idx="17">
                  <c:v>0.31181163366976494</c:v>
                </c:pt>
                <c:pt idx="18">
                  <c:v>0.31845667723881854</c:v>
                </c:pt>
                <c:pt idx="19">
                  <c:v>0.32159714392878763</c:v>
                </c:pt>
              </c:numCache>
            </c:numRef>
          </c:val>
          <c:extLst>
            <c:ext xmlns:c16="http://schemas.microsoft.com/office/drawing/2014/chart" uri="{C3380CC4-5D6E-409C-BE32-E72D297353CC}">
              <c16:uniqueId val="{00000008-7D91-45BB-8EB5-057B68C7E287}"/>
            </c:ext>
          </c:extLst>
        </c:ser>
        <c:ser>
          <c:idx val="9"/>
          <c:order val="9"/>
          <c:tx>
            <c:strRef>
              <c:f>Curves!$A$11</c:f>
              <c:strCache>
                <c:ptCount val="1"/>
                <c:pt idx="0">
                  <c:v>Circulating Engine Block Heater</c:v>
                </c:pt>
              </c:strCache>
            </c:strRef>
          </c:tx>
          <c:spPr>
            <a:solidFill>
              <a:schemeClr val="accent4">
                <a:lumMod val="60000"/>
              </a:schemeClr>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Curves!$B$11:$U$11</c:f>
              <c:numCache>
                <c:formatCode>0.0</c:formatCode>
                <c:ptCount val="20"/>
                <c:pt idx="0">
                  <c:v>1.0121183326811174E-2</c:v>
                </c:pt>
                <c:pt idx="1">
                  <c:v>1.2427198980242563E-2</c:v>
                </c:pt>
                <c:pt idx="2">
                  <c:v>1.5207254826210782E-2</c:v>
                </c:pt>
                <c:pt idx="3">
                  <c:v>1.7653226732810189E-2</c:v>
                </c:pt>
                <c:pt idx="4">
                  <c:v>2.0135740568732505E-2</c:v>
                </c:pt>
                <c:pt idx="5">
                  <c:v>2.3541101098835643E-2</c:v>
                </c:pt>
                <c:pt idx="6">
                  <c:v>2.5824953487139767E-2</c:v>
                </c:pt>
                <c:pt idx="7">
                  <c:v>2.6382014183009957E-2</c:v>
                </c:pt>
                <c:pt idx="8">
                  <c:v>2.4861882238183759E-2</c:v>
                </c:pt>
                <c:pt idx="9">
                  <c:v>2.1370893658147806E-2</c:v>
                </c:pt>
                <c:pt idx="10">
                  <c:v>1.6537699797407844E-2</c:v>
                </c:pt>
                <c:pt idx="11">
                  <c:v>1.1349461985504575E-2</c:v>
                </c:pt>
                <c:pt idx="12">
                  <c:v>6.7916046113858878E-3</c:v>
                </c:pt>
                <c:pt idx="13">
                  <c:v>3.4774420341359834E-3</c:v>
                </c:pt>
                <c:pt idx="14">
                  <c:v>1.4919411247213531E-3</c:v>
                </c:pt>
                <c:pt idx="15">
                  <c:v>5.2414965635130275E-4</c:v>
                </c:pt>
                <c:pt idx="16">
                  <c:v>1.4704196825248659E-4</c:v>
                </c:pt>
                <c:pt idx="17">
                  <c:v>3.2048472538111724E-5</c:v>
                </c:pt>
                <c:pt idx="18">
                  <c:v>5.2678727029077121E-6</c:v>
                </c:pt>
                <c:pt idx="19">
                  <c:v>6.323240767049266E-7</c:v>
                </c:pt>
              </c:numCache>
            </c:numRef>
          </c:val>
          <c:extLst>
            <c:ext xmlns:c16="http://schemas.microsoft.com/office/drawing/2014/chart" uri="{C3380CC4-5D6E-409C-BE32-E72D297353CC}">
              <c16:uniqueId val="{00000009-7D91-45BB-8EB5-057B68C7E287}"/>
            </c:ext>
          </c:extLst>
        </c:ser>
        <c:ser>
          <c:idx val="10"/>
          <c:order val="10"/>
          <c:tx>
            <c:strRef>
              <c:f>Curves!$A$12</c:f>
              <c:strCache>
                <c:ptCount val="1"/>
                <c:pt idx="0">
                  <c:v>Exterior Area Lighting</c:v>
                </c:pt>
              </c:strCache>
            </c:strRef>
          </c:tx>
          <c:spPr>
            <a:solidFill>
              <a:schemeClr val="accent5">
                <a:lumMod val="60000"/>
              </a:schemeClr>
            </a:solidFill>
            <a:ln>
              <a:noFill/>
            </a:ln>
            <a:effectLst/>
          </c:spPr>
          <c:cat>
            <c:numRef>
              <c:f>Curves!$B$1:$U$1</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Curves!$B$12:$U$12</c:f>
              <c:numCache>
                <c:formatCode>0.0</c:formatCode>
                <c:ptCount val="20"/>
                <c:pt idx="0">
                  <c:v>8.9800450261808315E-2</c:v>
                </c:pt>
                <c:pt idx="1">
                  <c:v>0.15274344514746324</c:v>
                </c:pt>
                <c:pt idx="2">
                  <c:v>0.19631682621929214</c:v>
                </c:pt>
                <c:pt idx="3">
                  <c:v>0.23025180951910115</c:v>
                </c:pt>
                <c:pt idx="4">
                  <c:v>0.25998397503243337</c:v>
                </c:pt>
                <c:pt idx="5">
                  <c:v>0.28571223479264635</c:v>
                </c:pt>
                <c:pt idx="6">
                  <c:v>0.30775314252579661</c:v>
                </c:pt>
                <c:pt idx="7">
                  <c:v>0.32647911656454059</c:v>
                </c:pt>
                <c:pt idx="8">
                  <c:v>0.34227823674678504</c:v>
                </c:pt>
                <c:pt idx="9">
                  <c:v>0.35552909369884611</c:v>
                </c:pt>
                <c:pt idx="10">
                  <c:v>0.3665859984530952</c:v>
                </c:pt>
                <c:pt idx="11">
                  <c:v>0.3751971245340503</c:v>
                </c:pt>
                <c:pt idx="12">
                  <c:v>0.3819034762690246</c:v>
                </c:pt>
                <c:pt idx="13">
                  <c:v>0.38712638825177509</c:v>
                </c:pt>
                <c:pt idx="14">
                  <c:v>0.39119399619385403</c:v>
                </c:pt>
                <c:pt idx="15">
                  <c:v>0.3943618524443725</c:v>
                </c:pt>
                <c:pt idx="16">
                  <c:v>0.39682898137293415</c:v>
                </c:pt>
                <c:pt idx="17">
                  <c:v>0.39875038331443602</c:v>
                </c:pt>
                <c:pt idx="18">
                  <c:v>0.40024677265107256</c:v>
                </c:pt>
                <c:pt idx="19">
                  <c:v>0.40141216183822476</c:v>
                </c:pt>
              </c:numCache>
            </c:numRef>
          </c:val>
          <c:extLst>
            <c:ext xmlns:c16="http://schemas.microsoft.com/office/drawing/2014/chart" uri="{C3380CC4-5D6E-409C-BE32-E72D297353CC}">
              <c16:uniqueId val="{0000000A-7D91-45BB-8EB5-057B68C7E287}"/>
            </c:ext>
          </c:extLst>
        </c:ser>
        <c:dLbls>
          <c:showLegendKey val="0"/>
          <c:showVal val="0"/>
          <c:showCatName val="0"/>
          <c:showSerName val="0"/>
          <c:showPercent val="0"/>
          <c:showBubbleSize val="0"/>
        </c:dLbls>
        <c:axId val="939863280"/>
        <c:axId val="939849504"/>
      </c:areaChart>
      <c:catAx>
        <c:axId val="939863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849504"/>
        <c:crosses val="autoZero"/>
        <c:auto val="1"/>
        <c:lblAlgn val="ctr"/>
        <c:lblOffset val="100"/>
        <c:tickLblSkip val="2"/>
        <c:noMultiLvlLbl val="0"/>
      </c:catAx>
      <c:valAx>
        <c:axId val="939849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aMW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863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17714233089279E-2"/>
          <c:y val="0.18951194184839046"/>
          <c:w val="0.8806758530183727"/>
          <c:h val="0.72430233603977068"/>
        </c:manualLayout>
      </c:layout>
      <c:areaChart>
        <c:grouping val="stacked"/>
        <c:varyColors val="0"/>
        <c:ser>
          <c:idx val="0"/>
          <c:order val="0"/>
          <c:tx>
            <c:strRef>
              <c:f>Curves!$A$46</c:f>
              <c:strCache>
                <c:ptCount val="1"/>
                <c:pt idx="0">
                  <c:v>Irrigation Hardware and Upgrades</c:v>
                </c:pt>
              </c:strCache>
            </c:strRef>
          </c:tx>
          <c:spPr>
            <a:solidFill>
              <a:schemeClr val="accent1"/>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Curves!$B$46:$U$46</c:f>
              <c:numCache>
                <c:formatCode>0.0</c:formatCode>
                <c:ptCount val="20"/>
                <c:pt idx="0">
                  <c:v>1.0361865463925992</c:v>
                </c:pt>
                <c:pt idx="1">
                  <c:v>2.1030956996893115</c:v>
                </c:pt>
                <c:pt idx="2">
                  <c:v>3.20772501110606</c:v>
                </c:pt>
                <c:pt idx="3">
                  <c:v>4.3547452988100908</c:v>
                </c:pt>
                <c:pt idx="4">
                  <c:v>5.5580762256430027</c:v>
                </c:pt>
                <c:pt idx="5">
                  <c:v>6.8243741808131801</c:v>
                </c:pt>
                <c:pt idx="6">
                  <c:v>8.1542502924811373</c:v>
                </c:pt>
                <c:pt idx="7">
                  <c:v>9.5493882810169879</c:v>
                </c:pt>
                <c:pt idx="8">
                  <c:v>10.996794052553078</c:v>
                </c:pt>
                <c:pt idx="9">
                  <c:v>12.48679593884561</c:v>
                </c:pt>
                <c:pt idx="10">
                  <c:v>13.992342335495726</c:v>
                </c:pt>
                <c:pt idx="11">
                  <c:v>15.4849076945886</c:v>
                </c:pt>
                <c:pt idx="12">
                  <c:v>16.946415750106723</c:v>
                </c:pt>
                <c:pt idx="13">
                  <c:v>18.356412852254191</c:v>
                </c:pt>
                <c:pt idx="14">
                  <c:v>19.705757925423697</c:v>
                </c:pt>
                <c:pt idx="15">
                  <c:v>20.985715784716202</c:v>
                </c:pt>
                <c:pt idx="16">
                  <c:v>22.190441428341064</c:v>
                </c:pt>
                <c:pt idx="17">
                  <c:v>23.320945560218277</c:v>
                </c:pt>
                <c:pt idx="18">
                  <c:v>24.392319006397592</c:v>
                </c:pt>
                <c:pt idx="19">
                  <c:v>25.062930057267671</c:v>
                </c:pt>
              </c:numCache>
            </c:numRef>
          </c:val>
          <c:extLst>
            <c:ext xmlns:c16="http://schemas.microsoft.com/office/drawing/2014/chart" uri="{C3380CC4-5D6E-409C-BE32-E72D297353CC}">
              <c16:uniqueId val="{00000000-8406-45BC-B947-4C6674C05CFC}"/>
            </c:ext>
          </c:extLst>
        </c:ser>
        <c:ser>
          <c:idx val="1"/>
          <c:order val="1"/>
          <c:tx>
            <c:strRef>
              <c:f>Curves!$A$47</c:f>
              <c:strCache>
                <c:ptCount val="1"/>
                <c:pt idx="0">
                  <c:v>Irrigation System Pressure Reduction</c:v>
                </c:pt>
              </c:strCache>
            </c:strRef>
          </c:tx>
          <c:spPr>
            <a:solidFill>
              <a:schemeClr val="accent2"/>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Curves!$B$47:$U$47</c:f>
              <c:numCache>
                <c:formatCode>0.0</c:formatCode>
                <c:ptCount val="20"/>
                <c:pt idx="0">
                  <c:v>5.1477873599471272E-2</c:v>
                </c:pt>
                <c:pt idx="1">
                  <c:v>0.14170058204104741</c:v>
                </c:pt>
                <c:pt idx="2">
                  <c:v>0.31204630976825776</c:v>
                </c:pt>
                <c:pt idx="3">
                  <c:v>0.60007642247892423</c:v>
                </c:pt>
                <c:pt idx="4">
                  <c:v>1.0441228605238291</c:v>
                </c:pt>
                <c:pt idx="5">
                  <c:v>1.6691810347414862</c:v>
                </c:pt>
                <c:pt idx="6">
                  <c:v>2.485671576815732</c:v>
                </c:pt>
                <c:pt idx="7">
                  <c:v>3.4899481509339418</c:v>
                </c:pt>
                <c:pt idx="8">
                  <c:v>4.6521432148690183</c:v>
                </c:pt>
                <c:pt idx="9">
                  <c:v>5.9320989154390809</c:v>
                </c:pt>
                <c:pt idx="10">
                  <c:v>7.2690397836057272</c:v>
                </c:pt>
                <c:pt idx="11">
                  <c:v>8.5965838466503079</c:v>
                </c:pt>
                <c:pt idx="12">
                  <c:v>9.8530060845305911</c:v>
                </c:pt>
                <c:pt idx="13">
                  <c:v>10.980786769178003</c:v>
                </c:pt>
                <c:pt idx="14">
                  <c:v>11.938893826297496</c:v>
                </c:pt>
                <c:pt idx="15">
                  <c:v>12.70924025974422</c:v>
                </c:pt>
                <c:pt idx="16">
                  <c:v>13.286705691838607</c:v>
                </c:pt>
                <c:pt idx="17">
                  <c:v>13.682498468439395</c:v>
                </c:pt>
                <c:pt idx="18">
                  <c:v>13.934262116058363</c:v>
                </c:pt>
                <c:pt idx="19">
                  <c:v>14.099802068283719</c:v>
                </c:pt>
              </c:numCache>
            </c:numRef>
          </c:val>
          <c:extLst>
            <c:ext xmlns:c16="http://schemas.microsoft.com/office/drawing/2014/chart" uri="{C3380CC4-5D6E-409C-BE32-E72D297353CC}">
              <c16:uniqueId val="{00000001-8406-45BC-B947-4C6674C05CFC}"/>
            </c:ext>
          </c:extLst>
        </c:ser>
        <c:ser>
          <c:idx val="2"/>
          <c:order val="2"/>
          <c:tx>
            <c:strRef>
              <c:f>Curves!$A$48</c:f>
              <c:strCache>
                <c:ptCount val="1"/>
                <c:pt idx="0">
                  <c:v>Variable Rate Irrigation</c:v>
                </c:pt>
              </c:strCache>
            </c:strRef>
          </c:tx>
          <c:spPr>
            <a:solidFill>
              <a:schemeClr val="accent3"/>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Curves!$B$48:$U$48</c:f>
              <c:numCache>
                <c:formatCode>0.0</c:formatCode>
                <c:ptCount val="20"/>
                <c:pt idx="0">
                  <c:v>2.4423697793522395E-2</c:v>
                </c:pt>
                <c:pt idx="1">
                  <c:v>7.3237579862639943E-2</c:v>
                </c:pt>
                <c:pt idx="2">
                  <c:v>0.15967936395111282</c:v>
                </c:pt>
                <c:pt idx="3">
                  <c:v>0.29980147751837122</c:v>
                </c:pt>
                <c:pt idx="4">
                  <c:v>0.51229789529954173</c:v>
                </c:pt>
                <c:pt idx="5">
                  <c:v>0.81404985857248757</c:v>
                </c:pt>
                <c:pt idx="6">
                  <c:v>1.2206521912721651</c:v>
                </c:pt>
                <c:pt idx="7">
                  <c:v>1.7455378035336011</c:v>
                </c:pt>
                <c:pt idx="8">
                  <c:v>2.3904815747995953</c:v>
                </c:pt>
                <c:pt idx="9">
                  <c:v>3.14875639406289</c:v>
                </c:pt>
                <c:pt idx="10">
                  <c:v>3.9940403883219657</c:v>
                </c:pt>
                <c:pt idx="11">
                  <c:v>4.8857044834214589</c:v>
                </c:pt>
                <c:pt idx="12">
                  <c:v>5.7757516720553888</c:v>
                </c:pt>
                <c:pt idx="13">
                  <c:v>6.6111441262006885</c:v>
                </c:pt>
                <c:pt idx="14">
                  <c:v>7.3468994646435561</c:v>
                </c:pt>
                <c:pt idx="15">
                  <c:v>7.9564421359710993</c:v>
                </c:pt>
                <c:pt idx="16">
                  <c:v>8.4234208325200619</c:v>
                </c:pt>
                <c:pt idx="17">
                  <c:v>8.7473293345573957</c:v>
                </c:pt>
                <c:pt idx="18">
                  <c:v>8.954678102613407</c:v>
                </c:pt>
                <c:pt idx="19">
                  <c:v>9.0334804218054519</c:v>
                </c:pt>
              </c:numCache>
            </c:numRef>
          </c:val>
          <c:extLst>
            <c:ext xmlns:c16="http://schemas.microsoft.com/office/drawing/2014/chart" uri="{C3380CC4-5D6E-409C-BE32-E72D297353CC}">
              <c16:uniqueId val="{00000002-8406-45BC-B947-4C6674C05CFC}"/>
            </c:ext>
          </c:extLst>
        </c:ser>
        <c:ser>
          <c:idx val="3"/>
          <c:order val="3"/>
          <c:tx>
            <c:strRef>
              <c:f>Curves!$A$49</c:f>
              <c:strCache>
                <c:ptCount val="1"/>
                <c:pt idx="0">
                  <c:v>Green Motor Rewind</c:v>
                </c:pt>
              </c:strCache>
            </c:strRef>
          </c:tx>
          <c:spPr>
            <a:solidFill>
              <a:schemeClr val="accent4"/>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Curves!$B$49:$U$49</c:f>
              <c:numCache>
                <c:formatCode>0.0</c:formatCode>
                <c:ptCount val="20"/>
                <c:pt idx="0">
                  <c:v>0.19591653861314257</c:v>
                </c:pt>
                <c:pt idx="1">
                  <c:v>0.39266483571547767</c:v>
                </c:pt>
                <c:pt idx="2">
                  <c:v>0.59009529088269486</c:v>
                </c:pt>
                <c:pt idx="3">
                  <c:v>0.78916798505479235</c:v>
                </c:pt>
                <c:pt idx="4">
                  <c:v>0.9880464134792436</c:v>
                </c:pt>
                <c:pt idx="5">
                  <c:v>1.1665770896702092</c:v>
                </c:pt>
                <c:pt idx="6">
                  <c:v>1.3094284106916048</c:v>
                </c:pt>
                <c:pt idx="7">
                  <c:v>1.4235196375652013</c:v>
                </c:pt>
                <c:pt idx="8">
                  <c:v>1.5153139395286366</c:v>
                </c:pt>
                <c:pt idx="9">
                  <c:v>1.588741355562705</c:v>
                </c:pt>
                <c:pt idx="10">
                  <c:v>1.6474050099084743</c:v>
                </c:pt>
                <c:pt idx="11">
                  <c:v>1.6943556673087938</c:v>
                </c:pt>
                <c:pt idx="12">
                  <c:v>1.7319383968424269</c:v>
                </c:pt>
                <c:pt idx="13">
                  <c:v>1.7622307990273633</c:v>
                </c:pt>
                <c:pt idx="14">
                  <c:v>1.786648225101745</c:v>
                </c:pt>
                <c:pt idx="15">
                  <c:v>1.8063310149908647</c:v>
                </c:pt>
                <c:pt idx="16">
                  <c:v>1.8064662960791675</c:v>
                </c:pt>
                <c:pt idx="17">
                  <c:v>1.8065149834773739</c:v>
                </c:pt>
                <c:pt idx="18">
                  <c:v>1.8065317102738834</c:v>
                </c:pt>
                <c:pt idx="19">
                  <c:v>1.806537207249036</c:v>
                </c:pt>
              </c:numCache>
            </c:numRef>
          </c:val>
          <c:extLst>
            <c:ext xmlns:c16="http://schemas.microsoft.com/office/drawing/2014/chart" uri="{C3380CC4-5D6E-409C-BE32-E72D297353CC}">
              <c16:uniqueId val="{00000003-8406-45BC-B947-4C6674C05CFC}"/>
            </c:ext>
          </c:extLst>
        </c:ser>
        <c:ser>
          <c:idx val="4"/>
          <c:order val="4"/>
          <c:tx>
            <c:strRef>
              <c:f>Curves!$A$50</c:f>
              <c:strCache>
                <c:ptCount val="1"/>
                <c:pt idx="0">
                  <c:v>Pump Upgrades</c:v>
                </c:pt>
              </c:strCache>
            </c:strRef>
          </c:tx>
          <c:spPr>
            <a:solidFill>
              <a:schemeClr val="accent5"/>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Curves!$B$50:$U$50</c:f>
              <c:numCache>
                <c:formatCode>0.0</c:formatCode>
                <c:ptCount val="20"/>
                <c:pt idx="0">
                  <c:v>0.7552845529458817</c:v>
                </c:pt>
                <c:pt idx="1">
                  <c:v>1.5132085725973639</c:v>
                </c:pt>
                <c:pt idx="2">
                  <c:v>2.273203872408617</c:v>
                </c:pt>
                <c:pt idx="3">
                  <c:v>3.0387942997927699</c:v>
                </c:pt>
                <c:pt idx="4">
                  <c:v>3.8030309838072771</c:v>
                </c:pt>
                <c:pt idx="5">
                  <c:v>4.4885820653868072</c:v>
                </c:pt>
                <c:pt idx="6">
                  <c:v>5.0368873161331464</c:v>
                </c:pt>
                <c:pt idx="7">
                  <c:v>5.4745729635033369</c:v>
                </c:pt>
                <c:pt idx="8">
                  <c:v>5.8264077179406542</c:v>
                </c:pt>
                <c:pt idx="9">
                  <c:v>6.1076615108638093</c:v>
                </c:pt>
                <c:pt idx="10">
                  <c:v>6.3321998836159086</c:v>
                </c:pt>
                <c:pt idx="11">
                  <c:v>6.5117869798988748</c:v>
                </c:pt>
                <c:pt idx="12">
                  <c:v>6.6554686195461805</c:v>
                </c:pt>
                <c:pt idx="13">
                  <c:v>6.7712092401807009</c:v>
                </c:pt>
                <c:pt idx="14">
                  <c:v>6.8644472792961206</c:v>
                </c:pt>
                <c:pt idx="15">
                  <c:v>6.9395616599006642</c:v>
                </c:pt>
                <c:pt idx="16">
                  <c:v>6.9400776231135808</c:v>
                </c:pt>
                <c:pt idx="17">
                  <c:v>6.9402632092239527</c:v>
                </c:pt>
                <c:pt idx="18">
                  <c:v>6.9403269314544191</c:v>
                </c:pt>
                <c:pt idx="19">
                  <c:v>6.940347860687071</c:v>
                </c:pt>
              </c:numCache>
            </c:numRef>
          </c:val>
          <c:extLst>
            <c:ext xmlns:c16="http://schemas.microsoft.com/office/drawing/2014/chart" uri="{C3380CC4-5D6E-409C-BE32-E72D297353CC}">
              <c16:uniqueId val="{00000004-8406-45BC-B947-4C6674C05CFC}"/>
            </c:ext>
          </c:extLst>
        </c:ser>
        <c:ser>
          <c:idx val="5"/>
          <c:order val="5"/>
          <c:tx>
            <c:strRef>
              <c:f>Curves!$A$51</c:f>
              <c:strCache>
                <c:ptCount val="1"/>
                <c:pt idx="0">
                  <c:v>Dairy Refrigeration Measures</c:v>
                </c:pt>
              </c:strCache>
            </c:strRef>
          </c:tx>
          <c:spPr>
            <a:solidFill>
              <a:schemeClr val="accent6"/>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Curves!$B$51:$U$51</c:f>
              <c:numCache>
                <c:formatCode>0.0</c:formatCode>
                <c:ptCount val="20"/>
                <c:pt idx="0">
                  <c:v>2.5877344675033317E-2</c:v>
                </c:pt>
                <c:pt idx="1">
                  <c:v>6.7242779270012987E-2</c:v>
                </c:pt>
                <c:pt idx="2">
                  <c:v>0.15149222919672697</c:v>
                </c:pt>
                <c:pt idx="3">
                  <c:v>0.30179986232598754</c:v>
                </c:pt>
                <c:pt idx="4">
                  <c:v>0.54078651120447363</c:v>
                </c:pt>
                <c:pt idx="5">
                  <c:v>0.88207460195030329</c:v>
                </c:pt>
                <c:pt idx="6">
                  <c:v>1.3252482189585746</c:v>
                </c:pt>
                <c:pt idx="7">
                  <c:v>1.8514087017526806</c:v>
                </c:pt>
                <c:pt idx="8">
                  <c:v>2.4281840336157883</c:v>
                </c:pt>
                <c:pt idx="9">
                  <c:v>3.015765195850733</c:v>
                </c:pt>
                <c:pt idx="10">
                  <c:v>3.5736576445241859</c:v>
                </c:pt>
                <c:pt idx="11">
                  <c:v>4.0695054193368581</c:v>
                </c:pt>
                <c:pt idx="12">
                  <c:v>4.4850752111110443</c:v>
                </c:pt>
                <c:pt idx="13">
                  <c:v>4.812409906203694</c:v>
                </c:pt>
                <c:pt idx="14">
                  <c:v>5.053603892061437</c:v>
                </c:pt>
                <c:pt idx="15">
                  <c:v>5.2224396821618564</c:v>
                </c:pt>
                <c:pt idx="16">
                  <c:v>5.334996875562136</c:v>
                </c:pt>
                <c:pt idx="17">
                  <c:v>5.4066241804532229</c:v>
                </c:pt>
                <c:pt idx="18">
                  <c:v>5.4502234095173634</c:v>
                </c:pt>
                <c:pt idx="19">
                  <c:v>5.475656293138111</c:v>
                </c:pt>
              </c:numCache>
            </c:numRef>
          </c:val>
          <c:extLst>
            <c:ext xmlns:c16="http://schemas.microsoft.com/office/drawing/2014/chart" uri="{C3380CC4-5D6E-409C-BE32-E72D297353CC}">
              <c16:uniqueId val="{00000005-8406-45BC-B947-4C6674C05CFC}"/>
            </c:ext>
          </c:extLst>
        </c:ser>
        <c:ser>
          <c:idx val="6"/>
          <c:order val="6"/>
          <c:tx>
            <c:strRef>
              <c:f>Curves!$A$52</c:f>
              <c:strCache>
                <c:ptCount val="1"/>
                <c:pt idx="0">
                  <c:v>Dairy Ventilation Measures</c:v>
                </c:pt>
              </c:strCache>
            </c:strRef>
          </c:tx>
          <c:spPr>
            <a:solidFill>
              <a:schemeClr val="accent1">
                <a:lumMod val="60000"/>
              </a:schemeClr>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Curves!$B$52:$U$52</c:f>
              <c:numCache>
                <c:formatCode>0.0</c:formatCode>
                <c:ptCount val="20"/>
                <c:pt idx="0">
                  <c:v>6.1756161449629211E-3</c:v>
                </c:pt>
                <c:pt idx="1">
                  <c:v>1.9933904017227964E-2</c:v>
                </c:pt>
                <c:pt idx="2">
                  <c:v>4.2971163072292595E-2</c:v>
                </c:pt>
                <c:pt idx="3">
                  <c:v>7.6779845636013477E-2</c:v>
                </c:pt>
                <c:pt idx="4">
                  <c:v>0.12287470072835981</c:v>
                </c:pt>
                <c:pt idx="5">
                  <c:v>0.18333356833997921</c:v>
                </c:pt>
                <c:pt idx="6">
                  <c:v>0.2595499807512881</c:v>
                </c:pt>
                <c:pt idx="7">
                  <c:v>0.35186383824035239</c:v>
                </c:pt>
                <c:pt idx="8">
                  <c:v>0.45934760584630702</c:v>
                </c:pt>
                <c:pt idx="9">
                  <c:v>0.57987119613366001</c:v>
                </c:pt>
                <c:pt idx="10">
                  <c:v>0.71048555175661132</c:v>
                </c:pt>
                <c:pt idx="11">
                  <c:v>0.8480249791237584</c:v>
                </c:pt>
                <c:pt idx="12">
                  <c:v>0.98970842223827105</c:v>
                </c:pt>
                <c:pt idx="13">
                  <c:v>1.1335136871275453</c:v>
                </c:pt>
                <c:pt idx="14">
                  <c:v>1.2782292858581952</c:v>
                </c:pt>
                <c:pt idx="15">
                  <c:v>1.4232647036234005</c:v>
                </c:pt>
                <c:pt idx="16">
                  <c:v>1.5683898416044944</c:v>
                </c:pt>
                <c:pt idx="17">
                  <c:v>1.7135345345188442</c:v>
                </c:pt>
                <c:pt idx="18">
                  <c:v>1.8586824417173999</c:v>
                </c:pt>
                <c:pt idx="19">
                  <c:v>2.0038307347394957</c:v>
                </c:pt>
              </c:numCache>
            </c:numRef>
          </c:val>
          <c:extLst>
            <c:ext xmlns:c16="http://schemas.microsoft.com/office/drawing/2014/chart" uri="{C3380CC4-5D6E-409C-BE32-E72D297353CC}">
              <c16:uniqueId val="{00000006-8406-45BC-B947-4C6674C05CFC}"/>
            </c:ext>
          </c:extLst>
        </c:ser>
        <c:ser>
          <c:idx val="7"/>
          <c:order val="7"/>
          <c:tx>
            <c:strRef>
              <c:f>Curves!$A$53</c:f>
              <c:strCache>
                <c:ptCount val="1"/>
                <c:pt idx="0">
                  <c:v>Dairy Lighting</c:v>
                </c:pt>
              </c:strCache>
            </c:strRef>
          </c:tx>
          <c:spPr>
            <a:solidFill>
              <a:schemeClr val="accent2">
                <a:lumMod val="60000"/>
              </a:schemeClr>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Curves!$B$53:$U$53</c:f>
              <c:numCache>
                <c:formatCode>0.0</c:formatCode>
                <c:ptCount val="20"/>
                <c:pt idx="0">
                  <c:v>5.9537552651067666E-2</c:v>
                </c:pt>
                <c:pt idx="1">
                  <c:v>0.16251162178315431</c:v>
                </c:pt>
                <c:pt idx="2">
                  <c:v>0.29727803750151865</c:v>
                </c:pt>
                <c:pt idx="3">
                  <c:v>0.45840226129477579</c:v>
                </c:pt>
                <c:pt idx="4">
                  <c:v>0.64433866434402376</c:v>
                </c:pt>
                <c:pt idx="5">
                  <c:v>0.85275146546305136</c:v>
                </c:pt>
                <c:pt idx="6">
                  <c:v>1.0817718116192241</c:v>
                </c:pt>
                <c:pt idx="7">
                  <c:v>1.3289949453612504</c:v>
                </c:pt>
                <c:pt idx="8">
                  <c:v>1.5927990040983984</c:v>
                </c:pt>
                <c:pt idx="9">
                  <c:v>1.8719262705906292</c:v>
                </c:pt>
                <c:pt idx="10">
                  <c:v>2.1646890986956495</c:v>
                </c:pt>
                <c:pt idx="11">
                  <c:v>2.4690296897411219</c:v>
                </c:pt>
                <c:pt idx="12">
                  <c:v>2.7148048777679645</c:v>
                </c:pt>
                <c:pt idx="13">
                  <c:v>2.7148048777679645</c:v>
                </c:pt>
                <c:pt idx="14">
                  <c:v>2.7148048777679645</c:v>
                </c:pt>
                <c:pt idx="15">
                  <c:v>2.7148048777679645</c:v>
                </c:pt>
                <c:pt idx="16">
                  <c:v>2.7148048777679645</c:v>
                </c:pt>
                <c:pt idx="17">
                  <c:v>2.7148048777679645</c:v>
                </c:pt>
                <c:pt idx="18">
                  <c:v>2.7148048777679645</c:v>
                </c:pt>
                <c:pt idx="19">
                  <c:v>2.7148048777679645</c:v>
                </c:pt>
              </c:numCache>
            </c:numRef>
          </c:val>
          <c:extLst>
            <c:ext xmlns:c16="http://schemas.microsoft.com/office/drawing/2014/chart" uri="{C3380CC4-5D6E-409C-BE32-E72D297353CC}">
              <c16:uniqueId val="{00000007-8406-45BC-B947-4C6674C05CFC}"/>
            </c:ext>
          </c:extLst>
        </c:ser>
        <c:ser>
          <c:idx val="8"/>
          <c:order val="8"/>
          <c:tx>
            <c:strRef>
              <c:f>Curves!$A$54</c:f>
              <c:strCache>
                <c:ptCount val="1"/>
                <c:pt idx="0">
                  <c:v>Energy Free Stock Tank</c:v>
                </c:pt>
              </c:strCache>
            </c:strRef>
          </c:tx>
          <c:spPr>
            <a:solidFill>
              <a:schemeClr val="accent3">
                <a:lumMod val="60000"/>
              </a:schemeClr>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Curves!$B$54:$U$54</c:f>
              <c:numCache>
                <c:formatCode>0.0</c:formatCode>
                <c:ptCount val="20"/>
                <c:pt idx="0">
                  <c:v>9.5438323356987422E-4</c:v>
                </c:pt>
                <c:pt idx="1">
                  <c:v>3.7910194468156952E-3</c:v>
                </c:pt>
                <c:pt idx="2">
                  <c:v>9.915756305419212E-3</c:v>
                </c:pt>
                <c:pt idx="3">
                  <c:v>2.132109065573784E-2</c:v>
                </c:pt>
                <c:pt idx="4">
                  <c:v>4.0541781832544144E-2</c:v>
                </c:pt>
                <c:pt idx="5">
                  <c:v>7.0726314675140928E-2</c:v>
                </c:pt>
                <c:pt idx="6">
                  <c:v>0.11573703964848056</c:v>
                </c:pt>
                <c:pt idx="7">
                  <c:v>0.17974043408676915</c:v>
                </c:pt>
                <c:pt idx="8">
                  <c:v>0.26703479290965276</c:v>
                </c:pt>
                <c:pt idx="9">
                  <c:v>0.38126227002906909</c:v>
                </c:pt>
                <c:pt idx="10">
                  <c:v>0.5249313300045475</c:v>
                </c:pt>
                <c:pt idx="11">
                  <c:v>0.69984585212107131</c:v>
                </c:pt>
                <c:pt idx="12">
                  <c:v>0.90599779725926255</c:v>
                </c:pt>
                <c:pt idx="13">
                  <c:v>1.1425035677257283</c:v>
                </c:pt>
                <c:pt idx="14">
                  <c:v>1.4056457387430821</c:v>
                </c:pt>
                <c:pt idx="15">
                  <c:v>1.6904202274300326</c:v>
                </c:pt>
                <c:pt idx="16">
                  <c:v>1.9913150976754042</c:v>
                </c:pt>
                <c:pt idx="17">
                  <c:v>2.3031267313451691</c:v>
                </c:pt>
                <c:pt idx="18">
                  <c:v>2.6215834085839878</c:v>
                </c:pt>
                <c:pt idx="19">
                  <c:v>2.9431805525127754</c:v>
                </c:pt>
              </c:numCache>
            </c:numRef>
          </c:val>
          <c:extLst>
            <c:ext xmlns:c16="http://schemas.microsoft.com/office/drawing/2014/chart" uri="{C3380CC4-5D6E-409C-BE32-E72D297353CC}">
              <c16:uniqueId val="{00000008-8406-45BC-B947-4C6674C05CFC}"/>
            </c:ext>
          </c:extLst>
        </c:ser>
        <c:ser>
          <c:idx val="9"/>
          <c:order val="9"/>
          <c:tx>
            <c:strRef>
              <c:f>Curves!$A$55</c:f>
              <c:strCache>
                <c:ptCount val="1"/>
                <c:pt idx="0">
                  <c:v>Circulating Engine Block Heater</c:v>
                </c:pt>
              </c:strCache>
            </c:strRef>
          </c:tx>
          <c:spPr>
            <a:solidFill>
              <a:schemeClr val="accent4">
                <a:lumMod val="60000"/>
              </a:schemeClr>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Curves!$B$55:$U$55</c:f>
              <c:numCache>
                <c:formatCode>0.0</c:formatCode>
                <c:ptCount val="20"/>
                <c:pt idx="0">
                  <c:v>1.0121183326811174E-2</c:v>
                </c:pt>
                <c:pt idx="1">
                  <c:v>2.2548382307053735E-2</c:v>
                </c:pt>
                <c:pt idx="2">
                  <c:v>3.7755637133264519E-2</c:v>
                </c:pt>
                <c:pt idx="3">
                  <c:v>5.5408863866074708E-2</c:v>
                </c:pt>
                <c:pt idx="4">
                  <c:v>7.5544604434807205E-2</c:v>
                </c:pt>
                <c:pt idx="5">
                  <c:v>9.9085705533642848E-2</c:v>
                </c:pt>
                <c:pt idx="6">
                  <c:v>0.12491065902078262</c:v>
                </c:pt>
                <c:pt idx="7">
                  <c:v>0.15129267320379258</c:v>
                </c:pt>
                <c:pt idx="8">
                  <c:v>0.17615455544197633</c:v>
                </c:pt>
                <c:pt idx="9">
                  <c:v>0.19752544910012415</c:v>
                </c:pt>
                <c:pt idx="10">
                  <c:v>0.214063148897532</c:v>
                </c:pt>
                <c:pt idx="11">
                  <c:v>0.22541261088303657</c:v>
                </c:pt>
                <c:pt idx="12">
                  <c:v>0.23220421549442247</c:v>
                </c:pt>
                <c:pt idx="13">
                  <c:v>0.23537635643746915</c:v>
                </c:pt>
                <c:pt idx="14">
                  <c:v>0.23537635643746915</c:v>
                </c:pt>
                <c:pt idx="15">
                  <c:v>0.23537635643746915</c:v>
                </c:pt>
                <c:pt idx="16">
                  <c:v>0.23537635643746915</c:v>
                </c:pt>
                <c:pt idx="17">
                  <c:v>0.23537635643746915</c:v>
                </c:pt>
                <c:pt idx="18">
                  <c:v>0.23537635643746915</c:v>
                </c:pt>
                <c:pt idx="19">
                  <c:v>0.23537635643746915</c:v>
                </c:pt>
              </c:numCache>
            </c:numRef>
          </c:val>
          <c:extLst>
            <c:ext xmlns:c16="http://schemas.microsoft.com/office/drawing/2014/chart" uri="{C3380CC4-5D6E-409C-BE32-E72D297353CC}">
              <c16:uniqueId val="{00000009-8406-45BC-B947-4C6674C05CFC}"/>
            </c:ext>
          </c:extLst>
        </c:ser>
        <c:ser>
          <c:idx val="10"/>
          <c:order val="10"/>
          <c:tx>
            <c:strRef>
              <c:f>Curves!$A$56</c:f>
              <c:strCache>
                <c:ptCount val="1"/>
                <c:pt idx="0">
                  <c:v>Exterior Area Lighting</c:v>
                </c:pt>
              </c:strCache>
            </c:strRef>
          </c:tx>
          <c:spPr>
            <a:solidFill>
              <a:schemeClr val="accent5">
                <a:lumMod val="60000"/>
              </a:schemeClr>
            </a:solidFill>
            <a:ln>
              <a:noFill/>
            </a:ln>
            <a:effectLst/>
          </c:spPr>
          <c:cat>
            <c:numRef>
              <c:f>Curves!$B$45:$U$45</c:f>
              <c:numCache>
                <c:formatCode>General</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Curves!$B$56:$U$56</c:f>
              <c:numCache>
                <c:formatCode>0.0</c:formatCode>
                <c:ptCount val="20"/>
                <c:pt idx="0">
                  <c:v>8.9800450261808315E-2</c:v>
                </c:pt>
                <c:pt idx="1">
                  <c:v>0.24254389540927157</c:v>
                </c:pt>
                <c:pt idx="2">
                  <c:v>0.43886072162856371</c:v>
                </c:pt>
                <c:pt idx="3">
                  <c:v>0.66911253114766489</c:v>
                </c:pt>
                <c:pt idx="4">
                  <c:v>0.9290965061800982</c:v>
                </c:pt>
                <c:pt idx="5">
                  <c:v>1.2148087409727446</c:v>
                </c:pt>
                <c:pt idx="6">
                  <c:v>1.5225618834985413</c:v>
                </c:pt>
                <c:pt idx="7">
                  <c:v>1.8490410000630819</c:v>
                </c:pt>
                <c:pt idx="8">
                  <c:v>2.1913192368098668</c:v>
                </c:pt>
                <c:pt idx="9">
                  <c:v>2.5468483305087131</c:v>
                </c:pt>
                <c:pt idx="10">
                  <c:v>2.9134343289618081</c:v>
                </c:pt>
                <c:pt idx="11">
                  <c:v>3.2886314534958583</c:v>
                </c:pt>
                <c:pt idx="12">
                  <c:v>3.6705349297648828</c:v>
                </c:pt>
                <c:pt idx="13">
                  <c:v>4.0576613180166579</c:v>
                </c:pt>
                <c:pt idx="14">
                  <c:v>4.4488553142105118</c:v>
                </c:pt>
                <c:pt idx="15">
                  <c:v>4.465680152921891</c:v>
                </c:pt>
                <c:pt idx="16">
                  <c:v>4.465680152921891</c:v>
                </c:pt>
                <c:pt idx="17">
                  <c:v>4.465680152921891</c:v>
                </c:pt>
                <c:pt idx="18">
                  <c:v>4.465680152921891</c:v>
                </c:pt>
                <c:pt idx="19">
                  <c:v>4.465680152921891</c:v>
                </c:pt>
              </c:numCache>
            </c:numRef>
          </c:val>
          <c:extLst>
            <c:ext xmlns:c16="http://schemas.microsoft.com/office/drawing/2014/chart" uri="{C3380CC4-5D6E-409C-BE32-E72D297353CC}">
              <c16:uniqueId val="{0000000A-8406-45BC-B947-4C6674C05CFC}"/>
            </c:ext>
          </c:extLst>
        </c:ser>
        <c:dLbls>
          <c:showLegendKey val="0"/>
          <c:showVal val="0"/>
          <c:showCatName val="0"/>
          <c:showSerName val="0"/>
          <c:showPercent val="0"/>
          <c:showBubbleSize val="0"/>
        </c:dLbls>
        <c:axId val="605285568"/>
        <c:axId val="605285240"/>
      </c:areaChart>
      <c:catAx>
        <c:axId val="605285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285240"/>
        <c:crosses val="autoZero"/>
        <c:auto val="1"/>
        <c:lblAlgn val="ctr"/>
        <c:lblOffset val="100"/>
        <c:noMultiLvlLbl val="0"/>
      </c:catAx>
      <c:valAx>
        <c:axId val="605285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aMW</a:t>
                </a:r>
              </a:p>
            </c:rich>
          </c:tx>
          <c:layout>
            <c:manualLayout>
              <c:xMode val="edge"/>
              <c:yMode val="edge"/>
              <c:x val="1.2792397660818713E-2"/>
              <c:y val="0.385817475940507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285568"/>
        <c:crosses val="autoZero"/>
        <c:crossBetween val="midCat"/>
      </c:valAx>
      <c:spPr>
        <a:noFill/>
        <a:ln>
          <a:noFill/>
        </a:ln>
        <a:effectLst/>
      </c:spPr>
    </c:plotArea>
    <c:legend>
      <c:legendPos val="b"/>
      <c:layout>
        <c:manualLayout>
          <c:xMode val="edge"/>
          <c:yMode val="edge"/>
          <c:x val="5.9301756688308699E-2"/>
          <c:y val="0.16319116360454944"/>
          <c:w val="0.79477612584611135"/>
          <c:h val="0.171340790345132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419100</xdr:colOff>
      <xdr:row>2</xdr:row>
      <xdr:rowOff>19050</xdr:rowOff>
    </xdr:from>
    <xdr:to>
      <xdr:col>11</xdr:col>
      <xdr:colOff>485775</xdr:colOff>
      <xdr:row>36</xdr:row>
      <xdr:rowOff>47625</xdr:rowOff>
    </xdr:to>
    <xdr:sp macro="" textlink="">
      <xdr:nvSpPr>
        <xdr:cNvPr id="2" name="TextBox 1">
          <a:extLst>
            <a:ext uri="{FF2B5EF4-FFF2-40B4-BE49-F238E27FC236}">
              <a16:creationId xmlns:a16="http://schemas.microsoft.com/office/drawing/2014/main" id="{ADD3E756-119F-4966-BEE8-806617C7D686}"/>
            </a:ext>
          </a:extLst>
        </xdr:cNvPr>
        <xdr:cNvSpPr txBox="1"/>
      </xdr:nvSpPr>
      <xdr:spPr>
        <a:xfrm>
          <a:off x="419100" y="354330"/>
          <a:ext cx="6772275" cy="57283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workbook is a technical document supporting the work of estimating the costs of energy efficiency measures for the draft 2021 Power Plan. Technical information displayed here relate to incremental cost and savings and total potential for a particular measure. </a:t>
          </a:r>
          <a:endParaRPr lang="en-US" sz="1200">
            <a:effectLst/>
          </a:endParaRPr>
        </a:p>
        <a:p>
          <a:endParaRPr lang="en-US" sz="1200" baseline="0"/>
        </a:p>
        <a:p>
          <a:r>
            <a:rPr lang="en-US" sz="1200" baseline="0"/>
            <a:t>For more information, see the Council's Conservation Resources Advisory Committee (CRAC) webpage where presentations on measures are posted.</a:t>
          </a:r>
        </a:p>
        <a:p>
          <a:endParaRPr lang="en-US" sz="1200" baseline="0"/>
        </a:p>
        <a:p>
          <a:r>
            <a:rPr lang="en-US" sz="1200" baseline="0"/>
            <a:t>Questions? Contact Tina Jayaweera, tjayaweera@nwcouncil.org, 503.222.5161.</a:t>
          </a:r>
        </a:p>
        <a:p>
          <a:endParaRPr lang="en-US" sz="1100"/>
        </a:p>
      </xdr:txBody>
    </xdr:sp>
    <xdr:clientData/>
  </xdr:twoCellAnchor>
  <xdr:twoCellAnchor editAs="oneCell">
    <xdr:from>
      <xdr:col>4</xdr:col>
      <xdr:colOff>28576</xdr:colOff>
      <xdr:row>12</xdr:row>
      <xdr:rowOff>142875</xdr:rowOff>
    </xdr:from>
    <xdr:to>
      <xdr:col>7</xdr:col>
      <xdr:colOff>332646</xdr:colOff>
      <xdr:row>33</xdr:row>
      <xdr:rowOff>85724</xdr:rowOff>
    </xdr:to>
    <xdr:pic>
      <xdr:nvPicPr>
        <xdr:cNvPr id="3" name="Picture 2">
          <a:extLst>
            <a:ext uri="{FF2B5EF4-FFF2-40B4-BE49-F238E27FC236}">
              <a16:creationId xmlns:a16="http://schemas.microsoft.com/office/drawing/2014/main" id="{3F9709FF-91EC-4391-9CA2-3B99BE1DC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6976" y="2154555"/>
          <a:ext cx="2132870" cy="34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47630</xdr:colOff>
      <xdr:row>15</xdr:row>
      <xdr:rowOff>171455</xdr:rowOff>
    </xdr:from>
    <xdr:to>
      <xdr:col>13</xdr:col>
      <xdr:colOff>342899</xdr:colOff>
      <xdr:row>39</xdr:row>
      <xdr:rowOff>28574</xdr:rowOff>
    </xdr:to>
    <xdr:graphicFrame macro="">
      <xdr:nvGraphicFramePr>
        <xdr:cNvPr id="3" name="Chart 2">
          <a:extLst>
            <a:ext uri="{FF2B5EF4-FFF2-40B4-BE49-F238E27FC236}">
              <a16:creationId xmlns:a16="http://schemas.microsoft.com/office/drawing/2014/main" id="{8D0DFAE1-35CF-4E29-998F-3117B11A20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434340</xdr:colOff>
      <xdr:row>40</xdr:row>
      <xdr:rowOff>129540</xdr:rowOff>
    </xdr:from>
    <xdr:to>
      <xdr:col>19</xdr:col>
      <xdr:colOff>68580</xdr:colOff>
      <xdr:row>67</xdr:row>
      <xdr:rowOff>83820</xdr:rowOff>
    </xdr:to>
    <xdr:graphicFrame macro="">
      <xdr:nvGraphicFramePr>
        <xdr:cNvPr id="2" name="Chart 1">
          <a:extLst>
            <a:ext uri="{FF2B5EF4-FFF2-40B4-BE49-F238E27FC236}">
              <a16:creationId xmlns:a16="http://schemas.microsoft.com/office/drawing/2014/main" id="{2D978040-A945-4C36-AE39-8C0F364ACF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Dairy-2021P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ghth%20Plan/Conservation%20Analysis/Global%20EE%20Inputs/Units%20Forecasts/2021P%20Forecas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Irr_Eff-2021P_v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g-StockTankEff-2021P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g-Irr_Motor-2021P_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g-Area_Lights-2021P_v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g-CircBlockHtr-2021P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Retro"/>
      <sheetName val="SC-NR"/>
      <sheetName val="M_Input_Out"/>
      <sheetName val="M_Input"/>
      <sheetName val="Raw"/>
      <sheetName val="ECM Estimated Cost &amp; Savings"/>
      <sheetName val="Input Assumptions"/>
      <sheetName val="Accomplishments"/>
      <sheetName val="Herd Size"/>
      <sheetName val="State Dairy Production Data"/>
      <sheetName val="Milking Cows by State"/>
      <sheetName val="NYSERDA - EUI by Equip Type"/>
      <sheetName val="NYSERDA - EUI by End Use"/>
      <sheetName val="CA EUIs and ECM Savings Est"/>
      <sheetName val="GDP Deflator"/>
      <sheetName val="TMY Data"/>
      <sheetName val="UpdateLog"/>
      <sheetName val="Ag-Dairy-2021P_v2"/>
    </sheetNames>
    <definedNames>
      <definedName name="MeasureOutput" refersTo="='M_Input_Out'!$A$4:$AN$100"/>
    </definedNames>
    <sheetDataSet>
      <sheetData sheetId="0" refreshError="1"/>
      <sheetData sheetId="1" refreshError="1"/>
      <sheetData sheetId="2">
        <row r="1">
          <cell r="J1" t="str">
            <v>segment</v>
          </cell>
          <cell r="AF1" t="str">
            <v>MAX</v>
          </cell>
        </row>
        <row r="2">
          <cell r="J2">
            <v>1</v>
          </cell>
          <cell r="AF2" t="str">
            <v>MAX</v>
          </cell>
        </row>
        <row r="3">
          <cell r="A3" t="str">
            <v>Retro3Slow</v>
          </cell>
          <cell r="J3" t="str">
            <v>VSD - Vacuum Pump - Free Stall - Idaho</v>
          </cell>
          <cell r="L3">
            <v>1.503031102444445E-4</v>
          </cell>
          <cell r="M3">
            <v>2.4100794330756057E-4</v>
          </cell>
          <cell r="N3">
            <v>4.9224018158641161E-4</v>
          </cell>
          <cell r="O3">
            <v>8.8044417175801458E-4</v>
          </cell>
          <cell r="P3">
            <v>1.4048322849107035E-3</v>
          </cell>
          <cell r="Q3">
            <v>2.0100359172785377E-3</v>
          </cell>
          <cell r="R3">
            <v>2.6174859672596241E-3</v>
          </cell>
          <cell r="S3">
            <v>3.1112429650658226E-3</v>
          </cell>
          <cell r="T3">
            <v>3.4155118881739133E-3</v>
          </cell>
          <cell r="U3">
            <v>3.4836479542340107E-3</v>
          </cell>
          <cell r="V3">
            <v>3.3101149386632208E-3</v>
          </cell>
          <cell r="W3">
            <v>2.9441099693715235E-3</v>
          </cell>
          <cell r="X3">
            <v>2.4691886661196271E-3</v>
          </cell>
          <cell r="Y3">
            <v>1.9441197520817231E-3</v>
          </cell>
          <cell r="Z3">
            <v>1.4325092910075893E-3</v>
          </cell>
          <cell r="AA3">
            <v>1.0027565037053088E-3</v>
          </cell>
          <cell r="AB3">
            <v>6.6850433580353905E-4</v>
          </cell>
          <cell r="AC3">
            <v>4.2541185005679844E-4</v>
          </cell>
          <cell r="AD3">
            <v>2.5894634351283826E-4</v>
          </cell>
          <cell r="AE3">
            <v>1.5105203371581512E-4</v>
          </cell>
          <cell r="AF3">
            <v>3.5065669676908419E-2</v>
          </cell>
        </row>
        <row r="4">
          <cell r="A4" t="str">
            <v>Retro3Slow</v>
          </cell>
          <cell r="J4" t="str">
            <v>VSD - Vacuum Pump - Free Stall - Montana</v>
          </cell>
          <cell r="L4">
            <v>7.5757475642464289E-7</v>
          </cell>
          <cell r="M4">
            <v>1.1917994513107817E-6</v>
          </cell>
          <cell r="N4">
            <v>2.3787773004995316E-6</v>
          </cell>
          <cell r="O4">
            <v>4.1623108144253084E-6</v>
          </cell>
          <cell r="P4">
            <v>6.4747646221935166E-6</v>
          </cell>
          <cell r="Q4">
            <v>9.0169929245976584E-6</v>
          </cell>
          <cell r="R4">
            <v>1.1469287708202987E-5</v>
          </cell>
          <cell r="S4">
            <v>1.3364925047919847E-5</v>
          </cell>
          <cell r="T4">
            <v>1.4366373218331329E-5</v>
          </cell>
          <cell r="U4">
            <v>1.4334442264845564E-5</v>
          </cell>
          <cell r="V4">
            <v>1.33787616259975E-5</v>
          </cell>
          <cell r="W4">
            <v>1.1668660546763961E-5</v>
          </cell>
          <cell r="X4">
            <v>9.5793262705464647E-6</v>
          </cell>
          <cell r="Y4">
            <v>7.4508445467143473E-6</v>
          </cell>
          <cell r="Z4">
            <v>5.4900959817895345E-6</v>
          </cell>
          <cell r="AA4">
            <v>3.8430671872526583E-6</v>
          </cell>
          <cell r="AB4">
            <v>2.5620447915017723E-6</v>
          </cell>
          <cell r="AC4">
            <v>1.6303921400465851E-6</v>
          </cell>
          <cell r="AD4">
            <v>9.9241260698489477E-7</v>
          </cell>
          <cell r="AE4">
            <v>5.7890735407449461E-7</v>
          </cell>
          <cell r="AF4">
            <v>1.3438927998613178E-4</v>
          </cell>
        </row>
        <row r="5">
          <cell r="A5" t="str">
            <v>Retro3Slow</v>
          </cell>
          <cell r="J5" t="str">
            <v>VSD - Vacuum Pump - Free Stall - Oregon</v>
          </cell>
          <cell r="L5">
            <v>2.5172079595075247E-5</v>
          </cell>
          <cell r="M5">
            <v>4.0156339320895878E-5</v>
          </cell>
          <cell r="N5">
            <v>8.1555046694344166E-5</v>
          </cell>
          <cell r="O5">
            <v>1.4500217920092285E-4</v>
          </cell>
          <cell r="P5">
            <v>2.2933999999789052E-4</v>
          </cell>
          <cell r="Q5">
            <v>3.2615629854239217E-4</v>
          </cell>
          <cell r="R5">
            <v>4.2156546715188482E-4</v>
          </cell>
          <cell r="S5">
            <v>4.9924967564810593E-4</v>
          </cell>
          <cell r="T5">
            <v>5.466850325079579E-4</v>
          </cell>
          <cell r="U5">
            <v>5.5406390355291265E-4</v>
          </cell>
          <cell r="V5">
            <v>5.245838433267394E-4</v>
          </cell>
          <cell r="W5">
            <v>4.6632429418018889E-4</v>
          </cell>
          <cell r="X5">
            <v>3.8928754380927088E-4</v>
          </cell>
          <cell r="Y5">
            <v>3.0730153192154772E-4</v>
          </cell>
          <cell r="Z5">
            <v>2.2643270773166737E-4</v>
          </cell>
          <cell r="AA5">
            <v>1.5850289541216659E-4</v>
          </cell>
          <cell r="AB5">
            <v>1.0566859694144439E-4</v>
          </cell>
          <cell r="AC5">
            <v>6.7243652599101081E-5</v>
          </cell>
          <cell r="AD5">
            <v>4.0930918973366564E-5</v>
          </cell>
          <cell r="AE5">
            <v>2.3876369401129372E-5</v>
          </cell>
          <cell r="AF5">
            <v>5.5427316131274797E-3</v>
          </cell>
        </row>
        <row r="6">
          <cell r="A6" t="str">
            <v>Retro3Slow</v>
          </cell>
          <cell r="J6" t="str">
            <v>VSD - Vacuum Pump - Free Stall - Washington</v>
          </cell>
          <cell r="L6">
            <v>7.0059760879131417E-5</v>
          </cell>
          <cell r="M6">
            <v>1.1149405330352091E-4</v>
          </cell>
          <cell r="N6">
            <v>2.2630332348575445E-4</v>
          </cell>
          <cell r="O6">
            <v>4.0266482264419555E-4</v>
          </cell>
          <cell r="P6">
            <v>6.3768880813805167E-4</v>
          </cell>
          <cell r="Q6">
            <v>9.0972358283794162E-4</v>
          </cell>
          <cell r="R6">
            <v>1.1778200472437391E-3</v>
          </cell>
          <cell r="S6">
            <v>1.3979966043467628E-3</v>
          </cell>
          <cell r="T6">
            <v>1.5302674136596656E-3</v>
          </cell>
          <cell r="U6">
            <v>1.5599341578799351E-3</v>
          </cell>
          <cell r="V6">
            <v>1.4820519315776415E-3</v>
          </cell>
          <cell r="W6">
            <v>1.3166088020172941E-3</v>
          </cell>
          <cell r="X6">
            <v>1.104713997201549E-3</v>
          </cell>
          <cell r="Y6">
            <v>8.7108991291990148E-4</v>
          </cell>
          <cell r="Z6">
            <v>6.418557253094028E-4</v>
          </cell>
          <cell r="AA6">
            <v>4.4929900771658026E-4</v>
          </cell>
          <cell r="AB6">
            <v>2.9953267181105349E-4</v>
          </cell>
          <cell r="AC6">
            <v>1.9061170024339802E-4</v>
          </cell>
          <cell r="AD6">
            <v>1.1602451319163554E-4</v>
          </cell>
          <cell r="AE6">
            <v>6.768096602845088E-5</v>
          </cell>
          <cell r="AF6">
            <v>1.5711661338057428E-2</v>
          </cell>
        </row>
        <row r="7">
          <cell r="A7" t="str">
            <v>Retro3Slow</v>
          </cell>
          <cell r="J7" t="str">
            <v>VSD - Vacuum Pump - Tie Stall - Idaho</v>
          </cell>
          <cell r="L7">
            <v>2.6444975829475147E-5</v>
          </cell>
          <cell r="M7">
            <v>4.1569047412970456E-5</v>
          </cell>
          <cell r="N7">
            <v>8.3138094825940925E-5</v>
          </cell>
          <cell r="O7">
            <v>1.4549166594539668E-4</v>
          </cell>
          <cell r="P7">
            <v>2.2632036924839476E-4</v>
          </cell>
          <cell r="Q7">
            <v>3.1684851694775251E-4</v>
          </cell>
          <cell r="R7">
            <v>4.0326174884259419E-4</v>
          </cell>
          <cell r="S7">
            <v>4.7047204031635989E-4</v>
          </cell>
          <cell r="T7">
            <v>5.0666219726377189E-4</v>
          </cell>
          <cell r="U7">
            <v>5.0666219726377189E-4</v>
          </cell>
          <cell r="V7">
            <v>4.7288471744618777E-4</v>
          </cell>
          <cell r="W7">
            <v>4.1377412776541375E-4</v>
          </cell>
          <cell r="X7">
            <v>3.4075516404210524E-4</v>
          </cell>
          <cell r="Y7">
            <v>2.6503179425497108E-4</v>
          </cell>
          <cell r="Z7">
            <v>1.9528658524050555E-4</v>
          </cell>
          <cell r="AA7">
            <v>1.3670060966835333E-4</v>
          </cell>
          <cell r="AB7">
            <v>9.1133739778902236E-5</v>
          </cell>
          <cell r="AC7">
            <v>5.7994198041119698E-5</v>
          </cell>
          <cell r="AD7">
            <v>3.5300816198943018E-5</v>
          </cell>
          <cell r="AE7">
            <v>2.0592142782715788E-5</v>
          </cell>
          <cell r="AF7">
            <v>4.7803214494744296E-3</v>
          </cell>
        </row>
        <row r="8">
          <cell r="A8" t="str">
            <v>Retro3Slow</v>
          </cell>
          <cell r="J8" t="str">
            <v>VSD - Vacuum Pump - Tie Stall - Montana</v>
          </cell>
          <cell r="L8">
            <v>1.3085966889166994E-6</v>
          </cell>
          <cell r="M8">
            <v>2.0569925326006264E-6</v>
          </cell>
          <cell r="N8">
            <v>4.1139850652012528E-6</v>
          </cell>
          <cell r="O8">
            <v>7.1994738641021974E-6</v>
          </cell>
          <cell r="P8">
            <v>1.1199181566381192E-5</v>
          </cell>
          <cell r="Q8">
            <v>1.5678854192933659E-5</v>
          </cell>
          <cell r="R8">
            <v>1.9954905336461021E-5</v>
          </cell>
          <cell r="S8">
            <v>2.3280722892537867E-5</v>
          </cell>
          <cell r="T8">
            <v>2.5071547730425378E-5</v>
          </cell>
          <cell r="U8">
            <v>2.5071547730425378E-5</v>
          </cell>
          <cell r="V8">
            <v>2.3400111215063715E-5</v>
          </cell>
          <cell r="W8">
            <v>2.047509731318073E-5</v>
          </cell>
          <cell r="X8">
            <v>1.6861844846148823E-5</v>
          </cell>
          <cell r="Y8">
            <v>1.3114768213671321E-5</v>
          </cell>
          <cell r="Z8">
            <v>9.6635134205999499E-6</v>
          </cell>
          <cell r="AA8">
            <v>6.764459394419937E-6</v>
          </cell>
          <cell r="AB8">
            <v>4.5096395962799588E-6</v>
          </cell>
          <cell r="AC8">
            <v>2.8697706521781601E-6</v>
          </cell>
          <cell r="AD8">
            <v>1.7468169187171704E-6</v>
          </cell>
          <cell r="AE8">
            <v>1.0189765359183013E-6</v>
          </cell>
          <cell r="AF8">
            <v>2.3654825253299804E-4</v>
          </cell>
        </row>
        <row r="9">
          <cell r="A9" t="str">
            <v>Retro3Slow</v>
          </cell>
          <cell r="J9" t="str">
            <v>VSD - Vacuum Pump - Tie Stall - Oregon</v>
          </cell>
          <cell r="L9">
            <v>1.5708141988460936E-5</v>
          </cell>
          <cell r="M9">
            <v>2.4691741194946071E-5</v>
          </cell>
          <cell r="N9">
            <v>4.9383482389892162E-5</v>
          </cell>
          <cell r="O9">
            <v>8.6421094182311315E-5</v>
          </cell>
          <cell r="P9">
            <v>1.3443281317248421E-4</v>
          </cell>
          <cell r="Q9">
            <v>1.8820593844147778E-4</v>
          </cell>
          <cell r="R9">
            <v>2.3953483074369905E-4</v>
          </cell>
          <cell r="S9">
            <v>2.7945730253431562E-4</v>
          </cell>
          <cell r="T9">
            <v>3.0095401811387821E-4</v>
          </cell>
          <cell r="U9">
            <v>3.0095401811387821E-4</v>
          </cell>
          <cell r="V9">
            <v>2.8089041690628657E-4</v>
          </cell>
          <cell r="W9">
            <v>2.4577911479300047E-4</v>
          </cell>
          <cell r="X9">
            <v>2.0240632982952968E-4</v>
          </cell>
          <cell r="Y9">
            <v>1.5742714542296772E-4</v>
          </cell>
          <cell r="Z9">
            <v>1.1599894925902918E-4</v>
          </cell>
          <cell r="AA9">
            <v>8.1199264481320098E-5</v>
          </cell>
          <cell r="AB9">
            <v>5.4132842987546734E-5</v>
          </cell>
          <cell r="AC9">
            <v>3.444817281025707E-5</v>
          </cell>
          <cell r="AD9">
            <v>2.0968453014939448E-5</v>
          </cell>
          <cell r="AE9">
            <v>1.2231597592047431E-5</v>
          </cell>
          <cell r="AF9">
            <v>2.8394795504080462E-3</v>
          </cell>
        </row>
        <row r="10">
          <cell r="A10" t="str">
            <v>Retro3Slow</v>
          </cell>
          <cell r="J10" t="str">
            <v>VSD - Vacuum Pump - Tie Stall - Washington</v>
          </cell>
          <cell r="L10">
            <v>9.5767107491214231E-7</v>
          </cell>
          <cell r="M10">
            <v>1.5053700398804002E-6</v>
          </cell>
          <cell r="N10">
            <v>3.0107400797608004E-6</v>
          </cell>
          <cell r="O10">
            <v>5.2687951395814023E-6</v>
          </cell>
          <cell r="P10">
            <v>8.1959035504599602E-6</v>
          </cell>
          <cell r="Q10">
            <v>1.1474264970643936E-5</v>
          </cell>
          <cell r="R10">
            <v>1.4603609962637744E-5</v>
          </cell>
          <cell r="S10">
            <v>1.7037544956410699E-5</v>
          </cell>
          <cell r="T10">
            <v>1.8348125337673052E-5</v>
          </cell>
          <cell r="U10">
            <v>1.8348125337673052E-5</v>
          </cell>
          <cell r="V10">
            <v>1.7124916981828198E-5</v>
          </cell>
          <cell r="W10">
            <v>1.4984302359099659E-5</v>
          </cell>
          <cell r="X10">
            <v>1.234001370749383E-5</v>
          </cell>
          <cell r="Y10">
            <v>9.5977884391618772E-6</v>
          </cell>
          <cell r="Z10">
            <v>7.0720546393824565E-6</v>
          </cell>
          <cell r="AA10">
            <v>4.9504382475677005E-6</v>
          </cell>
          <cell r="AB10">
            <v>3.3002921650451331E-6</v>
          </cell>
          <cell r="AC10">
            <v>2.1001859232105428E-6</v>
          </cell>
          <cell r="AD10">
            <v>1.2783740402151347E-6</v>
          </cell>
          <cell r="AE10">
            <v>7.4571819012546001E-7</v>
          </cell>
          <cell r="AF10">
            <v>1.7311324504374131E-4</v>
          </cell>
        </row>
        <row r="11">
          <cell r="A11" t="str">
            <v>Retro3Slow</v>
          </cell>
          <cell r="J11" t="str">
            <v>Plate Milk Pre-cooler - Free Stall - Idaho</v>
          </cell>
          <cell r="L11">
            <v>1.579969788675742E-3</v>
          </cell>
          <cell r="M11">
            <v>2.5334490326749323E-3</v>
          </cell>
          <cell r="N11">
            <v>5.1743747312610099E-3</v>
          </cell>
          <cell r="O11">
            <v>9.2551324435730768E-3</v>
          </cell>
          <cell r="P11">
            <v>1.4767442700988712E-2</v>
          </cell>
          <cell r="Q11">
            <v>2.1129276821273271E-2</v>
          </cell>
          <cell r="R11">
            <v>2.7514725036807845E-2</v>
          </cell>
          <cell r="S11">
            <v>3.2705044373595241E-2</v>
          </cell>
          <cell r="T11">
            <v>3.5903485878643573E-2</v>
          </cell>
          <cell r="U11">
            <v>3.661972472239796E-2</v>
          </cell>
          <cell r="V11">
            <v>3.4795564720028489E-2</v>
          </cell>
          <cell r="W11">
            <v>3.09481606773204E-2</v>
          </cell>
          <cell r="X11">
            <v>2.5955840093161084E-2</v>
          </cell>
          <cell r="Y11">
            <v>2.0436373331605289E-2</v>
          </cell>
          <cell r="Z11">
            <v>1.5058380349603936E-2</v>
          </cell>
          <cell r="AA11">
            <v>1.0540866244722714E-2</v>
          </cell>
          <cell r="AB11">
            <v>7.0272441631484776E-3</v>
          </cell>
          <cell r="AC11">
            <v>4.4718826492763115E-3</v>
          </cell>
          <cell r="AD11">
            <v>2.7220155256464963E-3</v>
          </cell>
          <cell r="AE11">
            <v>1.5878423899603812E-3</v>
          </cell>
          <cell r="AF11">
            <v>0.36860646874901354</v>
          </cell>
        </row>
        <row r="12">
          <cell r="A12" t="str">
            <v>Retro3Slow</v>
          </cell>
          <cell r="J12" t="str">
            <v>Plate Milk Pre-cooler - Free Stall - Montana</v>
          </cell>
          <cell r="L12">
            <v>7.9635426430476073E-6</v>
          </cell>
          <cell r="M12">
            <v>1.2528064949347644E-5</v>
          </cell>
          <cell r="N12">
            <v>2.5005445746694471E-5</v>
          </cell>
          <cell r="O12">
            <v>4.375375417830638E-5</v>
          </cell>
          <cell r="P12">
            <v>6.8062014653022637E-5</v>
          </cell>
          <cell r="Q12">
            <v>9.4785639381629504E-5</v>
          </cell>
          <cell r="R12">
            <v>1.205638928370782E-4</v>
          </cell>
          <cell r="S12">
            <v>1.4049062437421878E-4</v>
          </cell>
          <cell r="T12">
            <v>1.5101773756303729E-4</v>
          </cell>
          <cell r="U12">
            <v>1.5068208288663659E-4</v>
          </cell>
          <cell r="V12">
            <v>1.4063607296344483E-4</v>
          </cell>
          <cell r="W12">
            <v>1.2265967822100381E-4</v>
          </cell>
          <cell r="X12">
            <v>1.0069682575907108E-4</v>
          </cell>
          <cell r="Y12">
            <v>7.8322459626966966E-5</v>
          </cell>
          <cell r="Z12">
            <v>5.7711286040923183E-5</v>
          </cell>
          <cell r="AA12">
            <v>4.0397900228646076E-5</v>
          </cell>
          <cell r="AB12">
            <v>2.693193348576405E-5</v>
          </cell>
          <cell r="AC12">
            <v>1.7138503127304424E-5</v>
          </cell>
          <cell r="AD12">
            <v>1.043213233835939E-5</v>
          </cell>
          <cell r="AE12">
            <v>6.085410530709358E-6</v>
          </cell>
          <cell r="AF12">
            <v>1.4126853526493933E-3</v>
          </cell>
        </row>
        <row r="13">
          <cell r="A13" t="str">
            <v>Retro3Slow</v>
          </cell>
          <cell r="J13" t="str">
            <v>Plate Milk Pre-cooler - Free Stall - Oregon</v>
          </cell>
          <cell r="L13">
            <v>2.6460613631799419E-4</v>
          </cell>
          <cell r="M13">
            <v>4.2211902899176579E-4</v>
          </cell>
          <cell r="N13">
            <v>8.5729769451571233E-4</v>
          </cell>
          <cell r="O13">
            <v>1.5242469836918896E-3</v>
          </cell>
          <cell r="P13">
            <v>2.410796893971493E-3</v>
          </cell>
          <cell r="Q13">
            <v>3.4285191919528647E-3</v>
          </cell>
          <cell r="R13">
            <v>4.4314498945877455E-3</v>
          </cell>
          <cell r="S13">
            <v>5.2480577630583409E-3</v>
          </cell>
          <cell r="T13">
            <v>5.7466930250414773E-3</v>
          </cell>
          <cell r="U13">
            <v>5.8242589071220412E-3</v>
          </cell>
          <cell r="V13">
            <v>5.5143677515102621E-3</v>
          </cell>
          <cell r="W13">
            <v>4.9019497689168426E-3</v>
          </cell>
          <cell r="X13">
            <v>4.0921479091558998E-3</v>
          </cell>
          <cell r="Y13">
            <v>3.2303199558557732E-3</v>
          </cell>
          <cell r="Z13">
            <v>2.3802357569463663E-3</v>
          </cell>
          <cell r="AA13">
            <v>1.6661650298624498E-3</v>
          </cell>
          <cell r="AB13">
            <v>1.1107766865749665E-3</v>
          </cell>
          <cell r="AC13">
            <v>7.0685789145679811E-4</v>
          </cell>
          <cell r="AD13">
            <v>4.3026132523457997E-4</v>
          </cell>
          <cell r="AE13">
            <v>2.5098577305349319E-4</v>
          </cell>
          <cell r="AF13">
            <v>5.8264586017128445E-2</v>
          </cell>
        </row>
        <row r="14">
          <cell r="A14" t="str">
            <v>Retro3Slow</v>
          </cell>
          <cell r="J14" t="str">
            <v>Plate Milk Pre-cooler - Free Stall - Washington</v>
          </cell>
          <cell r="L14">
            <v>7.3646051243284689E-4</v>
          </cell>
          <cell r="M14">
            <v>1.1720132441043543E-3</v>
          </cell>
          <cell r="N14">
            <v>2.3788756839622435E-3</v>
          </cell>
          <cell r="O14">
            <v>4.2327683951824263E-3</v>
          </cell>
          <cell r="P14">
            <v>6.7033147204750114E-3</v>
          </cell>
          <cell r="Q14">
            <v>9.5629143973946975E-3</v>
          </cell>
          <cell r="R14">
            <v>1.2381114989006193E-2</v>
          </cell>
          <cell r="S14">
            <v>1.4695586777591654E-2</v>
          </cell>
          <cell r="T14">
            <v>1.6086002999173475E-2</v>
          </cell>
          <cell r="U14">
            <v>1.6397856556429648E-2</v>
          </cell>
          <cell r="V14">
            <v>1.5579167146527831E-2</v>
          </cell>
          <cell r="W14">
            <v>1.3840047137472817E-2</v>
          </cell>
          <cell r="X14">
            <v>1.1612632219433257E-2</v>
          </cell>
          <cell r="Y14">
            <v>9.1568015019469484E-3</v>
          </cell>
          <cell r="Z14">
            <v>6.7471168961714548E-3</v>
          </cell>
          <cell r="AA14">
            <v>4.7229818273199992E-3</v>
          </cell>
          <cell r="AB14">
            <v>3.1486545515466667E-3</v>
          </cell>
          <cell r="AC14">
            <v>2.0036892600751545E-3</v>
          </cell>
          <cell r="AD14">
            <v>1.2196369409153323E-3</v>
          </cell>
          <cell r="AE14">
            <v>7.1145488220057684E-4</v>
          </cell>
          <cell r="AF14">
            <v>0.16515925853871646</v>
          </cell>
        </row>
        <row r="15">
          <cell r="A15" t="str">
            <v>Retro3Slow</v>
          </cell>
          <cell r="J15" t="str">
            <v>Plate Milk Pre-Cooler - Tie Stall - Idaho</v>
          </cell>
          <cell r="L15">
            <v>1.2982882006952348E-4</v>
          </cell>
          <cell r="M15">
            <v>2.0407885459380071E-4</v>
          </cell>
          <cell r="N15">
            <v>4.0815770918760147E-4</v>
          </cell>
          <cell r="O15">
            <v>7.1427599107830287E-4</v>
          </cell>
          <cell r="P15">
            <v>1.1110959861218041E-3</v>
          </cell>
          <cell r="Q15">
            <v>1.5555343805705247E-3</v>
          </cell>
          <cell r="R15">
            <v>1.9797710298170325E-3</v>
          </cell>
          <cell r="S15">
            <v>2.3097328681198708E-3</v>
          </cell>
          <cell r="T15">
            <v>2.487404627206014E-3</v>
          </cell>
          <cell r="U15">
            <v>2.487404627206014E-3</v>
          </cell>
          <cell r="V15">
            <v>2.321577652058949E-3</v>
          </cell>
          <cell r="W15">
            <v>2.031380445551578E-3</v>
          </cell>
          <cell r="X15">
            <v>1.672901543395416E-3</v>
          </cell>
          <cell r="Y15">
            <v>1.3011456448631029E-3</v>
          </cell>
          <cell r="Z15">
            <v>9.5873889621492063E-4</v>
          </cell>
          <cell r="AA15">
            <v>6.711172273504418E-4</v>
          </cell>
          <cell r="AB15">
            <v>4.4741148490029455E-4</v>
          </cell>
          <cell r="AC15">
            <v>2.8471639948200609E-4</v>
          </cell>
          <cell r="AD15">
            <v>1.7330563446731097E-4</v>
          </cell>
          <cell r="AE15">
            <v>1.0109495343925996E-4</v>
          </cell>
          <cell r="AF15">
            <v>2.346848404552378E-2</v>
          </cell>
        </row>
        <row r="16">
          <cell r="A16" t="str">
            <v>Retro3Slow</v>
          </cell>
          <cell r="J16" t="str">
            <v>Plate Milk Pre-Cooler - Tie Stall - Montana</v>
          </cell>
          <cell r="L16">
            <v>6.4244174456601236E-6</v>
          </cell>
          <cell r="M16">
            <v>1.0098587917849516E-5</v>
          </cell>
          <cell r="N16">
            <v>2.0197175835699035E-5</v>
          </cell>
          <cell r="O16">
            <v>3.5345057712473331E-5</v>
          </cell>
          <cell r="P16">
            <v>5.4981200886069594E-5</v>
          </cell>
          <cell r="Q16">
            <v>7.69736812404974E-5</v>
          </cell>
          <cell r="R16">
            <v>9.7966503396996725E-5</v>
          </cell>
          <cell r="S16">
            <v>1.1429425396316284E-4</v>
          </cell>
          <cell r="T16">
            <v>1.2308611965263682E-4</v>
          </cell>
          <cell r="U16">
            <v>1.2308611965263682E-4</v>
          </cell>
          <cell r="V16">
            <v>1.1488037834246117E-4</v>
          </cell>
          <cell r="W16">
            <v>1.0052033104965341E-4</v>
          </cell>
          <cell r="X16">
            <v>8.2781449099714522E-5</v>
          </cell>
          <cell r="Y16">
            <v>6.4385571522000259E-5</v>
          </cell>
          <cell r="Z16">
            <v>4.7442000068842431E-5</v>
          </cell>
          <cell r="AA16">
            <v>3.3209400048189576E-5</v>
          </cell>
          <cell r="AB16">
            <v>2.2139600032126385E-5</v>
          </cell>
          <cell r="AC16">
            <v>1.4088836384080447E-5</v>
          </cell>
          <cell r="AD16">
            <v>8.5758134511795489E-6</v>
          </cell>
          <cell r="AE16">
            <v>5.0025578465211675E-6</v>
          </cell>
          <cell r="AF16">
            <v>1.161308700522126E-3</v>
          </cell>
        </row>
        <row r="17">
          <cell r="A17" t="str">
            <v>Retro3Slow</v>
          </cell>
          <cell r="J17" t="str">
            <v>Plate Milk Pre-Cooler - Tie Stall - Oregon</v>
          </cell>
          <cell r="L17">
            <v>7.7117466584082623E-5</v>
          </cell>
          <cell r="M17">
            <v>1.2122149951934814E-4</v>
          </cell>
          <cell r="N17">
            <v>2.4244299903869633E-4</v>
          </cell>
          <cell r="O17">
            <v>4.2427524831771876E-4</v>
          </cell>
          <cell r="P17">
            <v>6.5998371960534021E-4</v>
          </cell>
          <cell r="Q17">
            <v>9.2397720744747574E-4</v>
          </cell>
          <cell r="R17">
            <v>1.1759709912967874E-3</v>
          </cell>
          <cell r="S17">
            <v>1.3719661565129188E-3</v>
          </cell>
          <cell r="T17">
            <v>1.4775020147062194E-3</v>
          </cell>
          <cell r="U17">
            <v>1.4775020147062194E-3</v>
          </cell>
          <cell r="V17">
            <v>1.379001880392473E-3</v>
          </cell>
          <cell r="W17">
            <v>1.2066266453434127E-3</v>
          </cell>
          <cell r="X17">
            <v>9.9369253145928046E-4</v>
          </cell>
          <cell r="Y17">
            <v>7.728719689127744E-4</v>
          </cell>
          <cell r="Z17">
            <v>5.694846086725724E-4</v>
          </cell>
          <cell r="AA17">
            <v>3.9863922607079902E-4</v>
          </cell>
          <cell r="AB17">
            <v>2.6575948404719936E-4</v>
          </cell>
          <cell r="AC17">
            <v>1.6911967166639987E-4</v>
          </cell>
          <cell r="AD17">
            <v>1.0294240884041908E-4</v>
          </cell>
          <cell r="AE17">
            <v>6.0049738490241615E-5</v>
          </cell>
          <cell r="AF17">
            <v>1.3940125414300075E-2</v>
          </cell>
        </row>
        <row r="18">
          <cell r="A18" t="str">
            <v>Retro3Slow</v>
          </cell>
          <cell r="J18" t="str">
            <v>Plate Milk Pre-Cooler - Tie Stall - Washington</v>
          </cell>
          <cell r="L18">
            <v>4.7015851507028321E-6</v>
          </cell>
          <cell r="M18">
            <v>7.3904554614056076E-6</v>
          </cell>
          <cell r="N18">
            <v>1.4780910922811219E-5</v>
          </cell>
          <cell r="O18">
            <v>2.5866594114919644E-5</v>
          </cell>
          <cell r="P18">
            <v>4.0236924178763878E-5</v>
          </cell>
          <cell r="Q18">
            <v>5.6331693850269401E-5</v>
          </cell>
          <cell r="R18">
            <v>7.1694883082161075E-5</v>
          </cell>
          <cell r="S18">
            <v>8.3644030262521263E-5</v>
          </cell>
          <cell r="T18">
            <v>9.0078186436561285E-5</v>
          </cell>
          <cell r="U18">
            <v>9.0078186436561285E-5</v>
          </cell>
          <cell r="V18">
            <v>8.4072974007457321E-5</v>
          </cell>
          <cell r="W18">
            <v>7.3563852256525064E-5</v>
          </cell>
          <cell r="X18">
            <v>6.0581995975961774E-5</v>
          </cell>
          <cell r="Y18">
            <v>4.711933020352588E-5</v>
          </cell>
          <cell r="Z18">
            <v>3.4719506465756016E-5</v>
          </cell>
          <cell r="AA18">
            <v>2.4303654526029114E-5</v>
          </cell>
          <cell r="AB18">
            <v>1.6202436350686075E-5</v>
          </cell>
          <cell r="AC18">
            <v>1.0310641314072972E-5</v>
          </cell>
          <cell r="AD18">
            <v>6.2760425390010477E-6</v>
          </cell>
          <cell r="AE18">
            <v>3.6610248144171042E-6</v>
          </cell>
          <cell r="AF18">
            <v>8.498812208171825E-4</v>
          </cell>
        </row>
        <row r="19">
          <cell r="A19" t="str">
            <v>Retro3Slow</v>
          </cell>
          <cell r="J19" t="str">
            <v>Compressor Upgrade - Any - Idaho</v>
          </cell>
          <cell r="L19">
            <v>4.701228619376269E-3</v>
          </cell>
          <cell r="M19">
            <v>7.5363881841640917E-3</v>
          </cell>
          <cell r="N19">
            <v>1.5388405753140251E-2</v>
          </cell>
          <cell r="O19">
            <v>2.7516986486163027E-2</v>
          </cell>
          <cell r="P19">
            <v>4.3892463323511349E-2</v>
          </cell>
          <cell r="Q19">
            <v>6.2785238579599278E-2</v>
          </cell>
          <cell r="R19">
            <v>8.1737824681805835E-2</v>
          </cell>
          <cell r="S19">
            <v>9.7136139051253775E-2</v>
          </cell>
          <cell r="T19">
            <v>0.10661296028733273</v>
          </cell>
          <cell r="U19">
            <v>0.10871635662658645</v>
          </cell>
          <cell r="V19">
            <v>0.10328101381982999</v>
          </cell>
          <cell r="W19">
            <v>9.1845244929744246E-2</v>
          </cell>
          <cell r="X19">
            <v>7.7014935480527985E-2</v>
          </cell>
          <cell r="Y19">
            <v>6.0630274730159611E-2</v>
          </cell>
          <cell r="Z19">
            <v>4.467493927485458E-2</v>
          </cell>
          <cell r="AA19">
            <v>3.1272457492398084E-2</v>
          </cell>
          <cell r="AB19">
            <v>2.0848304994932055E-2</v>
          </cell>
          <cell r="AC19">
            <v>1.326710317859315E-2</v>
          </cell>
          <cell r="AD19">
            <v>8.0756280217524883E-3</v>
          </cell>
          <cell r="AE19">
            <v>4.710783012688729E-3</v>
          </cell>
          <cell r="AF19">
            <v>1.0935752202668918</v>
          </cell>
        </row>
        <row r="20">
          <cell r="A20" t="str">
            <v>Retro3Slow</v>
          </cell>
          <cell r="J20" t="str">
            <v>Compressor Upgrade - Any - Montana</v>
          </cell>
          <cell r="L20">
            <v>2.641970277655906E-5</v>
          </cell>
          <cell r="M20">
            <v>4.1559025728206647E-5</v>
          </cell>
          <cell r="N20">
            <v>8.2969206052807586E-5</v>
          </cell>
          <cell r="O20">
            <v>1.4517914842733764E-4</v>
          </cell>
          <cell r="P20">
            <v>2.2583604949648873E-4</v>
          </cell>
          <cell r="Q20">
            <v>3.1469863825881594E-4</v>
          </cell>
          <cell r="R20">
            <v>4.0031299277745546E-4</v>
          </cell>
          <cell r="S20">
            <v>4.6654065592361798E-4</v>
          </cell>
          <cell r="T20">
            <v>5.016065330160003E-4</v>
          </cell>
          <cell r="U20">
            <v>5.0062080762041327E-4</v>
          </cell>
          <cell r="V20">
            <v>4.6724450794518555E-4</v>
          </cell>
          <cell r="W20">
            <v>4.0767340062302157E-4</v>
          </cell>
          <cell r="X20">
            <v>3.3480001508262672E-4</v>
          </cell>
          <cell r="Y20">
            <v>2.6040795926813112E-4</v>
          </cell>
          <cell r="Z20">
            <v>1.9187954893441292E-4</v>
          </cell>
          <cell r="AA20">
            <v>1.3431568425408851E-4</v>
          </cell>
          <cell r="AB20">
            <v>8.954378950272568E-5</v>
          </cell>
          <cell r="AC20">
            <v>5.6982411501734622E-5</v>
          </cell>
          <cell r="AD20">
            <v>3.4684946131491229E-5</v>
          </cell>
          <cell r="AE20">
            <v>2.0232885243368927E-5</v>
          </cell>
          <cell r="AF20">
            <v>4.6969223326682515E-3</v>
          </cell>
        </row>
        <row r="21">
          <cell r="A21" t="str">
            <v>Retro3Slow</v>
          </cell>
          <cell r="J21" t="str">
            <v>Compressor Upgrade - Any - Oregon</v>
          </cell>
          <cell r="L21">
            <v>8.1348257575998778E-4</v>
          </cell>
          <cell r="M21">
            <v>1.2968761173721025E-3</v>
          </cell>
          <cell r="N21">
            <v>2.632104792572238E-3</v>
          </cell>
          <cell r="O21">
            <v>4.6765943533146103E-3</v>
          </cell>
          <cell r="P21">
            <v>7.3914254787111611E-3</v>
          </cell>
          <cell r="Q21">
            <v>1.0504827168996428E-2</v>
          </cell>
          <cell r="R21">
            <v>1.3569124950168213E-2</v>
          </cell>
          <cell r="S21">
            <v>1.6059806882929694E-2</v>
          </cell>
          <cell r="T21">
            <v>1.7573984918059473E-2</v>
          </cell>
          <cell r="U21">
            <v>1.7801774563709006E-2</v>
          </cell>
          <cell r="V21">
            <v>1.6845207585155255E-2</v>
          </cell>
          <cell r="W21">
            <v>1.49653261222295E-2</v>
          </cell>
          <cell r="X21">
            <v>1.2486634679371772E-2</v>
          </cell>
          <cell r="Y21">
            <v>9.8514337244676488E-3</v>
          </cell>
          <cell r="Z21">
            <v>7.2589511653972372E-3</v>
          </cell>
          <cell r="AA21">
            <v>5.0812658157780455E-3</v>
          </cell>
          <cell r="AB21">
            <v>3.3875105438520309E-3</v>
          </cell>
          <cell r="AC21">
            <v>2.1556885279058408E-3</v>
          </cell>
          <cell r="AD21">
            <v>1.3121582343774908E-3</v>
          </cell>
          <cell r="AE21">
            <v>7.6542563672016696E-4</v>
          </cell>
          <cell r="AF21">
            <v>0.17768819048118864</v>
          </cell>
        </row>
        <row r="22">
          <cell r="A22" t="str">
            <v>Retro3Slow</v>
          </cell>
          <cell r="J22" t="str">
            <v>Compressor Upgrade - Any - Washington</v>
          </cell>
          <cell r="L22">
            <v>2.1650014343418717E-3</v>
          </cell>
          <cell r="M22">
            <v>3.4453693380342644E-3</v>
          </cell>
          <cell r="N22">
            <v>6.9930811717501228E-3</v>
          </cell>
          <cell r="O22">
            <v>1.2442687335737987E-2</v>
          </cell>
          <cell r="P22">
            <v>1.9704786113332238E-2</v>
          </cell>
          <cell r="Q22">
            <v>2.81102416062762E-2</v>
          </cell>
          <cell r="R22">
            <v>3.6393774001361671E-2</v>
          </cell>
          <cell r="S22">
            <v>4.3196381782796958E-2</v>
          </cell>
          <cell r="T22">
            <v>4.7282689080959804E-2</v>
          </cell>
          <cell r="U22">
            <v>4.8198517140881157E-2</v>
          </cell>
          <cell r="V22">
            <v>4.5791416625239389E-2</v>
          </cell>
          <cell r="W22">
            <v>4.067913849118944E-2</v>
          </cell>
          <cell r="X22">
            <v>3.4131705233758386E-2</v>
          </cell>
          <cell r="Y22">
            <v>2.6913250654486433E-2</v>
          </cell>
          <cell r="Z22">
            <v>1.9830816271726899E-2</v>
          </cell>
          <cell r="AA22">
            <v>1.3881571390208777E-2</v>
          </cell>
          <cell r="AB22">
            <v>9.2543809268058521E-3</v>
          </cell>
          <cell r="AC22">
            <v>5.8891514988764614E-3</v>
          </cell>
          <cell r="AD22">
            <v>3.5847009123596454E-3</v>
          </cell>
          <cell r="AE22">
            <v>2.0910755322096947E-3</v>
          </cell>
          <cell r="AF22">
            <v>0.48542851147494032</v>
          </cell>
        </row>
        <row r="23">
          <cell r="A23" t="str">
            <v>Retro3Slow</v>
          </cell>
          <cell r="J23" t="str">
            <v>VSD - Milk Transfer Pump - Any - Idaho</v>
          </cell>
          <cell r="L23">
            <v>2.1958328767738289E-3</v>
          </cell>
          <cell r="M23">
            <v>3.5200689621243961E-3</v>
          </cell>
          <cell r="N23">
            <v>7.1875609568555713E-3</v>
          </cell>
          <cell r="O23">
            <v>1.2852534621912184E-2</v>
          </cell>
          <cell r="P23">
            <v>2.0501133174234541E-2</v>
          </cell>
          <cell r="Q23">
            <v>2.9325502376326439E-2</v>
          </cell>
          <cell r="R23">
            <v>3.8177807812311254E-2</v>
          </cell>
          <cell r="S23">
            <v>4.53699968498694E-2</v>
          </cell>
          <cell r="T23">
            <v>4.9796396270591771E-2</v>
          </cell>
          <cell r="U23">
            <v>5.0778843032611147E-2</v>
          </cell>
          <cell r="V23">
            <v>4.8240122753741697E-2</v>
          </cell>
          <cell r="W23">
            <v>4.2898745140974331E-2</v>
          </cell>
          <cell r="X23">
            <v>3.597185778920816E-2</v>
          </cell>
          <cell r="Y23">
            <v>2.8318969647976269E-2</v>
          </cell>
          <cell r="Z23">
            <v>2.0866609214298365E-2</v>
          </cell>
          <cell r="AA23">
            <v>1.4606626450008797E-2</v>
          </cell>
          <cell r="AB23">
            <v>9.7377509666725318E-3</v>
          </cell>
          <cell r="AC23">
            <v>6.1967506151552592E-3</v>
          </cell>
          <cell r="AD23">
            <v>3.771935157051091E-3</v>
          </cell>
          <cell r="AE23">
            <v>2.2002955082796993E-3</v>
          </cell>
          <cell r="AF23">
            <v>0.51078316250993405</v>
          </cell>
        </row>
        <row r="24">
          <cell r="A24" t="str">
            <v>Retro3Slow</v>
          </cell>
          <cell r="J24" t="str">
            <v>VSD - Milk Transfer Pump - Any - Montana</v>
          </cell>
          <cell r="L24">
            <v>1.2340019311602431E-5</v>
          </cell>
          <cell r="M24">
            <v>1.9411239573537892E-5</v>
          </cell>
          <cell r="N24">
            <v>3.8752956973776879E-5</v>
          </cell>
          <cell r="O24">
            <v>6.7809752077334736E-5</v>
          </cell>
          <cell r="P24">
            <v>1.0548268599430596E-4</v>
          </cell>
          <cell r="Q24">
            <v>1.4698830286971739E-4</v>
          </cell>
          <cell r="R24">
            <v>1.869767462313042E-4</v>
          </cell>
          <cell r="S24">
            <v>2.179101238358036E-4</v>
          </cell>
          <cell r="T24">
            <v>2.3428856700595933E-4</v>
          </cell>
          <cell r="U24">
            <v>2.3382815794987133E-4</v>
          </cell>
          <cell r="V24">
            <v>2.1823887649483658E-4</v>
          </cell>
          <cell r="W24">
            <v>1.9041461893273901E-4</v>
          </cell>
          <cell r="X24">
            <v>1.5637718132506878E-4</v>
          </cell>
          <cell r="Y24">
            <v>1.2163040869312309E-4</v>
          </cell>
          <cell r="Z24">
            <v>8.9622406405459351E-5</v>
          </cell>
          <cell r="AA24">
            <v>6.2735684483821309E-5</v>
          </cell>
          <cell r="AB24">
            <v>4.1823789655880861E-5</v>
          </cell>
          <cell r="AC24">
            <v>2.6615138871924236E-5</v>
          </cell>
          <cell r="AD24">
            <v>1.6200519313345463E-5</v>
          </cell>
          <cell r="AE24">
            <v>9.4503029327844067E-6</v>
          </cell>
          <cell r="AF24">
            <v>2.1938215119379841E-3</v>
          </cell>
        </row>
        <row r="25">
          <cell r="A25" t="str">
            <v>Retro3Slow</v>
          </cell>
          <cell r="J25" t="str">
            <v>VSD - Milk Transfer Pump - Any - Oregon</v>
          </cell>
          <cell r="L25">
            <v>3.7995850216138388E-4</v>
          </cell>
          <cell r="M25">
            <v>6.0574021095070158E-4</v>
          </cell>
          <cell r="N25">
            <v>1.2293939960339327E-3</v>
          </cell>
          <cell r="O25">
            <v>2.1843267927917735E-3</v>
          </cell>
          <cell r="P25">
            <v>3.4523603054494828E-3</v>
          </cell>
          <cell r="Q25">
            <v>4.9065567174160678E-3</v>
          </cell>
          <cell r="R25">
            <v>6.3378178529391524E-3</v>
          </cell>
          <cell r="S25">
            <v>7.5011565706103352E-3</v>
          </cell>
          <cell r="T25">
            <v>8.2083933761388176E-3</v>
          </cell>
          <cell r="U25">
            <v>8.3147885407654377E-3</v>
          </cell>
          <cell r="V25">
            <v>7.8679986927483857E-3</v>
          </cell>
          <cell r="W25">
            <v>6.9899504515467661E-3</v>
          </cell>
          <cell r="X25">
            <v>5.832212208575065E-3</v>
          </cell>
          <cell r="Y25">
            <v>4.601372068226397E-3</v>
          </cell>
          <cell r="Z25">
            <v>3.3904846818510401E-3</v>
          </cell>
          <cell r="AA25">
            <v>2.373339277295718E-3</v>
          </cell>
          <cell r="AB25">
            <v>1.5822261848638124E-3</v>
          </cell>
          <cell r="AC25">
            <v>1.0068712085497002E-3</v>
          </cell>
          <cell r="AD25">
            <v>6.128781269433062E-4</v>
          </cell>
          <cell r="AE25">
            <v>3.5751224071691178E-4</v>
          </cell>
          <cell r="AF25">
            <v>8.2993957976204583E-2</v>
          </cell>
        </row>
        <row r="26">
          <cell r="A26" t="str">
            <v>Retro3Slow</v>
          </cell>
          <cell r="J26" t="str">
            <v>VSD - Milk Transfer Pump - Any - Washington</v>
          </cell>
          <cell r="L26">
            <v>1.0112210472378827E-3</v>
          </cell>
          <cell r="M26">
            <v>1.6092506613915451E-3</v>
          </cell>
          <cell r="N26">
            <v>3.2663030858759356E-3</v>
          </cell>
          <cell r="O26">
            <v>5.8116854421038028E-3</v>
          </cell>
          <cell r="P26">
            <v>9.2036402992866778E-3</v>
          </cell>
          <cell r="Q26">
            <v>1.3129630079829256E-2</v>
          </cell>
          <cell r="R26">
            <v>1.6998672460364028E-2</v>
          </cell>
          <cell r="S26">
            <v>2.0176009923321716E-2</v>
          </cell>
          <cell r="T26">
            <v>2.2084627571254192E-2</v>
          </cell>
          <cell r="U26">
            <v>2.251238923235676E-2</v>
          </cell>
          <cell r="V26">
            <v>2.1388089420992407E-2</v>
          </cell>
          <cell r="W26">
            <v>1.9000265022133842E-2</v>
          </cell>
          <cell r="X26">
            <v>1.5942113553835974E-2</v>
          </cell>
          <cell r="Y26">
            <v>1.2570543871107613E-2</v>
          </cell>
          <cell r="Z26">
            <v>9.262506010289849E-3</v>
          </cell>
          <cell r="AA26">
            <v>6.4837542072028681E-3</v>
          </cell>
          <cell r="AB26">
            <v>4.3225028048019115E-3</v>
          </cell>
          <cell r="AC26">
            <v>2.7506836030557666E-3</v>
          </cell>
          <cell r="AD26">
            <v>1.6743291496861472E-3</v>
          </cell>
          <cell r="AE26">
            <v>9.7669200398353977E-4</v>
          </cell>
          <cell r="AF26">
            <v>0.22673219515996981</v>
          </cell>
        </row>
        <row r="27">
          <cell r="A27" t="str">
            <v>Retro3Slow</v>
          </cell>
          <cell r="J27" t="str">
            <v>Heat Recovery Refrigeration - Any - Idaho</v>
          </cell>
          <cell r="L27">
            <v>6.9999126430106565E-3</v>
          </cell>
          <cell r="M27">
            <v>1.1221334507226201E-2</v>
          </cell>
          <cell r="N27">
            <v>2.291262661492852E-2</v>
          </cell>
          <cell r="O27">
            <v>4.0971524083761979E-2</v>
          </cell>
          <cell r="P27">
            <v>6.5353854029734829E-2</v>
          </cell>
          <cell r="Q27">
            <v>9.3484325249871866E-2</v>
          </cell>
          <cell r="R27">
            <v>0.12170385206203213</v>
          </cell>
          <cell r="S27">
            <v>0.14463123214976156</v>
          </cell>
          <cell r="T27">
            <v>0.15874178199891606</v>
          </cell>
          <cell r="U27">
            <v>0.16187364216153841</v>
          </cell>
          <cell r="V27">
            <v>0.15378066734314735</v>
          </cell>
          <cell r="W27">
            <v>0.13675333476324839</v>
          </cell>
          <cell r="X27">
            <v>0.11467168781132833</v>
          </cell>
          <cell r="Y27">
            <v>9.0275683442334123E-2</v>
          </cell>
          <cell r="Z27">
            <v>6.6518924641720059E-2</v>
          </cell>
          <cell r="AA27">
            <v>4.6563247249203868E-2</v>
          </cell>
          <cell r="AB27">
            <v>3.1042164832802581E-2</v>
          </cell>
          <cell r="AC27">
            <v>1.975410489360168E-2</v>
          </cell>
          <cell r="AD27">
            <v>1.2024237761322965E-2</v>
          </cell>
          <cell r="AE27">
            <v>7.0141386941047316E-3</v>
          </cell>
          <cell r="AF27">
            <v>1.6282830787848359</v>
          </cell>
        </row>
        <row r="28">
          <cell r="A28" t="str">
            <v>Retro3Slow</v>
          </cell>
          <cell r="J28" t="str">
            <v>Heat Recovery Refrigeration - Any - Montana</v>
          </cell>
          <cell r="L28">
            <v>3.9337719235350781E-5</v>
          </cell>
          <cell r="M28">
            <v>6.1879473043936943E-5</v>
          </cell>
          <cell r="N28">
            <v>1.2353732214509021E-4</v>
          </cell>
          <cell r="O28">
            <v>2.1616505787222699E-4</v>
          </cell>
          <cell r="P28">
            <v>3.3625946451584955E-4</v>
          </cell>
          <cell r="Q28">
            <v>4.6857176177456041E-4</v>
          </cell>
          <cell r="R28">
            <v>5.9604758801883528E-4</v>
          </cell>
          <cell r="S28">
            <v>6.9465752471988831E-4</v>
          </cell>
          <cell r="T28">
            <v>7.4686899884083646E-4</v>
          </cell>
          <cell r="U28">
            <v>7.4540129917809986E-4</v>
          </cell>
          <cell r="V28">
            <v>6.9570552792574654E-4</v>
          </cell>
          <cell r="W28">
            <v>6.070068959162521E-4</v>
          </cell>
          <cell r="X28">
            <v>4.9850178500103828E-4</v>
          </cell>
          <cell r="Y28">
            <v>3.8773544407279584E-4</v>
          </cell>
          <cell r="Z28">
            <v>2.8569980089574506E-4</v>
          </cell>
          <cell r="AA28">
            <v>1.9998986062702074E-4</v>
          </cell>
          <cell r="AB28">
            <v>1.3332657375134718E-4</v>
          </cell>
          <cell r="AC28">
            <v>8.4844183296311996E-5</v>
          </cell>
          <cell r="AD28">
            <v>5.1644285484712526E-5</v>
          </cell>
          <cell r="AE28">
            <v>3.0125833199414211E-5</v>
          </cell>
          <cell r="AF28">
            <v>6.9935007806630886E-3</v>
          </cell>
        </row>
        <row r="29">
          <cell r="A29" t="str">
            <v>Retro3Slow</v>
          </cell>
          <cell r="J29" t="str">
            <v>Heat Recovery Refrigeration - Any - Oregon</v>
          </cell>
          <cell r="L29">
            <v>1.2112380460422485E-3</v>
          </cell>
          <cell r="M29">
            <v>1.9309887404743928E-3</v>
          </cell>
          <cell r="N29">
            <v>3.9190826711379542E-3</v>
          </cell>
          <cell r="O29">
            <v>6.9632333567182158E-3</v>
          </cell>
          <cell r="P29">
            <v>1.1005491722962793E-2</v>
          </cell>
          <cell r="Q29">
            <v>1.5641203282442322E-2</v>
          </cell>
          <cell r="R29">
            <v>2.0203801385407952E-2</v>
          </cell>
          <cell r="S29">
            <v>2.3912311939223236E-2</v>
          </cell>
          <cell r="T29">
            <v>2.6166853215558807E-2</v>
          </cell>
          <cell r="U29">
            <v>2.6506021494667232E-2</v>
          </cell>
          <cell r="V29">
            <v>2.5081737370413495E-2</v>
          </cell>
          <cell r="W29">
            <v>2.2282680552487208E-2</v>
          </cell>
          <cell r="X29">
            <v>1.8592023285263277E-2</v>
          </cell>
          <cell r="Y29">
            <v>1.4668330571175611E-2</v>
          </cell>
          <cell r="Z29">
            <v>1.0808243578761006E-2</v>
          </cell>
          <cell r="AA29">
            <v>7.5657705051326756E-3</v>
          </cell>
          <cell r="AB29">
            <v>5.0438470034217834E-3</v>
          </cell>
          <cell r="AC29">
            <v>3.2097208203593222E-3</v>
          </cell>
          <cell r="AD29">
            <v>1.9537431080448378E-3</v>
          </cell>
          <cell r="AE29">
            <v>1.1396834796927684E-3</v>
          </cell>
          <cell r="AF29">
            <v>0.26456952251515425</v>
          </cell>
        </row>
        <row r="30">
          <cell r="A30" t="str">
            <v>Retro3Slow</v>
          </cell>
          <cell r="J30" t="str">
            <v>Heat Recovery Refrigeration - Any - Washington</v>
          </cell>
          <cell r="L30">
            <v>3.223587308629232E-3</v>
          </cell>
          <cell r="M30">
            <v>5.1299960801198027E-3</v>
          </cell>
          <cell r="N30">
            <v>1.0412375417349511E-2</v>
          </cell>
          <cell r="O30">
            <v>1.8526587716982047E-2</v>
          </cell>
          <cell r="P30">
            <v>2.9339517945169629E-2</v>
          </cell>
          <cell r="Q30">
            <v>4.1854853602921155E-2</v>
          </cell>
          <cell r="R30">
            <v>5.4188651389772899E-2</v>
          </cell>
          <cell r="S30">
            <v>6.4317420711573953E-2</v>
          </cell>
          <cell r="T30">
            <v>7.0401743861004576E-2</v>
          </cell>
          <cell r="U30">
            <v>7.1765369613865315E-2</v>
          </cell>
          <cell r="V30">
            <v>6.8181307936245009E-2</v>
          </cell>
          <cell r="W30">
            <v>6.0569361519167586E-2</v>
          </cell>
          <cell r="X30">
            <v>5.0820535297642383E-2</v>
          </cell>
          <cell r="Y30">
            <v>4.0072589268345102E-2</v>
          </cell>
          <cell r="Z30">
            <v>2.9527171039833312E-2</v>
          </cell>
          <cell r="AA30">
            <v>2.0669019727883247E-2</v>
          </cell>
          <cell r="AB30">
            <v>1.3779346485255493E-2</v>
          </cell>
          <cell r="AC30">
            <v>8.7686750360716926E-3</v>
          </cell>
          <cell r="AD30">
            <v>5.337454369782859E-3</v>
          </cell>
          <cell r="AE30">
            <v>3.1135150490398545E-3</v>
          </cell>
          <cell r="AF30">
            <v>0.72278067072647445</v>
          </cell>
        </row>
        <row r="31">
          <cell r="A31" t="str">
            <v>LO5Med</v>
          </cell>
          <cell r="J31" t="str">
            <v>Efficient High Speed Fans - Free Stall - Idaho</v>
          </cell>
          <cell r="L31">
            <v>8.1133038302011701E-4</v>
          </cell>
          <cell r="M31">
            <v>1.8075147008951361E-3</v>
          </cell>
          <cell r="N31">
            <v>3.0265527801827891E-3</v>
          </cell>
          <cell r="O31">
            <v>4.4416639133574125E-3</v>
          </cell>
          <cell r="P31">
            <v>6.0557773604231488E-3</v>
          </cell>
          <cell r="Q31">
            <v>7.9428700011263814E-3</v>
          </cell>
          <cell r="R31">
            <v>1.0013039933598025E-2</v>
          </cell>
          <cell r="S31">
            <v>1.2127864750103686E-2</v>
          </cell>
          <cell r="T31">
            <v>1.412083333762772E-2</v>
          </cell>
          <cell r="U31">
            <v>1.583395864889605E-2</v>
          </cell>
          <cell r="V31">
            <v>1.7159647343355264E-2</v>
          </cell>
          <cell r="W31">
            <v>1.8069438525121443E-2</v>
          </cell>
          <cell r="X31">
            <v>1.8613864507020243E-2</v>
          </cell>
          <cell r="Y31">
            <v>1.8892621870303241E-2</v>
          </cell>
          <cell r="Z31">
            <v>1.9012218277667692E-2</v>
          </cell>
          <cell r="AA31">
            <v>1.9054234959681629E-2</v>
          </cell>
          <cell r="AB31">
            <v>1.906602208106558E-2</v>
          </cell>
          <cell r="AC31">
            <v>1.9068591138324986E-2</v>
          </cell>
          <cell r="AD31">
            <v>1.9069013419499011E-2</v>
          </cell>
          <cell r="AE31">
            <v>1.9069064107617065E-2</v>
          </cell>
          <cell r="AF31">
            <v>0.188681484423283</v>
          </cell>
        </row>
        <row r="32">
          <cell r="A32" t="str">
            <v>LO5Med</v>
          </cell>
          <cell r="J32" t="str">
            <v>Efficient High Speed Fans - Free Stall - Montana</v>
          </cell>
          <cell r="L32">
            <v>1.1968509526388954E-5</v>
          </cell>
          <cell r="M32">
            <v>2.6663930464705791E-5</v>
          </cell>
          <cell r="N32">
            <v>4.4646825189632431E-5</v>
          </cell>
          <cell r="O32">
            <v>6.552213250310155E-5</v>
          </cell>
          <cell r="P32">
            <v>8.9333063995605236E-5</v>
          </cell>
          <cell r="Q32">
            <v>1.1717090505285936E-4</v>
          </cell>
          <cell r="R32">
            <v>1.4770944900064156E-4</v>
          </cell>
          <cell r="S32">
            <v>1.789067287928421E-4</v>
          </cell>
          <cell r="T32">
            <v>2.0830642098332172E-4</v>
          </cell>
          <cell r="U32">
            <v>2.3357794666129534E-4</v>
          </cell>
          <cell r="V32">
            <v>2.531341202013509E-4</v>
          </cell>
          <cell r="W32">
            <v>2.6655509475608197E-4</v>
          </cell>
          <cell r="X32">
            <v>2.74586308287756E-4</v>
          </cell>
          <cell r="Y32">
            <v>2.7869845572833936E-4</v>
          </cell>
          <cell r="Z32">
            <v>2.8046270709969199E-4</v>
          </cell>
          <cell r="AA32">
            <v>2.8108252495623413E-4</v>
          </cell>
          <cell r="AB32">
            <v>2.8125640513812424E-4</v>
          </cell>
          <cell r="AC32">
            <v>2.8129430312262793E-4</v>
          </cell>
          <cell r="AD32">
            <v>2.8130053249152614E-4</v>
          </cell>
          <cell r="AE32">
            <v>2.8130128022788177E-4</v>
          </cell>
          <cell r="AF32">
            <v>2.7833743084625467E-3</v>
          </cell>
        </row>
        <row r="33">
          <cell r="A33" t="str">
            <v>LO5Med</v>
          </cell>
          <cell r="J33" t="str">
            <v>Efficient High Speed Fans - Free Stall - Oregon</v>
          </cell>
          <cell r="L33">
            <v>6.8682419197287157E-5</v>
          </cell>
          <cell r="M33">
            <v>1.530134763720055E-4</v>
          </cell>
          <cell r="N33">
            <v>2.5621001150905384E-4</v>
          </cell>
          <cell r="O33">
            <v>3.7600492871362449E-4</v>
          </cell>
          <cell r="P33">
            <v>5.1264620176773399E-4</v>
          </cell>
          <cell r="Q33">
            <v>6.7239627464240085E-4</v>
          </cell>
          <cell r="R33">
            <v>8.4764458542593954E-4</v>
          </cell>
          <cell r="S33">
            <v>1.0266731138971411E-3</v>
          </cell>
          <cell r="T33">
            <v>1.1953860166061688E-3</v>
          </cell>
          <cell r="U33">
            <v>1.340409046962838E-3</v>
          </cell>
          <cell r="V33">
            <v>1.4526339907631914E-3</v>
          </cell>
          <cell r="W33">
            <v>1.5296515173291979E-3</v>
          </cell>
          <cell r="X33">
            <v>1.5757393926180254E-3</v>
          </cell>
          <cell r="Y33">
            <v>1.5993373380173643E-3</v>
          </cell>
          <cell r="Z33">
            <v>1.6094616606817252E-3</v>
          </cell>
          <cell r="AA33">
            <v>1.6130185438303852E-3</v>
          </cell>
          <cell r="AB33">
            <v>1.6140163716314446E-3</v>
          </cell>
          <cell r="AC33">
            <v>1.6142338527850232E-3</v>
          </cell>
          <cell r="AD33">
            <v>1.6142696006051719E-3</v>
          </cell>
          <cell r="AE33">
            <v>1.6142738915606763E-3</v>
          </cell>
          <cell r="AF33">
            <v>1.5972655627276084E-2</v>
          </cell>
        </row>
        <row r="34">
          <cell r="A34" t="str">
            <v>LO5Med</v>
          </cell>
          <cell r="J34" t="str">
            <v>Efficient High Speed Fans - Free Stall - Washington</v>
          </cell>
          <cell r="L34">
            <v>3.2461320529677114E-4</v>
          </cell>
          <cell r="M34">
            <v>7.2318645148539487E-4</v>
          </cell>
          <cell r="N34">
            <v>1.2109234653802296E-3</v>
          </cell>
          <cell r="O34">
            <v>1.7771092885722722E-3</v>
          </cell>
          <cell r="P34">
            <v>2.4229159176969179E-3</v>
          </cell>
          <cell r="Q34">
            <v>3.1779414949597322E-3</v>
          </cell>
          <cell r="R34">
            <v>4.0062162783927567E-3</v>
          </cell>
          <cell r="S34">
            <v>4.8523574764724022E-3</v>
          </cell>
          <cell r="T34">
            <v>5.6497440094945648E-3</v>
          </cell>
          <cell r="U34">
            <v>6.3351652756078718E-3</v>
          </cell>
          <cell r="V34">
            <v>6.8655731899918996E-3</v>
          </cell>
          <cell r="W34">
            <v>7.2295805510431558E-3</v>
          </cell>
          <cell r="X34">
            <v>7.4474053320813735E-3</v>
          </cell>
          <cell r="Y34">
            <v>7.5589361253182007E-3</v>
          </cell>
          <cell r="Z34">
            <v>7.6067866359721204E-3</v>
          </cell>
          <cell r="AA34">
            <v>7.6235975062537292E-3</v>
          </cell>
          <cell r="AB34">
            <v>7.6283135323433988E-3</v>
          </cell>
          <cell r="AC34">
            <v>7.629341411896565E-3</v>
          </cell>
          <cell r="AD34">
            <v>7.6295103665521592E-3</v>
          </cell>
          <cell r="AE34">
            <v>7.6295306468631358E-3</v>
          </cell>
          <cell r="AF34">
            <v>7.5491443092272334E-2</v>
          </cell>
        </row>
        <row r="35">
          <cell r="A35" t="str">
            <v>LO5Med</v>
          </cell>
          <cell r="J35" t="str">
            <v>Efficient High Speed Fans - Tie Stall - Idaho</v>
          </cell>
          <cell r="L35">
            <v>7.004245638870541E-5</v>
          </cell>
          <cell r="M35">
            <v>1.5604342233323256E-4</v>
          </cell>
          <cell r="N35">
            <v>2.612834371183803E-4</v>
          </cell>
          <cell r="O35">
            <v>3.8345051221495944E-4</v>
          </cell>
          <cell r="P35">
            <v>5.2279753173822764E-4</v>
          </cell>
          <cell r="Q35">
            <v>6.8571094747385617E-4</v>
          </cell>
          <cell r="R35">
            <v>8.6442949450102845E-4</v>
          </cell>
          <cell r="S35">
            <v>1.0470031144219985E-3</v>
          </cell>
          <cell r="T35">
            <v>1.2190568403728122E-3</v>
          </cell>
          <cell r="U35">
            <v>1.3669515912833354E-3</v>
          </cell>
          <cell r="V35">
            <v>1.4813987936930554E-3</v>
          </cell>
          <cell r="W35">
            <v>1.5599414077813855E-3</v>
          </cell>
          <cell r="X35">
            <v>1.6069419070749995E-3</v>
          </cell>
          <cell r="Y35">
            <v>1.6310071348409074E-3</v>
          </cell>
          <cell r="Z35">
            <v>1.6413319375629359E-3</v>
          </cell>
          <cell r="AA35">
            <v>1.6449592534864494E-3</v>
          </cell>
          <cell r="AB35">
            <v>1.6459768400982197E-3</v>
          </cell>
          <cell r="AC35">
            <v>1.6461986277753709E-3</v>
          </cell>
          <cell r="AD35">
            <v>1.6462350834675703E-3</v>
          </cell>
          <cell r="AE35">
            <v>1.6462394593918209E-3</v>
          </cell>
          <cell r="AF35">
            <v>1.6288943346210557E-2</v>
          </cell>
        </row>
        <row r="36">
          <cell r="A36" t="str">
            <v>LO5Med</v>
          </cell>
          <cell r="J36" t="str">
            <v>Efficient High Speed Fans - Tie Stall - Montana</v>
          </cell>
          <cell r="L36">
            <v>1.9274587630851285E-5</v>
          </cell>
          <cell r="M36">
            <v>4.2940707294566359E-5</v>
          </cell>
          <cell r="N36">
            <v>7.190111205237995E-5</v>
          </cell>
          <cell r="O36">
            <v>1.0551957885037638E-4</v>
          </cell>
          <cell r="P36">
            <v>1.438656974387056E-4</v>
          </cell>
          <cell r="Q36">
            <v>1.8869691938231569E-4</v>
          </cell>
          <cell r="R36">
            <v>2.3787746606127421E-4</v>
          </cell>
          <cell r="S36">
            <v>2.8811886845754901E-4</v>
          </cell>
          <cell r="T36">
            <v>3.3546536070004824E-4</v>
          </cell>
          <cell r="U36">
            <v>3.7616368116939541E-4</v>
          </cell>
          <cell r="V36">
            <v>4.076577598423362E-4</v>
          </cell>
          <cell r="W36">
            <v>4.2927145782003557E-4</v>
          </cell>
          <cell r="X36">
            <v>4.422052595316873E-4</v>
          </cell>
          <cell r="Y36">
            <v>4.4882763352234559E-4</v>
          </cell>
          <cell r="Z36">
            <v>4.5166885761837948E-4</v>
          </cell>
          <cell r="AA36">
            <v>4.526670381825298E-4</v>
          </cell>
          <cell r="AB36">
            <v>4.52947062089911E-4</v>
          </cell>
          <cell r="AC36">
            <v>4.5300809458704346E-4</v>
          </cell>
          <cell r="AD36">
            <v>4.5301812662289952E-4</v>
          </cell>
          <cell r="AE36">
            <v>4.5301933080875743E-4</v>
          </cell>
          <cell r="AF36">
            <v>4.4824622397328573E-3</v>
          </cell>
        </row>
        <row r="37">
          <cell r="A37" t="str">
            <v>LO5Med</v>
          </cell>
          <cell r="J37" t="str">
            <v>Efficient High Speed Fans - Tie Stall - Oregon</v>
          </cell>
          <cell r="L37">
            <v>3.3469865474498892E-5</v>
          </cell>
          <cell r="M37">
            <v>7.4565522440984776E-5</v>
          </cell>
          <cell r="N37">
            <v>1.2485458023538218E-4</v>
          </cell>
          <cell r="O37">
            <v>1.8323225257462443E-4</v>
          </cell>
          <cell r="P37">
            <v>2.4981938041367937E-4</v>
          </cell>
          <cell r="Q37">
            <v>3.2766773682200577E-4</v>
          </cell>
          <cell r="R37">
            <v>4.1306859274861093E-4</v>
          </cell>
          <cell r="S37">
            <v>5.0031159953345763E-4</v>
          </cell>
          <cell r="T37">
            <v>5.825276633162897E-4</v>
          </cell>
          <cell r="U37">
            <v>6.5319933407965167E-4</v>
          </cell>
          <cell r="V37">
            <v>7.0788805669280892E-4</v>
          </cell>
          <cell r="W37">
            <v>7.4541973195221356E-4</v>
          </cell>
          <cell r="X37">
            <v>7.6787897267132136E-4</v>
          </cell>
          <cell r="Y37">
            <v>7.7937856845174559E-4</v>
          </cell>
          <cell r="Z37">
            <v>7.843122868844524E-4</v>
          </cell>
          <cell r="AA37">
            <v>7.8604560382182205E-4</v>
          </cell>
          <cell r="AB37">
            <v>7.8653185871293532E-4</v>
          </cell>
          <cell r="AC37">
            <v>7.8663784020046288E-4</v>
          </cell>
          <cell r="AD37">
            <v>7.8665526059341591E-4</v>
          </cell>
          <cell r="AE37">
            <v>7.8665735163367266E-4</v>
          </cell>
          <cell r="AF37">
            <v>7.7836896452323006E-3</v>
          </cell>
        </row>
        <row r="38">
          <cell r="A38" t="str">
            <v>LO5Med</v>
          </cell>
          <cell r="J38" t="str">
            <v>Efficient High Speed Fans - Tie Stall - Washington</v>
          </cell>
          <cell r="L38">
            <v>2.9060921156923105E-5</v>
          </cell>
          <cell r="M38">
            <v>6.4743097648039855E-5</v>
          </cell>
          <cell r="N38">
            <v>1.0840763955462228E-4</v>
          </cell>
          <cell r="O38">
            <v>1.5909529273530211E-4</v>
          </cell>
          <cell r="P38">
            <v>2.1691097991429899E-4</v>
          </cell>
          <cell r="Q38">
            <v>2.8450446783859711E-4</v>
          </cell>
          <cell r="R38">
            <v>3.5865557378516146E-4</v>
          </cell>
          <cell r="S38">
            <v>4.3440616631739202E-4</v>
          </cell>
          <cell r="T38">
            <v>5.0579200888212716E-4</v>
          </cell>
          <cell r="U38">
            <v>5.6715418715699655E-4</v>
          </cell>
          <cell r="V38">
            <v>6.1463883143334441E-4</v>
          </cell>
          <cell r="W38">
            <v>6.4722650515530256E-4</v>
          </cell>
          <cell r="X38">
            <v>6.66727217647847E-4</v>
          </cell>
          <cell r="Y38">
            <v>6.7671198578400898E-4</v>
          </cell>
          <cell r="Z38">
            <v>6.8099579154034205E-4</v>
          </cell>
          <cell r="AA38">
            <v>6.8250078076401361E-4</v>
          </cell>
          <cell r="AB38">
            <v>6.8292298189486574E-4</v>
          </cell>
          <cell r="AC38">
            <v>6.8301500257106113E-4</v>
          </cell>
          <cell r="AD38">
            <v>6.8303012819702228E-4</v>
          </cell>
          <cell r="AE38">
            <v>6.8303194378711136E-4</v>
          </cell>
          <cell r="AF38">
            <v>6.7583537574239802E-3</v>
          </cell>
        </row>
        <row r="39">
          <cell r="A39" t="str">
            <v>LO5Med</v>
          </cell>
          <cell r="J39" t="str">
            <v>High Volume Low Speed Fans - Free Stall - Idaho</v>
          </cell>
          <cell r="L39">
            <v>3.2058390067973772E-3</v>
          </cell>
          <cell r="M39">
            <v>7.1420980339961509E-3</v>
          </cell>
          <cell r="N39">
            <v>1.1958927166912787E-2</v>
          </cell>
          <cell r="O39">
            <v>1.7550506829931468E-2</v>
          </cell>
          <cell r="P39">
            <v>2.3928411513763841E-2</v>
          </cell>
          <cell r="Q39">
            <v>3.1384948731668916E-2</v>
          </cell>
          <cell r="R39">
            <v>3.9564885856064928E-2</v>
          </cell>
          <cell r="S39">
            <v>4.7921269434428787E-2</v>
          </cell>
          <cell r="T39">
            <v>5.5796158099910946E-2</v>
          </cell>
          <cell r="U39">
            <v>6.256529193408629E-2</v>
          </cell>
          <cell r="V39">
            <v>6.7803533489576337E-2</v>
          </cell>
          <cell r="W39">
            <v>7.1398424201901581E-2</v>
          </cell>
          <cell r="X39">
            <v>7.3549634221410781E-2</v>
          </cell>
          <cell r="Y39">
            <v>7.4651098245620121E-2</v>
          </cell>
          <cell r="Z39">
            <v>7.5123663843834981E-2</v>
          </cell>
          <cell r="AA39">
            <v>7.5289685875001955E-2</v>
          </cell>
          <cell r="AB39">
            <v>7.5336260752883216E-2</v>
          </cell>
          <cell r="AC39">
            <v>7.5346411961497217E-2</v>
          </cell>
          <cell r="AD39">
            <v>7.5348080536331657E-2</v>
          </cell>
          <cell r="AE39">
            <v>7.5348280822120819E-2</v>
          </cell>
          <cell r="AF39">
            <v>3.7277197753457876</v>
          </cell>
        </row>
        <row r="40">
          <cell r="A40" t="str">
            <v>LO5Med</v>
          </cell>
          <cell r="J40" t="str">
            <v>High Volume Low Speed Fans - Free Stall - Montana</v>
          </cell>
          <cell r="L40">
            <v>4.7291603391084092E-5</v>
          </cell>
          <cell r="M40">
            <v>1.0535815020274827E-4</v>
          </cell>
          <cell r="N40">
            <v>1.7641461076533906E-4</v>
          </cell>
          <cell r="O40">
            <v>2.5889996551722996E-4</v>
          </cell>
          <cell r="P40">
            <v>3.5298495797455762E-4</v>
          </cell>
          <cell r="Q40">
            <v>4.6298162344413855E-4</v>
          </cell>
          <cell r="R40">
            <v>5.8364967365836162E-4</v>
          </cell>
          <cell r="S40">
            <v>7.0692061057497924E-4</v>
          </cell>
          <cell r="T40">
            <v>8.2308867476263415E-4</v>
          </cell>
          <cell r="U40">
            <v>9.2294496570807111E-4</v>
          </cell>
          <cell r="V40">
            <v>1.0002179796004332E-3</v>
          </cell>
          <cell r="W40">
            <v>1.0532487604478515E-3</v>
          </cell>
          <cell r="X40">
            <v>1.0849827841582899E-3</v>
          </cell>
          <cell r="Y40">
            <v>1.1012312606638189E-3</v>
          </cell>
          <cell r="Z40">
            <v>1.1082024107433026E-3</v>
          </cell>
          <cell r="AA40">
            <v>1.1106515193964456E-3</v>
          </cell>
          <cell r="AB40">
            <v>1.1113385784309383E-3</v>
          </cell>
          <cell r="AC40">
            <v>1.1114883261040729E-3</v>
          </cell>
          <cell r="AD40">
            <v>1.1115129404340913E-3</v>
          </cell>
          <cell r="AE40">
            <v>1.1115158949917239E-3</v>
          </cell>
          <cell r="AF40">
            <v>5.4990236501260566E-2</v>
          </cell>
        </row>
        <row r="41">
          <cell r="A41" t="str">
            <v>LO5Med</v>
          </cell>
          <cell r="J41" t="str">
            <v>High Volume Low Speed Fans - Free Stall - Oregon</v>
          </cell>
          <cell r="L41">
            <v>2.7138732032227207E-4</v>
          </cell>
          <cell r="M41">
            <v>6.0460766832502711E-4</v>
          </cell>
          <cell r="N41">
            <v>1.0123718598707575E-3</v>
          </cell>
          <cell r="O41">
            <v>1.4857218371770457E-3</v>
          </cell>
          <cell r="P41">
            <v>2.0256374279930926E-3</v>
          </cell>
          <cell r="Q41">
            <v>2.6568636530654895E-3</v>
          </cell>
          <cell r="R41">
            <v>3.3493286246026005E-3</v>
          </cell>
          <cell r="S41">
            <v>4.0567305066399476E-3</v>
          </cell>
          <cell r="T41">
            <v>4.7233718845226258E-3</v>
          </cell>
          <cell r="U41">
            <v>5.2964066152949895E-3</v>
          </cell>
          <cell r="V41">
            <v>5.7398450836432108E-3</v>
          </cell>
          <cell r="W41">
            <v>6.0441672143555685E-3</v>
          </cell>
          <cell r="X41">
            <v>6.2262758983559711E-3</v>
          </cell>
          <cell r="Y41">
            <v>6.3195193111810532E-3</v>
          </cell>
          <cell r="Z41">
            <v>6.3595239125051033E-3</v>
          </cell>
          <cell r="AA41">
            <v>6.3735783531857918E-3</v>
          </cell>
          <cell r="AB41">
            <v>6.3775211061673758E-3</v>
          </cell>
          <cell r="AC41">
            <v>6.3783804472939722E-3</v>
          </cell>
          <cell r="AD41">
            <v>6.3785216989451351E-3</v>
          </cell>
          <cell r="AE41">
            <v>6.3785386539523927E-3</v>
          </cell>
          <cell r="AF41">
            <v>0.31556665153752567</v>
          </cell>
        </row>
        <row r="42">
          <cell r="A42" t="str">
            <v>LO5Med</v>
          </cell>
          <cell r="J42" t="str">
            <v>High Volume Low Speed Fans - Free Stall - Washington</v>
          </cell>
          <cell r="L42">
            <v>1.2826558667606448E-3</v>
          </cell>
          <cell r="M42">
            <v>2.857552710807051E-3</v>
          </cell>
          <cell r="N42">
            <v>4.7847655662932821E-3</v>
          </cell>
          <cell r="O42">
            <v>7.0219560315734758E-3</v>
          </cell>
          <cell r="P42">
            <v>9.5737550592265314E-3</v>
          </cell>
          <cell r="Q42">
            <v>1.2557114856142731E-2</v>
          </cell>
          <cell r="R42">
            <v>1.5829906883469538E-2</v>
          </cell>
          <cell r="S42">
            <v>1.917329511942413E-2</v>
          </cell>
          <cell r="T42">
            <v>2.2324037288775373E-2</v>
          </cell>
          <cell r="U42">
            <v>2.5032367060446207E-2</v>
          </cell>
          <cell r="V42">
            <v>2.7128186984158094E-2</v>
          </cell>
          <cell r="W42">
            <v>2.8566502399483246E-2</v>
          </cell>
          <cell r="X42">
            <v>2.9427201313654318E-2</v>
          </cell>
          <cell r="Y42">
            <v>2.9867896959843137E-2</v>
          </cell>
          <cell r="Z42">
            <v>3.0056970408539205E-2</v>
          </cell>
          <cell r="AA42">
            <v>3.012339580664445E-2</v>
          </cell>
          <cell r="AB42">
            <v>3.0142030410637781E-2</v>
          </cell>
          <cell r="AC42">
            <v>3.0146091908191411E-2</v>
          </cell>
          <cell r="AD42">
            <v>3.0146759504816198E-2</v>
          </cell>
          <cell r="AE42">
            <v>3.0146839639140464E-2</v>
          </cell>
          <cell r="AF42">
            <v>1.4914603101867958</v>
          </cell>
        </row>
        <row r="43">
          <cell r="A43" t="str">
            <v>LO5Med</v>
          </cell>
          <cell r="J43" t="str">
            <v>High Volume Low Speed Fans - Tie Stall - Idaho</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0.32181544689852698</v>
          </cell>
        </row>
        <row r="44">
          <cell r="A44" t="str">
            <v>LO5Med</v>
          </cell>
          <cell r="J44" t="str">
            <v>High Volume Low Speed Fans - Tie Stall - Montana</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8.8558573642592328E-2</v>
          </cell>
        </row>
        <row r="45">
          <cell r="A45" t="str">
            <v>LO5Med</v>
          </cell>
          <cell r="J45" t="str">
            <v>High Volume Low Speed Fans - Tie Stall - Oregon</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0.15377986824925693</v>
          </cell>
        </row>
        <row r="46">
          <cell r="A46" t="str">
            <v>LO5Med</v>
          </cell>
          <cell r="J46" t="str">
            <v>High Volume Low Speed Fans - Tie Stall - Washington</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0.1335226348644471</v>
          </cell>
        </row>
        <row r="47">
          <cell r="J47" t="str">
            <v>Energy Efficient Lighting - Free Stall - Idaho</v>
          </cell>
          <cell r="L47">
            <v>3.5350154994276517E-2</v>
          </cell>
          <cell r="M47">
            <v>6.1335495913124087E-2</v>
          </cell>
          <cell r="N47">
            <v>8.0504940518405274E-2</v>
          </cell>
          <cell r="O47">
            <v>9.6506101711015257E-2</v>
          </cell>
          <cell r="P47">
            <v>0.11177261993391535</v>
          </cell>
          <cell r="Q47">
            <v>0.12553620402150928</v>
          </cell>
          <cell r="R47">
            <v>0.13835276532195739</v>
          </cell>
          <cell r="S47">
            <v>0.14953523248602552</v>
          </cell>
          <cell r="T47">
            <v>0.15981023864053961</v>
          </cell>
          <cell r="U47">
            <v>0.16930856104300276</v>
          </cell>
          <cell r="V47">
            <v>0.17772629345454671</v>
          </cell>
          <cell r="W47">
            <v>0.18490055394029167</v>
          </cell>
          <cell r="X47">
            <v>0.1916696964793507</v>
          </cell>
          <cell r="Y47">
            <v>0.19668254832649071</v>
          </cell>
          <cell r="Z47">
            <v>0.19874912792405836</v>
          </cell>
          <cell r="AA47">
            <v>0.2003585817329234</v>
          </cell>
          <cell r="AB47">
            <v>0.20161202561958472</v>
          </cell>
          <cell r="AC47">
            <v>0.20258820870005273</v>
          </cell>
          <cell r="AD47">
            <v>0.20334846084754218</v>
          </cell>
          <cell r="AE47">
            <v>0.20394054581533871</v>
          </cell>
          <cell r="AF47">
            <v>1.6500532767354656</v>
          </cell>
        </row>
        <row r="48">
          <cell r="J48" t="str">
            <v>Energy Efficient Lighting - Free Stall - Montana</v>
          </cell>
          <cell r="L48">
            <v>1.7817585421757602E-4</v>
          </cell>
          <cell r="M48">
            <v>3.0330788841200315E-4</v>
          </cell>
          <cell r="N48">
            <v>3.8904447919319127E-4</v>
          </cell>
          <cell r="O48">
            <v>4.5623380072778703E-4</v>
          </cell>
          <cell r="P48">
            <v>5.1515146188713763E-4</v>
          </cell>
          <cell r="Q48">
            <v>5.6315364999815452E-4</v>
          </cell>
          <cell r="R48">
            <v>6.0623349677947917E-4</v>
          </cell>
          <cell r="S48">
            <v>6.4235651044910222E-4</v>
          </cell>
          <cell r="T48">
            <v>6.7219603022610906E-4</v>
          </cell>
          <cell r="U48">
            <v>6.9666735132214096E-4</v>
          </cell>
          <cell r="V48">
            <v>7.1833086127236114E-4</v>
          </cell>
          <cell r="W48">
            <v>7.3283329131161893E-4</v>
          </cell>
          <cell r="X48">
            <v>7.4359103617534488E-4</v>
          </cell>
          <cell r="Y48">
            <v>7.5378643268406663E-4</v>
          </cell>
          <cell r="Z48">
            <v>7.6170660494115144E-4</v>
          </cell>
          <cell r="AA48">
            <v>7.678748412970291E-4</v>
          </cell>
          <cell r="AB48">
            <v>7.7267866860115649E-4</v>
          </cell>
          <cell r="AC48">
            <v>7.7641989306735063E-4</v>
          </cell>
          <cell r="AD48">
            <v>7.7933356161126867E-4</v>
          </cell>
          <cell r="AE48">
            <v>7.8160272895488241E-4</v>
          </cell>
          <cell r="AF48">
            <v>6.3238339333717029E-3</v>
          </cell>
        </row>
        <row r="49">
          <cell r="J49" t="str">
            <v>Energy Efficient Lighting - Free Stall - Oregon</v>
          </cell>
          <cell r="L49">
            <v>5.9202827790256285E-3</v>
          </cell>
          <cell r="M49">
            <v>1.0219617463643849E-2</v>
          </cell>
          <cell r="N49">
            <v>1.3338171950823098E-2</v>
          </cell>
          <cell r="O49">
            <v>1.5893790319880936E-2</v>
          </cell>
          <cell r="P49">
            <v>1.8246970069482536E-2</v>
          </cell>
          <cell r="Q49">
            <v>2.0369996020844341E-2</v>
          </cell>
          <cell r="R49">
            <v>2.2282735752646329E-2</v>
          </cell>
          <cell r="S49">
            <v>2.399536685333507E-2</v>
          </cell>
          <cell r="T49">
            <v>2.557914256097573E-2</v>
          </cell>
          <cell r="U49">
            <v>2.6928025870811414E-2</v>
          </cell>
          <cell r="V49">
            <v>2.8165892667839983E-2</v>
          </cell>
          <cell r="W49">
            <v>2.928682053549057E-2</v>
          </cell>
          <cell r="X49">
            <v>3.0218276306270702E-2</v>
          </cell>
          <cell r="Y49">
            <v>3.1089056287939888E-2</v>
          </cell>
          <cell r="Z49">
            <v>3.141571470262363E-2</v>
          </cell>
          <cell r="AA49">
            <v>3.1670116531776184E-2</v>
          </cell>
          <cell r="AB49">
            <v>3.1868244875534989E-2</v>
          </cell>
          <cell r="AC49">
            <v>3.2022547384802993E-2</v>
          </cell>
          <cell r="AD49">
            <v>3.2142718299850798E-2</v>
          </cell>
          <cell r="AE49">
            <v>3.2236307502592432E-2</v>
          </cell>
          <cell r="AF49">
            <v>0.26081927265541366</v>
          </cell>
        </row>
        <row r="50">
          <cell r="J50" t="str">
            <v>Energy Efficient Lighting - Free Stall - Washington</v>
          </cell>
          <cell r="L50">
            <v>1.6477525993383677E-2</v>
          </cell>
          <cell r="M50">
            <v>2.8374762079973383E-2</v>
          </cell>
          <cell r="N50">
            <v>3.7011475856405421E-2</v>
          </cell>
          <cell r="O50">
            <v>4.4136372953615298E-2</v>
          </cell>
          <cell r="P50">
            <v>5.0736411423415215E-2</v>
          </cell>
          <cell r="Q50">
            <v>5.6816519703262944E-2</v>
          </cell>
          <cell r="R50">
            <v>6.2256173529142214E-2</v>
          </cell>
          <cell r="S50">
            <v>6.719171392043459E-2</v>
          </cell>
          <cell r="T50">
            <v>7.1600512183121467E-2</v>
          </cell>
          <cell r="U50">
            <v>7.5814264547449925E-2</v>
          </cell>
          <cell r="V50">
            <v>7.9574154187171148E-2</v>
          </cell>
          <cell r="W50">
            <v>8.2687705061380123E-2</v>
          </cell>
          <cell r="X50">
            <v>8.5752943647220206E-2</v>
          </cell>
          <cell r="Y50">
            <v>8.812635317918685E-2</v>
          </cell>
          <cell r="Z50">
            <v>8.9052312930256533E-2</v>
          </cell>
          <cell r="AA50">
            <v>8.9773451109482191E-2</v>
          </cell>
          <cell r="AB50">
            <v>9.0335074088165823E-2</v>
          </cell>
          <cell r="AC50">
            <v>9.0772466503755547E-2</v>
          </cell>
          <cell r="AD50">
            <v>9.1113108059526327E-2</v>
          </cell>
          <cell r="AE50">
            <v>9.1378399969907237E-2</v>
          </cell>
          <cell r="AF50">
            <v>0.73932933586298677</v>
          </cell>
        </row>
        <row r="51">
          <cell r="J51" t="str">
            <v>Energy Efficient Lighting - Tie Stall - Idaho</v>
          </cell>
          <cell r="L51">
            <v>9.5935092473429064E-4</v>
          </cell>
          <cell r="M51">
            <v>1.6317798510152982E-3</v>
          </cell>
          <cell r="N51">
            <v>2.0972804504353101E-3</v>
          </cell>
          <cell r="O51">
            <v>2.459812681783823E-3</v>
          </cell>
          <cell r="P51">
            <v>2.7774456156545238E-3</v>
          </cell>
          <cell r="Q51">
            <v>3.052304257463158E-3</v>
          </cell>
          <cell r="R51">
            <v>3.2877703954851145E-3</v>
          </cell>
          <cell r="S51">
            <v>3.4878226274978057E-3</v>
          </cell>
          <cell r="T51">
            <v>3.656606865356694E-3</v>
          </cell>
          <cell r="U51">
            <v>3.7981676463262749E-3</v>
          </cell>
          <cell r="V51">
            <v>3.9162901253312508E-3</v>
          </cell>
          <cell r="W51">
            <v>4.0082840044786622E-3</v>
          </cell>
          <cell r="X51">
            <v>4.0799289095964407E-3</v>
          </cell>
          <cell r="Y51">
            <v>4.1357260178052444E-3</v>
          </cell>
          <cell r="Z51">
            <v>4.1791808493713807E-3</v>
          </cell>
          <cell r="AA51">
            <v>4.2130235062233217E-3</v>
          </cell>
          <cell r="AB51">
            <v>4.2393801938808316E-3</v>
          </cell>
          <cell r="AC51">
            <v>4.2599068028676699E-3</v>
          </cell>
          <cell r="AD51">
            <v>4.2758929420204199E-3</v>
          </cell>
          <cell r="AE51">
            <v>4.2883429597108677E-3</v>
          </cell>
          <cell r="AF51">
            <v>3.4696358804705056E-2</v>
          </cell>
        </row>
        <row r="52">
          <cell r="J52" t="str">
            <v>Energy Efficient Lighting - Tie Stall - Montana</v>
          </cell>
          <cell r="L52">
            <v>4.7472285537777419E-5</v>
          </cell>
          <cell r="M52">
            <v>8.0746593373686763E-5</v>
          </cell>
          <cell r="N52">
            <v>1.0378131070592249E-4</v>
          </cell>
          <cell r="O52">
            <v>1.217207666020961E-4</v>
          </cell>
          <cell r="P52">
            <v>1.3743843668938795E-4</v>
          </cell>
          <cell r="Q52">
            <v>1.5103947421387783E-4</v>
          </cell>
          <cell r="R52">
            <v>1.626912227559997E-4</v>
          </cell>
          <cell r="S52">
            <v>1.7259055827100587E-4</v>
          </cell>
          <cell r="T52">
            <v>1.8094263604289366E-4</v>
          </cell>
          <cell r="U52">
            <v>1.8794759496029926E-4</v>
          </cell>
          <cell r="V52">
            <v>1.9379273869986194E-4</v>
          </cell>
          <cell r="W52">
            <v>1.983449412213983E-4</v>
          </cell>
          <cell r="X52">
            <v>2.0189020010987039E-4</v>
          </cell>
          <cell r="Y52">
            <v>2.0465125050840338E-4</v>
          </cell>
          <cell r="Z52">
            <v>2.0680155872088041E-4</v>
          </cell>
          <cell r="AA52">
            <v>2.0847622044060243E-4</v>
          </cell>
          <cell r="AB52">
            <v>2.0978044829930164E-4</v>
          </cell>
          <cell r="AC52">
            <v>2.1079618197696013E-4</v>
          </cell>
          <cell r="AD52">
            <v>2.1158723616051262E-4</v>
          </cell>
          <cell r="AE52">
            <v>2.1220330977811513E-4</v>
          </cell>
          <cell r="AF52">
            <v>1.7169060974787031E-3</v>
          </cell>
        </row>
        <row r="53">
          <cell r="J53" t="str">
            <v>Energy Efficient Lighting - Tie Stall - Oregon</v>
          </cell>
          <cell r="L53">
            <v>5.6984814959411604E-4</v>
          </cell>
          <cell r="M53">
            <v>9.6926651621623598E-4</v>
          </cell>
          <cell r="N53">
            <v>1.2457708155037099E-3</v>
          </cell>
          <cell r="O53">
            <v>1.4611125803114049E-3</v>
          </cell>
          <cell r="P53">
            <v>1.6497844572541424E-3</v>
          </cell>
          <cell r="Q53">
            <v>1.8130486855947598E-3</v>
          </cell>
          <cell r="R53">
            <v>1.9529140253619036E-3</v>
          </cell>
          <cell r="S53">
            <v>2.0717437375093943E-3</v>
          </cell>
          <cell r="T53">
            <v>2.1720004664547276E-3</v>
          </cell>
          <cell r="U53">
            <v>2.2560866407740536E-3</v>
          </cell>
          <cell r="V53">
            <v>2.3262506176369505E-3</v>
          </cell>
          <cell r="W53">
            <v>2.3808943777611775E-3</v>
          </cell>
          <cell r="X53">
            <v>2.4234509809358921E-3</v>
          </cell>
          <cell r="Y53">
            <v>2.4565940968132192E-3</v>
          </cell>
          <cell r="Z53">
            <v>2.4824059814119071E-3</v>
          </cell>
          <cell r="AA53">
            <v>2.5025082973499143E-3</v>
          </cell>
          <cell r="AB53">
            <v>2.5181639967439828E-3</v>
          </cell>
          <cell r="AC53">
            <v>2.5303566676916143E-3</v>
          </cell>
          <cell r="AD53">
            <v>2.5398523293733623E-3</v>
          </cell>
          <cell r="AE53">
            <v>2.5472475581268875E-3</v>
          </cell>
          <cell r="AF53">
            <v>2.0609409292007306E-2</v>
          </cell>
        </row>
        <row r="54">
          <cell r="J54" t="str">
            <v>Energy Efficient Lighting - Tie Stall - Washington</v>
          </cell>
          <cell r="L54">
            <v>3.474167029807718E-5</v>
          </cell>
          <cell r="M54">
            <v>5.9092826328093153E-5</v>
          </cell>
          <cell r="N54">
            <v>7.5950336892422409E-5</v>
          </cell>
          <cell r="O54">
            <v>8.9078979320556483E-5</v>
          </cell>
          <cell r="P54">
            <v>1.0058165094971371E-4</v>
          </cell>
          <cell r="Q54">
            <v>1.1053530614104802E-4</v>
          </cell>
          <cell r="R54">
            <v>1.190624120442253E-4</v>
          </cell>
          <cell r="S54">
            <v>1.263070485039278E-4</v>
          </cell>
          <cell r="T54">
            <v>1.3241935443080211E-4</v>
          </cell>
          <cell r="U54">
            <v>1.3754579758396387E-4</v>
          </cell>
          <cell r="V54">
            <v>1.418234525218783E-4</v>
          </cell>
          <cell r="W54">
            <v>1.4515489353723529E-4</v>
          </cell>
          <cell r="X54">
            <v>1.4774942240875156E-4</v>
          </cell>
          <cell r="Y54">
            <v>1.4977004352558976E-4</v>
          </cell>
          <cell r="Z54">
            <v>1.5134370483367395E-4</v>
          </cell>
          <cell r="AA54">
            <v>1.5256927349269911E-4</v>
          </cell>
          <cell r="AB54">
            <v>1.5352374732405569E-4</v>
          </cell>
          <cell r="AC54">
            <v>1.5426709229133734E-4</v>
          </cell>
          <cell r="AD54">
            <v>1.5484600993394854E-4</v>
          </cell>
          <cell r="AE54">
            <v>1.5529687144734793E-4</v>
          </cell>
          <cell r="AF54">
            <v>1.2564843865353131E-3</v>
          </cell>
        </row>
      </sheetData>
      <sheetData sheetId="3" refreshError="1"/>
      <sheetData sheetId="4" refreshError="1"/>
      <sheetData sheetId="5">
        <row r="4">
          <cell r="A4" t="str">
            <v>Plate Milk Pre-Cooler - Tie Stall - Idaho</v>
          </cell>
          <cell r="C4">
            <v>4.4501637886137555</v>
          </cell>
          <cell r="D4">
            <v>0.47821966147104827</v>
          </cell>
          <cell r="E4">
            <v>9.5643932294209658E-2</v>
          </cell>
          <cell r="F4">
            <v>0.57386359376525797</v>
          </cell>
          <cell r="G4">
            <v>0.56237405700009524</v>
          </cell>
          <cell r="H4">
            <v>1.7071147408729521</v>
          </cell>
          <cell r="I4">
            <v>1129.6314742944787</v>
          </cell>
          <cell r="J4">
            <v>3.2686995243200623</v>
          </cell>
          <cell r="K4">
            <v>7.8304387947882725</v>
          </cell>
          <cell r="L4">
            <v>3.0355503061064266</v>
          </cell>
          <cell r="M4">
            <v>3.1039892425580921E-2</v>
          </cell>
          <cell r="N4">
            <v>1.1707749217748642E-3</v>
          </cell>
          <cell r="O4">
            <v>1.5441157156601548E-3</v>
          </cell>
          <cell r="P4">
            <v>5.7703363952280484E-2</v>
          </cell>
          <cell r="Q4">
            <v>5.3606788464541671E-2</v>
          </cell>
          <cell r="R4">
            <v>6.1247191438240291E-2</v>
          </cell>
          <cell r="S4">
            <v>5.8579205627654896E-2</v>
          </cell>
          <cell r="T4">
            <v>5.8028460281079115E-2</v>
          </cell>
          <cell r="U4">
            <v>5.8738701373820736E-2</v>
          </cell>
          <cell r="V4">
            <v>5.8851795307179197E-2</v>
          </cell>
          <cell r="W4">
            <v>6.100163370877501E-2</v>
          </cell>
          <cell r="X4">
            <v>5.6369464592848542E-2</v>
          </cell>
          <cell r="Y4">
            <v>6.0800578291197893E-2</v>
          </cell>
          <cell r="Z4">
            <v>5.4996728596315311E-2</v>
          </cell>
          <cell r="AA4">
            <v>5.9982115955188327E-2</v>
          </cell>
          <cell r="AC4">
            <v>0.32699636420941858</v>
          </cell>
          <cell r="AD4">
            <v>0.2914903516059123</v>
          </cell>
          <cell r="AE4">
            <v>0.31764361091806154</v>
          </cell>
          <cell r="AF4">
            <v>0.30477134655663612</v>
          </cell>
          <cell r="AG4">
            <v>0.31587470886233393</v>
          </cell>
          <cell r="AH4">
            <v>0.30404357384545799</v>
          </cell>
          <cell r="AI4">
            <v>0.31741876159336913</v>
          </cell>
          <cell r="AJ4">
            <v>0.31464522994335736</v>
          </cell>
          <cell r="AK4">
            <v>0.30548269720580817</v>
          </cell>
          <cell r="AL4">
            <v>0.31463868078400586</v>
          </cell>
          <cell r="AM4">
            <v>0.3129102855421993</v>
          </cell>
          <cell r="AN4">
            <v>0.32434214995807303</v>
          </cell>
        </row>
        <row r="5">
          <cell r="A5" t="str">
            <v>Plate Milk Pre-Cooler - Tie Stall - Montana</v>
          </cell>
          <cell r="C5">
            <v>4.4501637886137555</v>
          </cell>
          <cell r="D5">
            <v>0.47821966147104827</v>
          </cell>
          <cell r="E5">
            <v>9.5643932294209658E-2</v>
          </cell>
          <cell r="F5">
            <v>0.57386359376525797</v>
          </cell>
          <cell r="G5">
            <v>0.56237405700009524</v>
          </cell>
          <cell r="H5">
            <v>1.7071147408729521</v>
          </cell>
          <cell r="I5">
            <v>1129.6314742944787</v>
          </cell>
          <cell r="J5">
            <v>3.2686995243200623</v>
          </cell>
          <cell r="K5">
            <v>7.8304387947882725</v>
          </cell>
          <cell r="L5">
            <v>3.0355503061064266</v>
          </cell>
          <cell r="M5">
            <v>3.1039892425580921E-2</v>
          </cell>
          <cell r="N5">
            <v>1.1707749217748642E-3</v>
          </cell>
          <cell r="O5">
            <v>1.5441157156601548E-3</v>
          </cell>
          <cell r="P5">
            <v>5.7703363952280484E-2</v>
          </cell>
          <cell r="Q5">
            <v>5.3606788464541671E-2</v>
          </cell>
          <cell r="R5">
            <v>6.1247191438240291E-2</v>
          </cell>
          <cell r="S5">
            <v>5.8579205627654896E-2</v>
          </cell>
          <cell r="T5">
            <v>5.8028460281079115E-2</v>
          </cell>
          <cell r="U5">
            <v>5.8738701373820736E-2</v>
          </cell>
          <cell r="V5">
            <v>5.8851795307179197E-2</v>
          </cell>
          <cell r="W5">
            <v>6.100163370877501E-2</v>
          </cell>
          <cell r="X5">
            <v>5.6369464592848542E-2</v>
          </cell>
          <cell r="Y5">
            <v>6.0800578291197893E-2</v>
          </cell>
          <cell r="Z5">
            <v>5.4996728596315311E-2</v>
          </cell>
          <cell r="AA5">
            <v>5.9982115955188327E-2</v>
          </cell>
          <cell r="AC5">
            <v>0.32699636420941858</v>
          </cell>
          <cell r="AD5">
            <v>0.2914903516059123</v>
          </cell>
          <cell r="AE5">
            <v>0.31764361091806154</v>
          </cell>
          <cell r="AF5">
            <v>0.30477134655663612</v>
          </cell>
          <cell r="AG5">
            <v>0.31587470886233393</v>
          </cell>
          <cell r="AH5">
            <v>0.30404357384545799</v>
          </cell>
          <cell r="AI5">
            <v>0.31741876159336913</v>
          </cell>
          <cell r="AJ5">
            <v>0.31464522994335736</v>
          </cell>
          <cell r="AK5">
            <v>0.30548269720580817</v>
          </cell>
          <cell r="AL5">
            <v>0.31463868078400586</v>
          </cell>
          <cell r="AM5">
            <v>0.3129102855421993</v>
          </cell>
          <cell r="AN5">
            <v>0.32434214995807303</v>
          </cell>
        </row>
        <row r="6">
          <cell r="A6" t="str">
            <v>Plate Milk Pre-Cooler - Tie Stall - Oregon</v>
          </cell>
          <cell r="C6">
            <v>4.4501637886137555</v>
          </cell>
          <cell r="D6">
            <v>0.47821966147104827</v>
          </cell>
          <cell r="E6">
            <v>9.5643932294209658E-2</v>
          </cell>
          <cell r="F6">
            <v>0.57386359376525797</v>
          </cell>
          <cell r="G6">
            <v>0.56237405700009524</v>
          </cell>
          <cell r="H6">
            <v>1.7071147408729521</v>
          </cell>
          <cell r="I6">
            <v>1129.6314742944787</v>
          </cell>
          <cell r="J6">
            <v>3.2686995243200623</v>
          </cell>
          <cell r="K6">
            <v>7.8304387947882725</v>
          </cell>
          <cell r="L6">
            <v>3.0355503061064266</v>
          </cell>
          <cell r="M6">
            <v>3.1039892425580921E-2</v>
          </cell>
          <cell r="N6">
            <v>1.1707749217748642E-3</v>
          </cell>
          <cell r="O6">
            <v>1.5441157156601548E-3</v>
          </cell>
          <cell r="P6">
            <v>5.7703363952280484E-2</v>
          </cell>
          <cell r="Q6">
            <v>5.3606788464541671E-2</v>
          </cell>
          <cell r="R6">
            <v>6.1247191438240291E-2</v>
          </cell>
          <cell r="S6">
            <v>5.8579205627654896E-2</v>
          </cell>
          <cell r="T6">
            <v>5.8028460281079115E-2</v>
          </cell>
          <cell r="U6">
            <v>5.8738701373820736E-2</v>
          </cell>
          <cell r="V6">
            <v>5.8851795307179197E-2</v>
          </cell>
          <cell r="W6">
            <v>6.100163370877501E-2</v>
          </cell>
          <cell r="X6">
            <v>5.6369464592848542E-2</v>
          </cell>
          <cell r="Y6">
            <v>6.0800578291197893E-2</v>
          </cell>
          <cell r="Z6">
            <v>5.4996728596315311E-2</v>
          </cell>
          <cell r="AA6">
            <v>5.9982115955188327E-2</v>
          </cell>
          <cell r="AC6">
            <v>0.32699636420941858</v>
          </cell>
          <cell r="AD6">
            <v>0.2914903516059123</v>
          </cell>
          <cell r="AE6">
            <v>0.31764361091806154</v>
          </cell>
          <cell r="AF6">
            <v>0.30477134655663612</v>
          </cell>
          <cell r="AG6">
            <v>0.31587470886233393</v>
          </cell>
          <cell r="AH6">
            <v>0.30404357384545799</v>
          </cell>
          <cell r="AI6">
            <v>0.31741876159336913</v>
          </cell>
          <cell r="AJ6">
            <v>0.31464522994335736</v>
          </cell>
          <cell r="AK6">
            <v>0.30548269720580817</v>
          </cell>
          <cell r="AL6">
            <v>0.31463868078400586</v>
          </cell>
          <cell r="AM6">
            <v>0.3129102855421993</v>
          </cell>
          <cell r="AN6">
            <v>0.32434214995807303</v>
          </cell>
        </row>
        <row r="7">
          <cell r="A7" t="str">
            <v>Plate Milk Pre-Cooler - Tie Stall - Washington</v>
          </cell>
          <cell r="C7">
            <v>4.4501637886137555</v>
          </cell>
          <cell r="D7">
            <v>0.47821966147104827</v>
          </cell>
          <cell r="E7">
            <v>9.5643932294209658E-2</v>
          </cell>
          <cell r="F7">
            <v>0.57386359376525797</v>
          </cell>
          <cell r="G7">
            <v>0.56237405700009524</v>
          </cell>
          <cell r="H7">
            <v>1.7071147408729521</v>
          </cell>
          <cell r="I7">
            <v>1129.6314742944787</v>
          </cell>
          <cell r="J7">
            <v>3.2686995243200623</v>
          </cell>
          <cell r="K7">
            <v>7.8304387947882725</v>
          </cell>
          <cell r="L7">
            <v>3.0355503061064266</v>
          </cell>
          <cell r="M7">
            <v>3.1039892425580921E-2</v>
          </cell>
          <cell r="N7">
            <v>1.1707749217748642E-3</v>
          </cell>
          <cell r="O7">
            <v>1.5441157156601548E-3</v>
          </cell>
          <cell r="P7">
            <v>5.7703363952280484E-2</v>
          </cell>
          <cell r="Q7">
            <v>5.3606788464541671E-2</v>
          </cell>
          <cell r="R7">
            <v>6.1247191438240291E-2</v>
          </cell>
          <cell r="S7">
            <v>5.8579205627654896E-2</v>
          </cell>
          <cell r="T7">
            <v>5.8028460281079115E-2</v>
          </cell>
          <cell r="U7">
            <v>5.8738701373820736E-2</v>
          </cell>
          <cell r="V7">
            <v>5.8851795307179197E-2</v>
          </cell>
          <cell r="W7">
            <v>6.100163370877501E-2</v>
          </cell>
          <cell r="X7">
            <v>5.6369464592848542E-2</v>
          </cell>
          <cell r="Y7">
            <v>6.0800578291197893E-2</v>
          </cell>
          <cell r="Z7">
            <v>5.4996728596315311E-2</v>
          </cell>
          <cell r="AA7">
            <v>5.9982115955188327E-2</v>
          </cell>
          <cell r="AC7">
            <v>0.32699636420941858</v>
          </cell>
          <cell r="AD7">
            <v>0.2914903516059123</v>
          </cell>
          <cell r="AE7">
            <v>0.31764361091806154</v>
          </cell>
          <cell r="AF7">
            <v>0.30477134655663612</v>
          </cell>
          <cell r="AG7">
            <v>0.31587470886233393</v>
          </cell>
          <cell r="AH7">
            <v>0.30404357384545799</v>
          </cell>
          <cell r="AI7">
            <v>0.31741876159336913</v>
          </cell>
          <cell r="AJ7">
            <v>0.31464522994335736</v>
          </cell>
          <cell r="AK7">
            <v>0.30548269720580817</v>
          </cell>
          <cell r="AL7">
            <v>0.31463868078400586</v>
          </cell>
          <cell r="AM7">
            <v>0.3129102855421993</v>
          </cell>
          <cell r="AN7">
            <v>0.32434214995807303</v>
          </cell>
        </row>
        <row r="8">
          <cell r="A8" t="str">
            <v>VSD - Vacuum Pump - Tie Stall - Idaho</v>
          </cell>
          <cell r="C8">
            <v>5.4387526789849598</v>
          </cell>
          <cell r="D8">
            <v>0.63061762668806043</v>
          </cell>
          <cell r="E8">
            <v>0.12612352533761209</v>
          </cell>
          <cell r="F8">
            <v>0.75674115202567249</v>
          </cell>
          <cell r="G8">
            <v>0.7415901555478106</v>
          </cell>
          <cell r="H8">
            <v>2.0863445282650308</v>
          </cell>
          <cell r="I8">
            <v>1218.8552933026692</v>
          </cell>
          <cell r="J8">
            <v>3.7905104542097177</v>
          </cell>
          <cell r="K8">
            <v>8.7125582042951635</v>
          </cell>
          <cell r="L8">
            <v>2.8133390291890454</v>
          </cell>
          <cell r="M8">
            <v>3.7935299935920153E-2</v>
          </cell>
          <cell r="N8">
            <v>1.4308586256046476E-3</v>
          </cell>
          <cell r="O8">
            <v>1.8871358188426314E-3</v>
          </cell>
          <cell r="P8">
            <v>7.0521971817057633E-2</v>
          </cell>
          <cell r="Q8">
            <v>6.5515355888536048E-2</v>
          </cell>
          <cell r="R8">
            <v>7.4853048637744349E-2</v>
          </cell>
          <cell r="S8">
            <v>7.1592378769380863E-2</v>
          </cell>
          <cell r="T8">
            <v>7.0919287199854478E-2</v>
          </cell>
          <cell r="U8">
            <v>7.1787305958120662E-2</v>
          </cell>
          <cell r="V8">
            <v>7.1925523327693461E-2</v>
          </cell>
          <cell r="W8">
            <v>7.4552941086109534E-2</v>
          </cell>
          <cell r="X8">
            <v>6.8891751209634394E-2</v>
          </cell>
          <cell r="Y8">
            <v>7.430722188499389E-2</v>
          </cell>
          <cell r="Z8">
            <v>6.7214066537041733E-2</v>
          </cell>
          <cell r="AA8">
            <v>7.3306940898930015E-2</v>
          </cell>
          <cell r="AC8">
            <v>0.39963750467178027</v>
          </cell>
          <cell r="AD8">
            <v>0.35624395100944467</v>
          </cell>
          <cell r="AE8">
            <v>0.38820706875178035</v>
          </cell>
          <cell r="AF8">
            <v>0.37247527423683885</v>
          </cell>
          <cell r="AG8">
            <v>0.38604521106486422</v>
          </cell>
          <cell r="AH8">
            <v>0.37158582927017503</v>
          </cell>
          <cell r="AI8">
            <v>0.38793226990725965</v>
          </cell>
          <cell r="AJ8">
            <v>0.38454260754688846</v>
          </cell>
          <cell r="AK8">
            <v>0.37334464903575776</v>
          </cell>
          <cell r="AL8">
            <v>0.38453460351385504</v>
          </cell>
          <cell r="AM8">
            <v>0.38242225109308076</v>
          </cell>
          <cell r="AN8">
            <v>0.39639366566813711</v>
          </cell>
        </row>
        <row r="9">
          <cell r="A9" t="str">
            <v>VSD - Vacuum Pump - Tie Stall - Montana</v>
          </cell>
          <cell r="C9">
            <v>5.4387526789849598</v>
          </cell>
          <cell r="D9">
            <v>0.63061762668806043</v>
          </cell>
          <cell r="E9">
            <v>0.12612352533761209</v>
          </cell>
          <cell r="F9">
            <v>0.75674115202567249</v>
          </cell>
          <cell r="G9">
            <v>0.7415901555478106</v>
          </cell>
          <cell r="H9">
            <v>2.0863445282650308</v>
          </cell>
          <cell r="I9">
            <v>1218.8552933026692</v>
          </cell>
          <cell r="J9">
            <v>3.7905104542097177</v>
          </cell>
          <cell r="K9">
            <v>8.7125582042951635</v>
          </cell>
          <cell r="L9">
            <v>2.8133390291890454</v>
          </cell>
          <cell r="M9">
            <v>3.7935299935920153E-2</v>
          </cell>
          <cell r="N9">
            <v>1.4308586256046476E-3</v>
          </cell>
          <cell r="O9">
            <v>1.8871358188426314E-3</v>
          </cell>
          <cell r="P9">
            <v>7.0521971817057633E-2</v>
          </cell>
          <cell r="Q9">
            <v>6.5515355888536048E-2</v>
          </cell>
          <cell r="R9">
            <v>7.4853048637744349E-2</v>
          </cell>
          <cell r="S9">
            <v>7.1592378769380863E-2</v>
          </cell>
          <cell r="T9">
            <v>7.0919287199854478E-2</v>
          </cell>
          <cell r="U9">
            <v>7.1787305958120662E-2</v>
          </cell>
          <cell r="V9">
            <v>7.1925523327693461E-2</v>
          </cell>
          <cell r="W9">
            <v>7.4552941086109534E-2</v>
          </cell>
          <cell r="X9">
            <v>6.8891751209634394E-2</v>
          </cell>
          <cell r="Y9">
            <v>7.430722188499389E-2</v>
          </cell>
          <cell r="Z9">
            <v>6.7214066537041733E-2</v>
          </cell>
          <cell r="AA9">
            <v>7.3306940898930015E-2</v>
          </cell>
          <cell r="AC9">
            <v>0.39963750467178027</v>
          </cell>
          <cell r="AD9">
            <v>0.35624395100944467</v>
          </cell>
          <cell r="AE9">
            <v>0.38820706875178035</v>
          </cell>
          <cell r="AF9">
            <v>0.37247527423683885</v>
          </cell>
          <cell r="AG9">
            <v>0.38604521106486422</v>
          </cell>
          <cell r="AH9">
            <v>0.37158582927017503</v>
          </cell>
          <cell r="AI9">
            <v>0.38793226990725965</v>
          </cell>
          <cell r="AJ9">
            <v>0.38454260754688846</v>
          </cell>
          <cell r="AK9">
            <v>0.37334464903575776</v>
          </cell>
          <cell r="AL9">
            <v>0.38453460351385504</v>
          </cell>
          <cell r="AM9">
            <v>0.38242225109308076</v>
          </cell>
          <cell r="AN9">
            <v>0.39639366566813711</v>
          </cell>
        </row>
        <row r="10">
          <cell r="A10" t="str">
            <v>VSD - Vacuum Pump - Tie Stall - Oregon</v>
          </cell>
          <cell r="C10">
            <v>5.4387526789849598</v>
          </cell>
          <cell r="D10">
            <v>0.63061762668806043</v>
          </cell>
          <cell r="E10">
            <v>0.12612352533761209</v>
          </cell>
          <cell r="F10">
            <v>0.75674115202567249</v>
          </cell>
          <cell r="G10">
            <v>0.7415901555478106</v>
          </cell>
          <cell r="H10">
            <v>2.0863445282650308</v>
          </cell>
          <cell r="I10">
            <v>1218.8552933026692</v>
          </cell>
          <cell r="J10">
            <v>3.7905104542097177</v>
          </cell>
          <cell r="K10">
            <v>8.7125582042951635</v>
          </cell>
          <cell r="L10">
            <v>2.8133390291890454</v>
          </cell>
          <cell r="M10">
            <v>3.7935299935920153E-2</v>
          </cell>
          <cell r="N10">
            <v>1.4308586256046476E-3</v>
          </cell>
          <cell r="O10">
            <v>1.8871358188426314E-3</v>
          </cell>
          <cell r="P10">
            <v>7.0521971817057633E-2</v>
          </cell>
          <cell r="Q10">
            <v>6.5515355888536048E-2</v>
          </cell>
          <cell r="R10">
            <v>7.4853048637744349E-2</v>
          </cell>
          <cell r="S10">
            <v>7.1592378769380863E-2</v>
          </cell>
          <cell r="T10">
            <v>7.0919287199854478E-2</v>
          </cell>
          <cell r="U10">
            <v>7.1787305958120662E-2</v>
          </cell>
          <cell r="V10">
            <v>7.1925523327693461E-2</v>
          </cell>
          <cell r="W10">
            <v>7.4552941086109534E-2</v>
          </cell>
          <cell r="X10">
            <v>6.8891751209634394E-2</v>
          </cell>
          <cell r="Y10">
            <v>7.430722188499389E-2</v>
          </cell>
          <cell r="Z10">
            <v>6.7214066537041733E-2</v>
          </cell>
          <cell r="AA10">
            <v>7.3306940898930015E-2</v>
          </cell>
          <cell r="AC10">
            <v>0.39963750467178027</v>
          </cell>
          <cell r="AD10">
            <v>0.35624395100944467</v>
          </cell>
          <cell r="AE10">
            <v>0.38820706875178035</v>
          </cell>
          <cell r="AF10">
            <v>0.37247527423683885</v>
          </cell>
          <cell r="AG10">
            <v>0.38604521106486422</v>
          </cell>
          <cell r="AH10">
            <v>0.37158582927017503</v>
          </cell>
          <cell r="AI10">
            <v>0.38793226990725965</v>
          </cell>
          <cell r="AJ10">
            <v>0.38454260754688846</v>
          </cell>
          <cell r="AK10">
            <v>0.37334464903575776</v>
          </cell>
          <cell r="AL10">
            <v>0.38453460351385504</v>
          </cell>
          <cell r="AM10">
            <v>0.38242225109308076</v>
          </cell>
          <cell r="AN10">
            <v>0.39639366566813711</v>
          </cell>
        </row>
        <row r="11">
          <cell r="A11" t="str">
            <v>VSD - Vacuum Pump - Tie Stall - Washington</v>
          </cell>
          <cell r="C11">
            <v>5.4387526789849598</v>
          </cell>
          <cell r="D11">
            <v>0.63061762668806043</v>
          </cell>
          <cell r="E11">
            <v>0.12612352533761209</v>
          </cell>
          <cell r="F11">
            <v>0.75674115202567249</v>
          </cell>
          <cell r="G11">
            <v>0.7415901555478106</v>
          </cell>
          <cell r="H11">
            <v>2.0863445282650308</v>
          </cell>
          <cell r="I11">
            <v>1218.8552933026692</v>
          </cell>
          <cell r="J11">
            <v>3.7905104542097177</v>
          </cell>
          <cell r="K11">
            <v>8.7125582042951635</v>
          </cell>
          <cell r="L11">
            <v>2.8133390291890454</v>
          </cell>
          <cell r="M11">
            <v>3.7935299935920153E-2</v>
          </cell>
          <cell r="N11">
            <v>1.4308586256046476E-3</v>
          </cell>
          <cell r="O11">
            <v>1.8871358188426314E-3</v>
          </cell>
          <cell r="P11">
            <v>7.0521971817057633E-2</v>
          </cell>
          <cell r="Q11">
            <v>6.5515355888536048E-2</v>
          </cell>
          <cell r="R11">
            <v>7.4853048637744349E-2</v>
          </cell>
          <cell r="S11">
            <v>7.1592378769380863E-2</v>
          </cell>
          <cell r="T11">
            <v>7.0919287199854478E-2</v>
          </cell>
          <cell r="U11">
            <v>7.1787305958120662E-2</v>
          </cell>
          <cell r="V11">
            <v>7.1925523327693461E-2</v>
          </cell>
          <cell r="W11">
            <v>7.4552941086109534E-2</v>
          </cell>
          <cell r="X11">
            <v>6.8891751209634394E-2</v>
          </cell>
          <cell r="Y11">
            <v>7.430722188499389E-2</v>
          </cell>
          <cell r="Z11">
            <v>6.7214066537041733E-2</v>
          </cell>
          <cell r="AA11">
            <v>7.3306940898930015E-2</v>
          </cell>
          <cell r="AC11">
            <v>0.39963750467178027</v>
          </cell>
          <cell r="AD11">
            <v>0.35624395100944467</v>
          </cell>
          <cell r="AE11">
            <v>0.38820706875178035</v>
          </cell>
          <cell r="AF11">
            <v>0.37247527423683885</v>
          </cell>
          <cell r="AG11">
            <v>0.38604521106486422</v>
          </cell>
          <cell r="AH11">
            <v>0.37158582927017503</v>
          </cell>
          <cell r="AI11">
            <v>0.38793226990725965</v>
          </cell>
          <cell r="AJ11">
            <v>0.38454260754688846</v>
          </cell>
          <cell r="AK11">
            <v>0.37334464903575776</v>
          </cell>
          <cell r="AL11">
            <v>0.38453460351385504</v>
          </cell>
          <cell r="AM11">
            <v>0.38242225109308076</v>
          </cell>
          <cell r="AN11">
            <v>0.39639366566813711</v>
          </cell>
        </row>
        <row r="12">
          <cell r="A12" t="str">
            <v>Plate Milk Pre-cooler - Free Stall - Idaho</v>
          </cell>
          <cell r="C12">
            <v>4.2923819943357495</v>
          </cell>
          <cell r="D12">
            <v>0.54492984245687548</v>
          </cell>
          <cell r="E12">
            <v>0.1089859684913751</v>
          </cell>
          <cell r="F12">
            <v>0.65391581094825058</v>
          </cell>
          <cell r="G12">
            <v>0.6408235189247834</v>
          </cell>
          <cell r="H12">
            <v>1.6465885131546543</v>
          </cell>
          <cell r="I12">
            <v>1334.5276612067084</v>
          </cell>
          <cell r="J12">
            <v>4.4670014016887007</v>
          </cell>
          <cell r="K12">
            <v>9.8561636003207056</v>
          </cell>
          <cell r="L12">
            <v>2.5694882670932722</v>
          </cell>
          <cell r="M12">
            <v>2.9939364410491831E-2</v>
          </cell>
          <cell r="N12">
            <v>1.1292647714460213E-3</v>
          </cell>
          <cell r="O12">
            <v>1.4893686636947665E-3</v>
          </cell>
          <cell r="P12">
            <v>5.5657475141724207E-2</v>
          </cell>
          <cell r="Q12">
            <v>5.1706144876757759E-2</v>
          </cell>
          <cell r="R12">
            <v>5.9075655238979556E-2</v>
          </cell>
          <cell r="S12">
            <v>5.6502263607012819E-2</v>
          </cell>
          <cell r="T12">
            <v>5.5971045089807978E-2</v>
          </cell>
          <cell r="U12">
            <v>5.6656104387158276E-2</v>
          </cell>
          <cell r="V12">
            <v>5.6765188543669215E-2</v>
          </cell>
          <cell r="W12">
            <v>5.8838803827077908E-2</v>
          </cell>
          <cell r="X12">
            <v>5.4370869554907095E-2</v>
          </cell>
          <cell r="Y12">
            <v>5.8644876885224718E-2</v>
          </cell>
          <cell r="Z12">
            <v>5.3046804294753766E-2</v>
          </cell>
          <cell r="AA12">
            <v>5.7855433358872221E-2</v>
          </cell>
          <cell r="AC12">
            <v>0.31540261721085738</v>
          </cell>
          <cell r="AD12">
            <v>0.28115548015493713</v>
          </cell>
          <cell r="AE12">
            <v>0.30638146838752589</v>
          </cell>
          <cell r="AF12">
            <v>0.29396559373754505</v>
          </cell>
          <cell r="AG12">
            <v>0.30467528324594173</v>
          </cell>
          <cell r="AH12">
            <v>0.29326362441016374</v>
          </cell>
          <cell r="AI12">
            <v>0.30616459115814892</v>
          </cell>
          <cell r="AJ12">
            <v>0.30348939584383461</v>
          </cell>
          <cell r="AK12">
            <v>0.29465172325169409</v>
          </cell>
          <cell r="AL12">
            <v>0.30348307888674858</v>
          </cell>
          <cell r="AM12">
            <v>0.30181596437873692</v>
          </cell>
          <cell r="AN12">
            <v>0.31284250886366916</v>
          </cell>
        </row>
        <row r="13">
          <cell r="A13" t="str">
            <v>Plate Milk Pre-cooler - Free Stall - Montana</v>
          </cell>
          <cell r="C13">
            <v>4.2923819943357495</v>
          </cell>
          <cell r="D13">
            <v>0.54492984245687548</v>
          </cell>
          <cell r="E13">
            <v>0.1089859684913751</v>
          </cell>
          <cell r="F13">
            <v>0.65391581094825058</v>
          </cell>
          <cell r="G13">
            <v>0.6408235189247834</v>
          </cell>
          <cell r="H13">
            <v>1.6465885131546543</v>
          </cell>
          <cell r="I13">
            <v>1334.5276612067084</v>
          </cell>
          <cell r="J13">
            <v>4.4670014016887007</v>
          </cell>
          <cell r="K13">
            <v>9.8561636003207056</v>
          </cell>
          <cell r="L13">
            <v>2.5694882670932722</v>
          </cell>
          <cell r="M13">
            <v>2.9939364410491831E-2</v>
          </cell>
          <cell r="N13">
            <v>1.1292647714460213E-3</v>
          </cell>
          <cell r="O13">
            <v>1.4893686636947665E-3</v>
          </cell>
          <cell r="P13">
            <v>5.5657475141724207E-2</v>
          </cell>
          <cell r="Q13">
            <v>5.1706144876757759E-2</v>
          </cell>
          <cell r="R13">
            <v>5.9075655238979556E-2</v>
          </cell>
          <cell r="S13">
            <v>5.6502263607012819E-2</v>
          </cell>
          <cell r="T13">
            <v>5.5971045089807978E-2</v>
          </cell>
          <cell r="U13">
            <v>5.6656104387158276E-2</v>
          </cell>
          <cell r="V13">
            <v>5.6765188543669215E-2</v>
          </cell>
          <cell r="W13">
            <v>5.8838803827077908E-2</v>
          </cell>
          <cell r="X13">
            <v>5.4370869554907095E-2</v>
          </cell>
          <cell r="Y13">
            <v>5.8644876885224718E-2</v>
          </cell>
          <cell r="Z13">
            <v>5.3046804294753766E-2</v>
          </cell>
          <cell r="AA13">
            <v>5.7855433358872221E-2</v>
          </cell>
          <cell r="AC13">
            <v>0.31540261721085738</v>
          </cell>
          <cell r="AD13">
            <v>0.28115548015493713</v>
          </cell>
          <cell r="AE13">
            <v>0.30638146838752589</v>
          </cell>
          <cell r="AF13">
            <v>0.29396559373754505</v>
          </cell>
          <cell r="AG13">
            <v>0.30467528324594173</v>
          </cell>
          <cell r="AH13">
            <v>0.29326362441016374</v>
          </cell>
          <cell r="AI13">
            <v>0.30616459115814892</v>
          </cell>
          <cell r="AJ13">
            <v>0.30348939584383461</v>
          </cell>
          <cell r="AK13">
            <v>0.29465172325169409</v>
          </cell>
          <cell r="AL13">
            <v>0.30348307888674858</v>
          </cell>
          <cell r="AM13">
            <v>0.30181596437873692</v>
          </cell>
          <cell r="AN13">
            <v>0.31284250886366916</v>
          </cell>
        </row>
        <row r="14">
          <cell r="A14" t="str">
            <v>Plate Milk Pre-cooler - Free Stall - Oregon</v>
          </cell>
          <cell r="C14">
            <v>4.2923819943357495</v>
          </cell>
          <cell r="D14">
            <v>0.54492984245687548</v>
          </cell>
          <cell r="E14">
            <v>0.1089859684913751</v>
          </cell>
          <cell r="F14">
            <v>0.65391581094825058</v>
          </cell>
          <cell r="G14">
            <v>0.6408235189247834</v>
          </cell>
          <cell r="H14">
            <v>1.6465885131546543</v>
          </cell>
          <cell r="I14">
            <v>1334.5276612067084</v>
          </cell>
          <cell r="J14">
            <v>4.4670014016887007</v>
          </cell>
          <cell r="K14">
            <v>9.8561636003207056</v>
          </cell>
          <cell r="L14">
            <v>2.5694882670932722</v>
          </cell>
          <cell r="M14">
            <v>2.9939364410491831E-2</v>
          </cell>
          <cell r="N14">
            <v>1.1292647714460213E-3</v>
          </cell>
          <cell r="O14">
            <v>1.4893686636947665E-3</v>
          </cell>
          <cell r="P14">
            <v>5.5657475141724207E-2</v>
          </cell>
          <cell r="Q14">
            <v>5.1706144876757759E-2</v>
          </cell>
          <cell r="R14">
            <v>5.9075655238979556E-2</v>
          </cell>
          <cell r="S14">
            <v>5.6502263607012819E-2</v>
          </cell>
          <cell r="T14">
            <v>5.5971045089807978E-2</v>
          </cell>
          <cell r="U14">
            <v>5.6656104387158276E-2</v>
          </cell>
          <cell r="V14">
            <v>5.6765188543669215E-2</v>
          </cell>
          <cell r="W14">
            <v>5.8838803827077908E-2</v>
          </cell>
          <cell r="X14">
            <v>5.4370869554907095E-2</v>
          </cell>
          <cell r="Y14">
            <v>5.8644876885224718E-2</v>
          </cell>
          <cell r="Z14">
            <v>5.3046804294753766E-2</v>
          </cell>
          <cell r="AA14">
            <v>5.7855433358872221E-2</v>
          </cell>
          <cell r="AC14">
            <v>0.31540261721085738</v>
          </cell>
          <cell r="AD14">
            <v>0.28115548015493713</v>
          </cell>
          <cell r="AE14">
            <v>0.30638146838752589</v>
          </cell>
          <cell r="AF14">
            <v>0.29396559373754505</v>
          </cell>
          <cell r="AG14">
            <v>0.30467528324594173</v>
          </cell>
          <cell r="AH14">
            <v>0.29326362441016374</v>
          </cell>
          <cell r="AI14">
            <v>0.30616459115814892</v>
          </cell>
          <cell r="AJ14">
            <v>0.30348939584383461</v>
          </cell>
          <cell r="AK14">
            <v>0.29465172325169409</v>
          </cell>
          <cell r="AL14">
            <v>0.30348307888674858</v>
          </cell>
          <cell r="AM14">
            <v>0.30181596437873692</v>
          </cell>
          <cell r="AN14">
            <v>0.31284250886366916</v>
          </cell>
        </row>
        <row r="15">
          <cell r="A15" t="str">
            <v>Plate Milk Pre-cooler - Free Stall - Washington</v>
          </cell>
          <cell r="C15">
            <v>4.2923819943357495</v>
          </cell>
          <cell r="D15">
            <v>0.54492984245687548</v>
          </cell>
          <cell r="E15">
            <v>0.1089859684913751</v>
          </cell>
          <cell r="F15">
            <v>0.65391581094825058</v>
          </cell>
          <cell r="G15">
            <v>0.6408235189247834</v>
          </cell>
          <cell r="H15">
            <v>1.6465885131546543</v>
          </cell>
          <cell r="I15">
            <v>1334.5276612067084</v>
          </cell>
          <cell r="J15">
            <v>4.4670014016887007</v>
          </cell>
          <cell r="K15">
            <v>9.8561636003207056</v>
          </cell>
          <cell r="L15">
            <v>2.5694882670932722</v>
          </cell>
          <cell r="M15">
            <v>2.9939364410491831E-2</v>
          </cell>
          <cell r="N15">
            <v>1.1292647714460213E-3</v>
          </cell>
          <cell r="O15">
            <v>1.4893686636947665E-3</v>
          </cell>
          <cell r="P15">
            <v>5.5657475141724207E-2</v>
          </cell>
          <cell r="Q15">
            <v>5.1706144876757759E-2</v>
          </cell>
          <cell r="R15">
            <v>5.9075655238979556E-2</v>
          </cell>
          <cell r="S15">
            <v>5.6502263607012819E-2</v>
          </cell>
          <cell r="T15">
            <v>5.5971045089807978E-2</v>
          </cell>
          <cell r="U15">
            <v>5.6656104387158276E-2</v>
          </cell>
          <cell r="V15">
            <v>5.6765188543669215E-2</v>
          </cell>
          <cell r="W15">
            <v>5.8838803827077908E-2</v>
          </cell>
          <cell r="X15">
            <v>5.4370869554907095E-2</v>
          </cell>
          <cell r="Y15">
            <v>5.8644876885224718E-2</v>
          </cell>
          <cell r="Z15">
            <v>5.3046804294753766E-2</v>
          </cell>
          <cell r="AA15">
            <v>5.7855433358872221E-2</v>
          </cell>
          <cell r="AC15">
            <v>0.31540261721085738</v>
          </cell>
          <cell r="AD15">
            <v>0.28115548015493713</v>
          </cell>
          <cell r="AE15">
            <v>0.30638146838752589</v>
          </cell>
          <cell r="AF15">
            <v>0.29396559373754505</v>
          </cell>
          <cell r="AG15">
            <v>0.30467528324594173</v>
          </cell>
          <cell r="AH15">
            <v>0.29326362441016374</v>
          </cell>
          <cell r="AI15">
            <v>0.30616459115814892</v>
          </cell>
          <cell r="AJ15">
            <v>0.30348939584383461</v>
          </cell>
          <cell r="AK15">
            <v>0.29465172325169409</v>
          </cell>
          <cell r="AL15">
            <v>0.30348307888674858</v>
          </cell>
          <cell r="AM15">
            <v>0.30181596437873692</v>
          </cell>
          <cell r="AN15">
            <v>0.31284250886366916</v>
          </cell>
        </row>
        <row r="16">
          <cell r="A16" t="str">
            <v>VSD - Vacuum Pump - Free Stall - Idaho</v>
          </cell>
          <cell r="C16">
            <v>7.7583818411404444</v>
          </cell>
          <cell r="D16">
            <v>0.98500980630819668</v>
          </cell>
          <cell r="E16">
            <v>0.19700196126163935</v>
          </cell>
          <cell r="F16">
            <v>1.1820117675698361</v>
          </cell>
          <cell r="G16">
            <v>1.1583462696921227</v>
          </cell>
          <cell r="H16">
            <v>2.9761709086347143</v>
          </cell>
          <cell r="I16">
            <v>1334.6111722685866</v>
          </cell>
          <cell r="J16">
            <v>4.46748980249175</v>
          </cell>
          <cell r="K16">
            <v>9.8569892400367589</v>
          </cell>
          <cell r="L16">
            <v>2.5693274856626007</v>
          </cell>
          <cell r="M16">
            <v>5.4114713341954675E-2</v>
          </cell>
          <cell r="N16">
            <v>2.0411201305447282E-3</v>
          </cell>
          <cell r="O16">
            <v>2.6919996427208124E-3</v>
          </cell>
          <cell r="P16">
            <v>0.10059960763815991</v>
          </cell>
          <cell r="Q16">
            <v>9.3457668962497298E-2</v>
          </cell>
          <cell r="R16">
            <v>0.10677788963433102</v>
          </cell>
          <cell r="S16">
            <v>0.10212654338091277</v>
          </cell>
          <cell r="T16">
            <v>0.10116637811533338</v>
          </cell>
          <cell r="U16">
            <v>0.10240460705667193</v>
          </cell>
          <cell r="V16">
            <v>0.10260177416345492</v>
          </cell>
          <cell r="W16">
            <v>0.10634978614876728</v>
          </cell>
          <cell r="X16">
            <v>9.8274097598595872E-2</v>
          </cell>
          <cell r="Y16">
            <v>0.10599926765666495</v>
          </cell>
          <cell r="Z16">
            <v>9.5880880060078971E-2</v>
          </cell>
          <cell r="AA16">
            <v>0.10457236661953885</v>
          </cell>
          <cell r="AC16">
            <v>0.57008298451675066</v>
          </cell>
          <cell r="AD16">
            <v>0.50818207108539215</v>
          </cell>
          <cell r="AE16">
            <v>0.55377746527137151</v>
          </cell>
          <cell r="AF16">
            <v>0.53133605708510079</v>
          </cell>
          <cell r="AG16">
            <v>0.55069357482602954</v>
          </cell>
          <cell r="AH16">
            <v>0.53006726365297396</v>
          </cell>
          <cell r="AI16">
            <v>0.55338546466183225</v>
          </cell>
          <cell r="AJ16">
            <v>0.54855011059141889</v>
          </cell>
          <cell r="AK16">
            <v>0.53257622041871577</v>
          </cell>
          <cell r="AL16">
            <v>0.54853869283661238</v>
          </cell>
          <cell r="AM16">
            <v>0.54552542166383988</v>
          </cell>
          <cell r="AN16">
            <v>0.56545564749539801</v>
          </cell>
        </row>
        <row r="17">
          <cell r="A17" t="str">
            <v>VSD - Vacuum Pump - Free Stall - Montana</v>
          </cell>
          <cell r="C17">
            <v>7.7583818411404444</v>
          </cell>
          <cell r="D17">
            <v>0.98500980630819668</v>
          </cell>
          <cell r="E17">
            <v>0.19700196126163935</v>
          </cell>
          <cell r="F17">
            <v>1.1820117675698361</v>
          </cell>
          <cell r="G17">
            <v>1.1583462696921227</v>
          </cell>
          <cell r="H17">
            <v>2.9761709086347143</v>
          </cell>
          <cell r="I17">
            <v>1334.6111722685866</v>
          </cell>
          <cell r="J17">
            <v>4.46748980249175</v>
          </cell>
          <cell r="K17">
            <v>9.8569892400367589</v>
          </cell>
          <cell r="L17">
            <v>2.5693274856626007</v>
          </cell>
          <cell r="M17">
            <v>5.4114713341954675E-2</v>
          </cell>
          <cell r="N17">
            <v>2.0411201305447282E-3</v>
          </cell>
          <cell r="O17">
            <v>2.6919996427208124E-3</v>
          </cell>
          <cell r="P17">
            <v>0.10059960763815991</v>
          </cell>
          <cell r="Q17">
            <v>9.3457668962497298E-2</v>
          </cell>
          <cell r="R17">
            <v>0.10677788963433102</v>
          </cell>
          <cell r="S17">
            <v>0.10212654338091277</v>
          </cell>
          <cell r="T17">
            <v>0.10116637811533338</v>
          </cell>
          <cell r="U17">
            <v>0.10240460705667193</v>
          </cell>
          <cell r="V17">
            <v>0.10260177416345492</v>
          </cell>
          <cell r="W17">
            <v>0.10634978614876728</v>
          </cell>
          <cell r="X17">
            <v>9.8274097598595872E-2</v>
          </cell>
          <cell r="Y17">
            <v>0.10599926765666495</v>
          </cell>
          <cell r="Z17">
            <v>9.5880880060078971E-2</v>
          </cell>
          <cell r="AA17">
            <v>0.10457236661953885</v>
          </cell>
          <cell r="AC17">
            <v>0.57008298451675066</v>
          </cell>
          <cell r="AD17">
            <v>0.50818207108539215</v>
          </cell>
          <cell r="AE17">
            <v>0.55377746527137151</v>
          </cell>
          <cell r="AF17">
            <v>0.53133605708510079</v>
          </cell>
          <cell r="AG17">
            <v>0.55069357482602954</v>
          </cell>
          <cell r="AH17">
            <v>0.53006726365297396</v>
          </cell>
          <cell r="AI17">
            <v>0.55338546466183225</v>
          </cell>
          <cell r="AJ17">
            <v>0.54855011059141889</v>
          </cell>
          <cell r="AK17">
            <v>0.53257622041871577</v>
          </cell>
          <cell r="AL17">
            <v>0.54853869283661238</v>
          </cell>
          <cell r="AM17">
            <v>0.54552542166383988</v>
          </cell>
          <cell r="AN17">
            <v>0.56545564749539801</v>
          </cell>
        </row>
        <row r="18">
          <cell r="A18" t="str">
            <v>VSD - Vacuum Pump - Free Stall - Oregon</v>
          </cell>
          <cell r="C18">
            <v>7.7583818411404444</v>
          </cell>
          <cell r="D18">
            <v>0.98500980630819668</v>
          </cell>
          <cell r="E18">
            <v>0.19700196126163935</v>
          </cell>
          <cell r="F18">
            <v>1.1820117675698361</v>
          </cell>
          <cell r="G18">
            <v>1.1583462696921227</v>
          </cell>
          <cell r="H18">
            <v>2.9761709086347143</v>
          </cell>
          <cell r="I18">
            <v>1334.6111722685866</v>
          </cell>
          <cell r="J18">
            <v>4.46748980249175</v>
          </cell>
          <cell r="K18">
            <v>9.8569892400367589</v>
          </cell>
          <cell r="L18">
            <v>2.5693274856626007</v>
          </cell>
          <cell r="M18">
            <v>5.4114713341954675E-2</v>
          </cell>
          <cell r="N18">
            <v>2.0411201305447282E-3</v>
          </cell>
          <cell r="O18">
            <v>2.6919996427208124E-3</v>
          </cell>
          <cell r="P18">
            <v>0.10059960763815991</v>
          </cell>
          <cell r="Q18">
            <v>9.3457668962497298E-2</v>
          </cell>
          <cell r="R18">
            <v>0.10677788963433102</v>
          </cell>
          <cell r="S18">
            <v>0.10212654338091277</v>
          </cell>
          <cell r="T18">
            <v>0.10116637811533338</v>
          </cell>
          <cell r="U18">
            <v>0.10240460705667193</v>
          </cell>
          <cell r="V18">
            <v>0.10260177416345492</v>
          </cell>
          <cell r="W18">
            <v>0.10634978614876728</v>
          </cell>
          <cell r="X18">
            <v>9.8274097598595872E-2</v>
          </cell>
          <cell r="Y18">
            <v>0.10599926765666495</v>
          </cell>
          <cell r="Z18">
            <v>9.5880880060078971E-2</v>
          </cell>
          <cell r="AA18">
            <v>0.10457236661953885</v>
          </cell>
          <cell r="AC18">
            <v>0.57008298451675066</v>
          </cell>
          <cell r="AD18">
            <v>0.50818207108539215</v>
          </cell>
          <cell r="AE18">
            <v>0.55377746527137151</v>
          </cell>
          <cell r="AF18">
            <v>0.53133605708510079</v>
          </cell>
          <cell r="AG18">
            <v>0.55069357482602954</v>
          </cell>
          <cell r="AH18">
            <v>0.53006726365297396</v>
          </cell>
          <cell r="AI18">
            <v>0.55338546466183225</v>
          </cell>
          <cell r="AJ18">
            <v>0.54855011059141889</v>
          </cell>
          <cell r="AK18">
            <v>0.53257622041871577</v>
          </cell>
          <cell r="AL18">
            <v>0.54853869283661238</v>
          </cell>
          <cell r="AM18">
            <v>0.54552542166383988</v>
          </cell>
          <cell r="AN18">
            <v>0.56545564749539801</v>
          </cell>
        </row>
        <row r="19">
          <cell r="A19" t="str">
            <v>VSD - Vacuum Pump - Free Stall - Washington</v>
          </cell>
          <cell r="C19">
            <v>7.7583818411404444</v>
          </cell>
          <cell r="D19">
            <v>0.98500980630819668</v>
          </cell>
          <cell r="E19">
            <v>0.19700196126163935</v>
          </cell>
          <cell r="F19">
            <v>1.1820117675698361</v>
          </cell>
          <cell r="G19">
            <v>1.1583462696921227</v>
          </cell>
          <cell r="H19">
            <v>2.9761709086347143</v>
          </cell>
          <cell r="I19">
            <v>1334.6111722685866</v>
          </cell>
          <cell r="J19">
            <v>4.46748980249175</v>
          </cell>
          <cell r="K19">
            <v>9.8569892400367589</v>
          </cell>
          <cell r="L19">
            <v>2.5693274856626007</v>
          </cell>
          <cell r="M19">
            <v>5.4114713341954675E-2</v>
          </cell>
          <cell r="N19">
            <v>2.0411201305447282E-3</v>
          </cell>
          <cell r="O19">
            <v>2.6919996427208124E-3</v>
          </cell>
          <cell r="P19">
            <v>0.10059960763815991</v>
          </cell>
          <cell r="Q19">
            <v>9.3457668962497298E-2</v>
          </cell>
          <cell r="R19">
            <v>0.10677788963433102</v>
          </cell>
          <cell r="S19">
            <v>0.10212654338091277</v>
          </cell>
          <cell r="T19">
            <v>0.10116637811533338</v>
          </cell>
          <cell r="U19">
            <v>0.10240460705667193</v>
          </cell>
          <cell r="V19">
            <v>0.10260177416345492</v>
          </cell>
          <cell r="W19">
            <v>0.10634978614876728</v>
          </cell>
          <cell r="X19">
            <v>9.8274097598595872E-2</v>
          </cell>
          <cell r="Y19">
            <v>0.10599926765666495</v>
          </cell>
          <cell r="Z19">
            <v>9.5880880060078971E-2</v>
          </cell>
          <cell r="AA19">
            <v>0.10457236661953885</v>
          </cell>
          <cell r="AC19">
            <v>0.57008298451675066</v>
          </cell>
          <cell r="AD19">
            <v>0.50818207108539215</v>
          </cell>
          <cell r="AE19">
            <v>0.55377746527137151</v>
          </cell>
          <cell r="AF19">
            <v>0.53133605708510079</v>
          </cell>
          <cell r="AG19">
            <v>0.55069357482602954</v>
          </cell>
          <cell r="AH19">
            <v>0.53006726365297396</v>
          </cell>
          <cell r="AI19">
            <v>0.55338546466183225</v>
          </cell>
          <cell r="AJ19">
            <v>0.54855011059141889</v>
          </cell>
          <cell r="AK19">
            <v>0.53257622041871577</v>
          </cell>
          <cell r="AL19">
            <v>0.54853869283661238</v>
          </cell>
          <cell r="AM19">
            <v>0.54552542166383988</v>
          </cell>
          <cell r="AN19">
            <v>0.56545564749539801</v>
          </cell>
        </row>
        <row r="20">
          <cell r="A20" t="str">
            <v>Heat Recovery Refrigeration - Any - Idaho</v>
          </cell>
          <cell r="C20">
            <v>4.6922686084544551</v>
          </cell>
          <cell r="D20">
            <v>1.1288790013181331</v>
          </cell>
          <cell r="E20">
            <v>0.22577580026362665</v>
          </cell>
          <cell r="F20">
            <v>1.3546548015817597</v>
          </cell>
          <cell r="G20">
            <v>1.3275327532135117</v>
          </cell>
          <cell r="H20">
            <v>1.7999878858668359</v>
          </cell>
          <cell r="I20">
            <v>2529.0061273292936</v>
          </cell>
          <cell r="J20">
            <v>11.452713581116603</v>
          </cell>
          <cell r="K20">
            <v>21.665483700237171</v>
          </cell>
          <cell r="L20">
            <v>1.3558896241992286</v>
          </cell>
          <cell r="M20">
            <v>3.2728573543969811E-2</v>
          </cell>
          <cell r="N20">
            <v>1.2344692631461982E-3</v>
          </cell>
          <cell r="O20">
            <v>1.6281211309461274E-3</v>
          </cell>
          <cell r="P20">
            <v>6.0842633246056523E-2</v>
          </cell>
          <cell r="Q20">
            <v>5.6523189406154924E-2</v>
          </cell>
          <cell r="R20">
            <v>6.4579257616757979E-2</v>
          </cell>
          <cell r="S20">
            <v>6.1766123839784914E-2</v>
          </cell>
          <cell r="T20">
            <v>6.1185415977390731E-2</v>
          </cell>
          <cell r="U20">
            <v>6.1934296724753972E-2</v>
          </cell>
          <cell r="V20">
            <v>6.2053543372408225E-2</v>
          </cell>
          <cell r="W20">
            <v>6.4320340668918577E-2</v>
          </cell>
          <cell r="X20">
            <v>5.9436164992660009E-2</v>
          </cell>
          <cell r="Y20">
            <v>6.4108347117833864E-2</v>
          </cell>
          <cell r="Z20">
            <v>5.7988747250259383E-2</v>
          </cell>
          <cell r="AA20">
            <v>6.3245357504668129E-2</v>
          </cell>
          <cell r="AC20">
            <v>0.34478613546414044</v>
          </cell>
          <cell r="AD20">
            <v>0.3073484688377805</v>
          </cell>
          <cell r="AE20">
            <v>0.3349245589567903</v>
          </cell>
          <cell r="AF20">
            <v>0.32135199739458803</v>
          </cell>
          <cell r="AG20">
            <v>0.33305942230524543</v>
          </cell>
          <cell r="AH20">
            <v>0.32058463124606823</v>
          </cell>
          <cell r="AI20">
            <v>0.33468747702497786</v>
          </cell>
          <cell r="AJ20">
            <v>0.33176305533757766</v>
          </cell>
          <cell r="AK20">
            <v>0.32210204806221826</v>
          </cell>
          <cell r="AL20">
            <v>0.33175614988054358</v>
          </cell>
          <cell r="AM20">
            <v>0.32993372375841262</v>
          </cell>
          <cell r="AN20">
            <v>0.34198752246846448</v>
          </cell>
        </row>
        <row r="21">
          <cell r="A21" t="str">
            <v>Heat Recovery Refrigeration - Any - Montana</v>
          </cell>
          <cell r="C21">
            <v>4.6922686084544551</v>
          </cell>
          <cell r="D21">
            <v>1.1288790013181331</v>
          </cell>
          <cell r="E21">
            <v>0.22577580026362665</v>
          </cell>
          <cell r="F21">
            <v>1.3546548015817597</v>
          </cell>
          <cell r="G21">
            <v>1.3275327532135117</v>
          </cell>
          <cell r="H21">
            <v>1.7999878858668359</v>
          </cell>
          <cell r="I21">
            <v>2529.0061273292936</v>
          </cell>
          <cell r="J21">
            <v>11.452713581116603</v>
          </cell>
          <cell r="K21">
            <v>21.665483700237171</v>
          </cell>
          <cell r="L21">
            <v>1.3558896241992286</v>
          </cell>
          <cell r="M21">
            <v>3.2728573543969811E-2</v>
          </cell>
          <cell r="N21">
            <v>1.2344692631461982E-3</v>
          </cell>
          <cell r="O21">
            <v>1.6281211309461274E-3</v>
          </cell>
          <cell r="P21">
            <v>6.0842633246056523E-2</v>
          </cell>
          <cell r="Q21">
            <v>5.6523189406154924E-2</v>
          </cell>
          <cell r="R21">
            <v>6.4579257616757979E-2</v>
          </cell>
          <cell r="S21">
            <v>6.1766123839784914E-2</v>
          </cell>
          <cell r="T21">
            <v>6.1185415977390731E-2</v>
          </cell>
          <cell r="U21">
            <v>6.1934296724753972E-2</v>
          </cell>
          <cell r="V21">
            <v>6.2053543372408225E-2</v>
          </cell>
          <cell r="W21">
            <v>6.4320340668918577E-2</v>
          </cell>
          <cell r="X21">
            <v>5.9436164992660009E-2</v>
          </cell>
          <cell r="Y21">
            <v>6.4108347117833864E-2</v>
          </cell>
          <cell r="Z21">
            <v>5.7988747250259383E-2</v>
          </cell>
          <cell r="AA21">
            <v>6.3245357504668129E-2</v>
          </cell>
          <cell r="AC21">
            <v>0.34478613546414044</v>
          </cell>
          <cell r="AD21">
            <v>0.3073484688377805</v>
          </cell>
          <cell r="AE21">
            <v>0.3349245589567903</v>
          </cell>
          <cell r="AF21">
            <v>0.32135199739458803</v>
          </cell>
          <cell r="AG21">
            <v>0.33305942230524543</v>
          </cell>
          <cell r="AH21">
            <v>0.32058463124606823</v>
          </cell>
          <cell r="AI21">
            <v>0.33468747702497786</v>
          </cell>
          <cell r="AJ21">
            <v>0.33176305533757766</v>
          </cell>
          <cell r="AK21">
            <v>0.32210204806221826</v>
          </cell>
          <cell r="AL21">
            <v>0.33175614988054358</v>
          </cell>
          <cell r="AM21">
            <v>0.32993372375841262</v>
          </cell>
          <cell r="AN21">
            <v>0.34198752246846448</v>
          </cell>
        </row>
        <row r="22">
          <cell r="A22" t="str">
            <v>Heat Recovery Refrigeration - Any - Oregon</v>
          </cell>
          <cell r="C22">
            <v>4.6922686084544551</v>
          </cell>
          <cell r="D22">
            <v>1.1288790013181331</v>
          </cell>
          <cell r="E22">
            <v>0.22577580026362665</v>
          </cell>
          <cell r="F22">
            <v>1.3546548015817597</v>
          </cell>
          <cell r="G22">
            <v>1.3275327532135117</v>
          </cell>
          <cell r="H22">
            <v>1.7999878858668359</v>
          </cell>
          <cell r="I22">
            <v>2529.0061273292936</v>
          </cell>
          <cell r="J22">
            <v>11.452713581116603</v>
          </cell>
          <cell r="K22">
            <v>21.665483700237171</v>
          </cell>
          <cell r="L22">
            <v>1.3558896241992286</v>
          </cell>
          <cell r="M22">
            <v>3.2728573543969811E-2</v>
          </cell>
          <cell r="N22">
            <v>1.2344692631461982E-3</v>
          </cell>
          <cell r="O22">
            <v>1.6281211309461274E-3</v>
          </cell>
          <cell r="P22">
            <v>6.0842633246056523E-2</v>
          </cell>
          <cell r="Q22">
            <v>5.6523189406154924E-2</v>
          </cell>
          <cell r="R22">
            <v>6.4579257616757979E-2</v>
          </cell>
          <cell r="S22">
            <v>6.1766123839784914E-2</v>
          </cell>
          <cell r="T22">
            <v>6.1185415977390731E-2</v>
          </cell>
          <cell r="U22">
            <v>6.1934296724753972E-2</v>
          </cell>
          <cell r="V22">
            <v>6.2053543372408225E-2</v>
          </cell>
          <cell r="W22">
            <v>6.4320340668918577E-2</v>
          </cell>
          <cell r="X22">
            <v>5.9436164992660009E-2</v>
          </cell>
          <cell r="Y22">
            <v>6.4108347117833864E-2</v>
          </cell>
          <cell r="Z22">
            <v>5.7988747250259383E-2</v>
          </cell>
          <cell r="AA22">
            <v>6.3245357504668129E-2</v>
          </cell>
          <cell r="AC22">
            <v>0.34478613546414044</v>
          </cell>
          <cell r="AD22">
            <v>0.3073484688377805</v>
          </cell>
          <cell r="AE22">
            <v>0.3349245589567903</v>
          </cell>
          <cell r="AF22">
            <v>0.32135199739458803</v>
          </cell>
          <cell r="AG22">
            <v>0.33305942230524543</v>
          </cell>
          <cell r="AH22">
            <v>0.32058463124606823</v>
          </cell>
          <cell r="AI22">
            <v>0.33468747702497786</v>
          </cell>
          <cell r="AJ22">
            <v>0.33176305533757766</v>
          </cell>
          <cell r="AK22">
            <v>0.32210204806221826</v>
          </cell>
          <cell r="AL22">
            <v>0.33175614988054358</v>
          </cell>
          <cell r="AM22">
            <v>0.32993372375841262</v>
          </cell>
          <cell r="AN22">
            <v>0.34198752246846448</v>
          </cell>
        </row>
        <row r="23">
          <cell r="A23" t="str">
            <v>Heat Recovery Refrigeration - Any - Washington</v>
          </cell>
          <cell r="C23">
            <v>4.6922686084544551</v>
          </cell>
          <cell r="D23">
            <v>1.1288790013181331</v>
          </cell>
          <cell r="E23">
            <v>0.22577580026362665</v>
          </cell>
          <cell r="F23">
            <v>1.3546548015817597</v>
          </cell>
          <cell r="G23">
            <v>1.3275327532135117</v>
          </cell>
          <cell r="H23">
            <v>1.7999878858668359</v>
          </cell>
          <cell r="I23">
            <v>2529.0061273292936</v>
          </cell>
          <cell r="J23">
            <v>11.452713581116603</v>
          </cell>
          <cell r="K23">
            <v>21.665483700237171</v>
          </cell>
          <cell r="L23">
            <v>1.3558896241992286</v>
          </cell>
          <cell r="M23">
            <v>3.2728573543969811E-2</v>
          </cell>
          <cell r="N23">
            <v>1.2344692631461982E-3</v>
          </cell>
          <cell r="O23">
            <v>1.6281211309461274E-3</v>
          </cell>
          <cell r="P23">
            <v>6.0842633246056523E-2</v>
          </cell>
          <cell r="Q23">
            <v>5.6523189406154924E-2</v>
          </cell>
          <cell r="R23">
            <v>6.4579257616757979E-2</v>
          </cell>
          <cell r="S23">
            <v>6.1766123839784914E-2</v>
          </cell>
          <cell r="T23">
            <v>6.1185415977390731E-2</v>
          </cell>
          <cell r="U23">
            <v>6.1934296724753972E-2</v>
          </cell>
          <cell r="V23">
            <v>6.2053543372408225E-2</v>
          </cell>
          <cell r="W23">
            <v>6.4320340668918577E-2</v>
          </cell>
          <cell r="X23">
            <v>5.9436164992660009E-2</v>
          </cell>
          <cell r="Y23">
            <v>6.4108347117833864E-2</v>
          </cell>
          <cell r="Z23">
            <v>5.7988747250259383E-2</v>
          </cell>
          <cell r="AA23">
            <v>6.3245357504668129E-2</v>
          </cell>
          <cell r="AC23">
            <v>0.34478613546414044</v>
          </cell>
          <cell r="AD23">
            <v>0.3073484688377805</v>
          </cell>
          <cell r="AE23">
            <v>0.3349245589567903</v>
          </cell>
          <cell r="AF23">
            <v>0.32135199739458803</v>
          </cell>
          <cell r="AG23">
            <v>0.33305942230524543</v>
          </cell>
          <cell r="AH23">
            <v>0.32058463124606823</v>
          </cell>
          <cell r="AI23">
            <v>0.33468747702497786</v>
          </cell>
          <cell r="AJ23">
            <v>0.33176305533757766</v>
          </cell>
          <cell r="AK23">
            <v>0.32210204806221826</v>
          </cell>
          <cell r="AL23">
            <v>0.33175614988054358</v>
          </cell>
          <cell r="AM23">
            <v>0.32993372375841262</v>
          </cell>
          <cell r="AN23">
            <v>0.34198752246846448</v>
          </cell>
        </row>
        <row r="24">
          <cell r="A24" t="str">
            <v>Compressor Upgrade - Any - Idaho</v>
          </cell>
          <cell r="C24">
            <v>1.5967022955501915</v>
          </cell>
          <cell r="D24">
            <v>0.4287945249775944</v>
          </cell>
          <cell r="E24">
            <v>8.5758904995518886E-2</v>
          </cell>
          <cell r="F24">
            <v>0.51455342997311326</v>
          </cell>
          <cell r="G24">
            <v>0.50425136408925619</v>
          </cell>
          <cell r="H24">
            <v>0.6125064503229205</v>
          </cell>
          <cell r="I24">
            <v>2822.9984131207643</v>
          </cell>
          <cell r="J24">
            <v>13.172079438065072</v>
          </cell>
          <cell r="K24">
            <v>24.572065198594089</v>
          </cell>
          <cell r="L24">
            <v>1.2146847662557883</v>
          </cell>
          <cell r="M24">
            <v>1.1136998511462574E-2</v>
          </cell>
          <cell r="N24">
            <v>4.2006970843489806E-4</v>
          </cell>
          <cell r="O24">
            <v>5.5402300339999562E-4</v>
          </cell>
          <cell r="P24">
            <v>2.0703753403259542E-2</v>
          </cell>
          <cell r="Q24">
            <v>1.9233917281294071E-2</v>
          </cell>
          <cell r="R24">
            <v>2.1975265588124206E-2</v>
          </cell>
          <cell r="S24">
            <v>2.1018002154549766E-2</v>
          </cell>
          <cell r="T24">
            <v>2.0820396762723264E-2</v>
          </cell>
          <cell r="U24">
            <v>2.1075228637917658E-2</v>
          </cell>
          <cell r="V24">
            <v>2.1115806322601596E-2</v>
          </cell>
          <cell r="W24">
            <v>2.1887160383697687E-2</v>
          </cell>
          <cell r="X24">
            <v>2.0225155250380912E-2</v>
          </cell>
          <cell r="Y24">
            <v>2.1815022444056104E-2</v>
          </cell>
          <cell r="Z24">
            <v>1.973262265585999E-2</v>
          </cell>
          <cell r="AA24">
            <v>2.1521361187346509E-2</v>
          </cell>
          <cell r="AC24">
            <v>0.11732508513633526</v>
          </cell>
          <cell r="AD24">
            <v>0.10458565923589835</v>
          </cell>
          <cell r="AE24">
            <v>0.1139693518736105</v>
          </cell>
          <cell r="AF24">
            <v>0.10935083106603832</v>
          </cell>
          <cell r="AG24">
            <v>0.11333467636341685</v>
          </cell>
          <cell r="AH24">
            <v>0.10908970891104032</v>
          </cell>
          <cell r="AI24">
            <v>0.11388867676816654</v>
          </cell>
          <cell r="AJ24">
            <v>0.11289354387807254</v>
          </cell>
          <cell r="AK24">
            <v>0.10960606104597305</v>
          </cell>
          <cell r="AL24">
            <v>0.11289119406393823</v>
          </cell>
          <cell r="AM24">
            <v>0.11227105224864782</v>
          </cell>
          <cell r="AN24">
            <v>0.11637276288724212</v>
          </cell>
        </row>
        <row r="25">
          <cell r="A25" t="str">
            <v>Compressor Upgrade - Any - Montana</v>
          </cell>
          <cell r="C25">
            <v>1.5967022955501915</v>
          </cell>
          <cell r="D25">
            <v>0.4287945249775944</v>
          </cell>
          <cell r="E25">
            <v>8.5758904995518886E-2</v>
          </cell>
          <cell r="F25">
            <v>0.51455342997311326</v>
          </cell>
          <cell r="G25">
            <v>0.50425136408925619</v>
          </cell>
          <cell r="H25">
            <v>0.6125064503229205</v>
          </cell>
          <cell r="I25">
            <v>2822.9984131207643</v>
          </cell>
          <cell r="J25">
            <v>13.172079438065072</v>
          </cell>
          <cell r="K25">
            <v>24.572065198594089</v>
          </cell>
          <cell r="L25">
            <v>1.2146847662557883</v>
          </cell>
          <cell r="M25">
            <v>1.1136998511462574E-2</v>
          </cell>
          <cell r="N25">
            <v>4.2006970843489806E-4</v>
          </cell>
          <cell r="O25">
            <v>5.5402300339999562E-4</v>
          </cell>
          <cell r="P25">
            <v>2.0703753403259542E-2</v>
          </cell>
          <cell r="Q25">
            <v>1.9233917281294071E-2</v>
          </cell>
          <cell r="R25">
            <v>2.1975265588124206E-2</v>
          </cell>
          <cell r="S25">
            <v>2.1018002154549766E-2</v>
          </cell>
          <cell r="T25">
            <v>2.0820396762723264E-2</v>
          </cell>
          <cell r="U25">
            <v>2.1075228637917658E-2</v>
          </cell>
          <cell r="V25">
            <v>2.1115806322601596E-2</v>
          </cell>
          <cell r="W25">
            <v>2.1887160383697687E-2</v>
          </cell>
          <cell r="X25">
            <v>2.0225155250380912E-2</v>
          </cell>
          <cell r="Y25">
            <v>2.1815022444056104E-2</v>
          </cell>
          <cell r="Z25">
            <v>1.973262265585999E-2</v>
          </cell>
          <cell r="AA25">
            <v>2.1521361187346509E-2</v>
          </cell>
          <cell r="AC25">
            <v>0.11732508513633526</v>
          </cell>
          <cell r="AD25">
            <v>0.10458565923589835</v>
          </cell>
          <cell r="AE25">
            <v>0.1139693518736105</v>
          </cell>
          <cell r="AF25">
            <v>0.10935083106603832</v>
          </cell>
          <cell r="AG25">
            <v>0.11333467636341685</v>
          </cell>
          <cell r="AH25">
            <v>0.10908970891104032</v>
          </cell>
          <cell r="AI25">
            <v>0.11388867676816654</v>
          </cell>
          <cell r="AJ25">
            <v>0.11289354387807254</v>
          </cell>
          <cell r="AK25">
            <v>0.10960606104597305</v>
          </cell>
          <cell r="AL25">
            <v>0.11289119406393823</v>
          </cell>
          <cell r="AM25">
            <v>0.11227105224864782</v>
          </cell>
          <cell r="AN25">
            <v>0.11637276288724212</v>
          </cell>
        </row>
        <row r="26">
          <cell r="A26" t="str">
            <v>Compressor Upgrade - Any - Oregon</v>
          </cell>
          <cell r="C26">
            <v>1.5967022955501915</v>
          </cell>
          <cell r="D26">
            <v>0.4287945249775944</v>
          </cell>
          <cell r="E26">
            <v>8.5758904995518886E-2</v>
          </cell>
          <cell r="F26">
            <v>0.51455342997311326</v>
          </cell>
          <cell r="G26">
            <v>0.50425136408925619</v>
          </cell>
          <cell r="H26">
            <v>0.6125064503229205</v>
          </cell>
          <cell r="I26">
            <v>2822.9984131207643</v>
          </cell>
          <cell r="J26">
            <v>13.172079438065072</v>
          </cell>
          <cell r="K26">
            <v>24.572065198594089</v>
          </cell>
          <cell r="L26">
            <v>1.2146847662557883</v>
          </cell>
          <cell r="M26">
            <v>1.1136998511462574E-2</v>
          </cell>
          <cell r="N26">
            <v>4.2006970843489806E-4</v>
          </cell>
          <cell r="O26">
            <v>5.5402300339999562E-4</v>
          </cell>
          <cell r="P26">
            <v>2.0703753403259542E-2</v>
          </cell>
          <cell r="Q26">
            <v>1.9233917281294071E-2</v>
          </cell>
          <cell r="R26">
            <v>2.1975265588124206E-2</v>
          </cell>
          <cell r="S26">
            <v>2.1018002154549766E-2</v>
          </cell>
          <cell r="T26">
            <v>2.0820396762723264E-2</v>
          </cell>
          <cell r="U26">
            <v>2.1075228637917658E-2</v>
          </cell>
          <cell r="V26">
            <v>2.1115806322601596E-2</v>
          </cell>
          <cell r="W26">
            <v>2.1887160383697687E-2</v>
          </cell>
          <cell r="X26">
            <v>2.0225155250380912E-2</v>
          </cell>
          <cell r="Y26">
            <v>2.1815022444056104E-2</v>
          </cell>
          <cell r="Z26">
            <v>1.973262265585999E-2</v>
          </cell>
          <cell r="AA26">
            <v>2.1521361187346509E-2</v>
          </cell>
          <cell r="AC26">
            <v>0.11732508513633526</v>
          </cell>
          <cell r="AD26">
            <v>0.10458565923589835</v>
          </cell>
          <cell r="AE26">
            <v>0.1139693518736105</v>
          </cell>
          <cell r="AF26">
            <v>0.10935083106603832</v>
          </cell>
          <cell r="AG26">
            <v>0.11333467636341685</v>
          </cell>
          <cell r="AH26">
            <v>0.10908970891104032</v>
          </cell>
          <cell r="AI26">
            <v>0.11388867676816654</v>
          </cell>
          <cell r="AJ26">
            <v>0.11289354387807254</v>
          </cell>
          <cell r="AK26">
            <v>0.10960606104597305</v>
          </cell>
          <cell r="AL26">
            <v>0.11289119406393823</v>
          </cell>
          <cell r="AM26">
            <v>0.11227105224864782</v>
          </cell>
          <cell r="AN26">
            <v>0.11637276288724212</v>
          </cell>
        </row>
        <row r="27">
          <cell r="A27" t="str">
            <v>Compressor Upgrade - Any - Washington</v>
          </cell>
          <cell r="C27">
            <v>1.5967022955501915</v>
          </cell>
          <cell r="D27">
            <v>0.4287945249775944</v>
          </cell>
          <cell r="E27">
            <v>8.5758904995518886E-2</v>
          </cell>
          <cell r="F27">
            <v>0.51455342997311326</v>
          </cell>
          <cell r="G27">
            <v>0.50425136408925619</v>
          </cell>
          <cell r="H27">
            <v>0.6125064503229205</v>
          </cell>
          <cell r="I27">
            <v>2822.9984131207643</v>
          </cell>
          <cell r="J27">
            <v>13.172079438065072</v>
          </cell>
          <cell r="K27">
            <v>24.572065198594089</v>
          </cell>
          <cell r="L27">
            <v>1.2146847662557883</v>
          </cell>
          <cell r="M27">
            <v>1.1136998511462574E-2</v>
          </cell>
          <cell r="N27">
            <v>4.2006970843489806E-4</v>
          </cell>
          <cell r="O27">
            <v>5.5402300339999562E-4</v>
          </cell>
          <cell r="P27">
            <v>2.0703753403259542E-2</v>
          </cell>
          <cell r="Q27">
            <v>1.9233917281294071E-2</v>
          </cell>
          <cell r="R27">
            <v>2.1975265588124206E-2</v>
          </cell>
          <cell r="S27">
            <v>2.1018002154549766E-2</v>
          </cell>
          <cell r="T27">
            <v>2.0820396762723264E-2</v>
          </cell>
          <cell r="U27">
            <v>2.1075228637917658E-2</v>
          </cell>
          <cell r="V27">
            <v>2.1115806322601596E-2</v>
          </cell>
          <cell r="W27">
            <v>2.1887160383697687E-2</v>
          </cell>
          <cell r="X27">
            <v>2.0225155250380912E-2</v>
          </cell>
          <cell r="Y27">
            <v>2.1815022444056104E-2</v>
          </cell>
          <cell r="Z27">
            <v>1.973262265585999E-2</v>
          </cell>
          <cell r="AA27">
            <v>2.1521361187346509E-2</v>
          </cell>
          <cell r="AC27">
            <v>0.11732508513633526</v>
          </cell>
          <cell r="AD27">
            <v>0.10458565923589835</v>
          </cell>
          <cell r="AE27">
            <v>0.1139693518736105</v>
          </cell>
          <cell r="AF27">
            <v>0.10935083106603832</v>
          </cell>
          <cell r="AG27">
            <v>0.11333467636341685</v>
          </cell>
          <cell r="AH27">
            <v>0.10908970891104032</v>
          </cell>
          <cell r="AI27">
            <v>0.11388867676816654</v>
          </cell>
          <cell r="AJ27">
            <v>0.11289354387807254</v>
          </cell>
          <cell r="AK27">
            <v>0.10960606104597305</v>
          </cell>
          <cell r="AL27">
            <v>0.11289119406393823</v>
          </cell>
          <cell r="AM27">
            <v>0.11227105224864782</v>
          </cell>
          <cell r="AN27">
            <v>0.11637276288724212</v>
          </cell>
        </row>
        <row r="28">
          <cell r="A28" t="str">
            <v>Energy Efficient Lighting - Tie Stall - Idaho</v>
          </cell>
          <cell r="C28">
            <v>3.9475360892489828</v>
          </cell>
          <cell r="D28">
            <v>0.60327114126057368</v>
          </cell>
          <cell r="E28">
            <v>0.12065422825211475</v>
          </cell>
          <cell r="F28">
            <v>0.72392536951268838</v>
          </cell>
          <cell r="G28">
            <v>0.70943139003983768</v>
          </cell>
          <cell r="H28">
            <v>0.72004133577609797</v>
          </cell>
          <cell r="I28">
            <v>1606.4669438240994</v>
          </cell>
          <cell r="J28">
            <v>14.074288818848681</v>
          </cell>
          <cell r="K28">
            <v>24.864848697095287</v>
          </cell>
          <cell r="L28">
            <v>1.014955562842609</v>
          </cell>
          <cell r="M28">
            <v>1.4684834252006224E-2</v>
          </cell>
          <cell r="N28">
            <v>4.7832488178107553E-4</v>
          </cell>
          <cell r="O28">
            <v>6.3728805687767484E-4</v>
          </cell>
          <cell r="P28">
            <v>5.0122149914238592E-2</v>
          </cell>
          <cell r="Q28">
            <v>4.6094261430059999E-2</v>
          </cell>
          <cell r="R28">
            <v>5.3258299540738095E-2</v>
          </cell>
          <cell r="S28">
            <v>4.3335432233456636E-2</v>
          </cell>
          <cell r="T28">
            <v>4.1861722333629912E-2</v>
          </cell>
          <cell r="U28">
            <v>4.1468319818786958E-2</v>
          </cell>
          <cell r="V28">
            <v>4.0753798373216479E-2</v>
          </cell>
          <cell r="W28">
            <v>4.1909324241292477E-2</v>
          </cell>
          <cell r="X28">
            <v>4.0903900388023939E-2</v>
          </cell>
          <cell r="Y28">
            <v>4.4863422059176629E-2</v>
          </cell>
          <cell r="Z28">
            <v>4.6677194226620436E-2</v>
          </cell>
          <cell r="AA28">
            <v>5.1691832948156588E-2</v>
          </cell>
          <cell r="AC28">
            <v>0.29528115417650624</v>
          </cell>
          <cell r="AD28">
            <v>0.26193019971890291</v>
          </cell>
          <cell r="AE28">
            <v>0.28804865649182454</v>
          </cell>
          <cell r="AF28">
            <v>0.28353183442288904</v>
          </cell>
          <cell r="AG28">
            <v>0.29036079260821668</v>
          </cell>
          <cell r="AH28">
            <v>0.27807249881250473</v>
          </cell>
          <cell r="AI28">
            <v>0.28293373037580666</v>
          </cell>
          <cell r="AJ28">
            <v>0.28349568700431749</v>
          </cell>
          <cell r="AK28">
            <v>0.27937574596249626</v>
          </cell>
          <cell r="AL28">
            <v>0.29150603340544268</v>
          </cell>
          <cell r="AM28">
            <v>0.27886428138041053</v>
          </cell>
          <cell r="AN28">
            <v>0.29119581738226946</v>
          </cell>
        </row>
        <row r="29">
          <cell r="A29" t="str">
            <v>Energy Efficient Lighting - Tie Stall - Montana</v>
          </cell>
          <cell r="C29">
            <v>3.9475360892489828</v>
          </cell>
          <cell r="D29">
            <v>0.60327114126057368</v>
          </cell>
          <cell r="E29">
            <v>0.12065422825211475</v>
          </cell>
          <cell r="F29">
            <v>0.72392536951268838</v>
          </cell>
          <cell r="G29">
            <v>0.70943139003983768</v>
          </cell>
          <cell r="H29">
            <v>0.72004133577609797</v>
          </cell>
          <cell r="I29">
            <v>1606.4669438240994</v>
          </cell>
          <cell r="J29">
            <v>14.074288818848681</v>
          </cell>
          <cell r="K29">
            <v>24.864848697095287</v>
          </cell>
          <cell r="L29">
            <v>1.014955562842609</v>
          </cell>
          <cell r="M29">
            <v>1.4684834252006224E-2</v>
          </cell>
          <cell r="N29">
            <v>4.7832488178107553E-4</v>
          </cell>
          <cell r="O29">
            <v>6.3728805687767484E-4</v>
          </cell>
          <cell r="P29">
            <v>5.0122149914238592E-2</v>
          </cell>
          <cell r="Q29">
            <v>4.6094261430059999E-2</v>
          </cell>
          <cell r="R29">
            <v>5.3258299540738095E-2</v>
          </cell>
          <cell r="S29">
            <v>4.3335432233456636E-2</v>
          </cell>
          <cell r="T29">
            <v>4.1861722333629912E-2</v>
          </cell>
          <cell r="U29">
            <v>4.1468319818786958E-2</v>
          </cell>
          <cell r="V29">
            <v>4.0753798373216479E-2</v>
          </cell>
          <cell r="W29">
            <v>4.1909324241292477E-2</v>
          </cell>
          <cell r="X29">
            <v>4.0903900388023939E-2</v>
          </cell>
          <cell r="Y29">
            <v>4.4863422059176629E-2</v>
          </cell>
          <cell r="Z29">
            <v>4.6677194226620436E-2</v>
          </cell>
          <cell r="AA29">
            <v>5.1691832948156588E-2</v>
          </cell>
          <cell r="AC29">
            <v>0.29528115417650624</v>
          </cell>
          <cell r="AD29">
            <v>0.26193019971890291</v>
          </cell>
          <cell r="AE29">
            <v>0.28804865649182454</v>
          </cell>
          <cell r="AF29">
            <v>0.28353183442288904</v>
          </cell>
          <cell r="AG29">
            <v>0.29036079260821668</v>
          </cell>
          <cell r="AH29">
            <v>0.27807249881250473</v>
          </cell>
          <cell r="AI29">
            <v>0.28293373037580666</v>
          </cell>
          <cell r="AJ29">
            <v>0.28349568700431749</v>
          </cell>
          <cell r="AK29">
            <v>0.27937574596249626</v>
          </cell>
          <cell r="AL29">
            <v>0.29150603340544268</v>
          </cell>
          <cell r="AM29">
            <v>0.27886428138041053</v>
          </cell>
          <cell r="AN29">
            <v>0.29119581738226946</v>
          </cell>
        </row>
        <row r="30">
          <cell r="A30" t="str">
            <v>Energy Efficient Lighting - Tie Stall - Oregon</v>
          </cell>
          <cell r="C30">
            <v>3.9475360892489828</v>
          </cell>
          <cell r="D30">
            <v>0.60327114126057368</v>
          </cell>
          <cell r="E30">
            <v>0.12065422825211475</v>
          </cell>
          <cell r="F30">
            <v>0.72392536951268838</v>
          </cell>
          <cell r="G30">
            <v>0.70943139003983768</v>
          </cell>
          <cell r="H30">
            <v>0.72004133577609797</v>
          </cell>
          <cell r="I30">
            <v>1606.4669438240994</v>
          </cell>
          <cell r="J30">
            <v>14.074288818848681</v>
          </cell>
          <cell r="K30">
            <v>24.864848697095287</v>
          </cell>
          <cell r="L30">
            <v>1.014955562842609</v>
          </cell>
          <cell r="M30">
            <v>1.4684834252006224E-2</v>
          </cell>
          <cell r="N30">
            <v>4.7832488178107553E-4</v>
          </cell>
          <cell r="O30">
            <v>6.3728805687767484E-4</v>
          </cell>
          <cell r="P30">
            <v>5.0122149914238592E-2</v>
          </cell>
          <cell r="Q30">
            <v>4.6094261430059999E-2</v>
          </cell>
          <cell r="R30">
            <v>5.3258299540738095E-2</v>
          </cell>
          <cell r="S30">
            <v>4.3335432233456636E-2</v>
          </cell>
          <cell r="T30">
            <v>4.1861722333629912E-2</v>
          </cell>
          <cell r="U30">
            <v>4.1468319818786958E-2</v>
          </cell>
          <cell r="V30">
            <v>4.0753798373216479E-2</v>
          </cell>
          <cell r="W30">
            <v>4.1909324241292477E-2</v>
          </cell>
          <cell r="X30">
            <v>4.0903900388023939E-2</v>
          </cell>
          <cell r="Y30">
            <v>4.4863422059176629E-2</v>
          </cell>
          <cell r="Z30">
            <v>4.6677194226620436E-2</v>
          </cell>
          <cell r="AA30">
            <v>5.1691832948156588E-2</v>
          </cell>
          <cell r="AC30">
            <v>0.29528115417650624</v>
          </cell>
          <cell r="AD30">
            <v>0.26193019971890291</v>
          </cell>
          <cell r="AE30">
            <v>0.28804865649182454</v>
          </cell>
          <cell r="AF30">
            <v>0.28353183442288904</v>
          </cell>
          <cell r="AG30">
            <v>0.29036079260821668</v>
          </cell>
          <cell r="AH30">
            <v>0.27807249881250473</v>
          </cell>
          <cell r="AI30">
            <v>0.28293373037580666</v>
          </cell>
          <cell r="AJ30">
            <v>0.28349568700431749</v>
          </cell>
          <cell r="AK30">
            <v>0.27937574596249626</v>
          </cell>
          <cell r="AL30">
            <v>0.29150603340544268</v>
          </cell>
          <cell r="AM30">
            <v>0.27886428138041053</v>
          </cell>
          <cell r="AN30">
            <v>0.29119581738226946</v>
          </cell>
        </row>
        <row r="31">
          <cell r="A31" t="str">
            <v>Energy Efficient Lighting - Tie Stall - Washington</v>
          </cell>
          <cell r="C31">
            <v>3.9475360892489828</v>
          </cell>
          <cell r="D31">
            <v>0.60327114126057368</v>
          </cell>
          <cell r="E31">
            <v>0.12065422825211475</v>
          </cell>
          <cell r="F31">
            <v>0.72392536951268838</v>
          </cell>
          <cell r="G31">
            <v>0.70943139003983768</v>
          </cell>
          <cell r="H31">
            <v>0.72004133577609797</v>
          </cell>
          <cell r="I31">
            <v>1606.4669438240994</v>
          </cell>
          <cell r="J31">
            <v>14.074288818848681</v>
          </cell>
          <cell r="K31">
            <v>24.864848697095287</v>
          </cell>
          <cell r="L31">
            <v>1.014955562842609</v>
          </cell>
          <cell r="M31">
            <v>1.4684834252006224E-2</v>
          </cell>
          <cell r="N31">
            <v>4.7832488178107553E-4</v>
          </cell>
          <cell r="O31">
            <v>6.3728805687767484E-4</v>
          </cell>
          <cell r="P31">
            <v>5.0122149914238592E-2</v>
          </cell>
          <cell r="Q31">
            <v>4.6094261430059999E-2</v>
          </cell>
          <cell r="R31">
            <v>5.3258299540738095E-2</v>
          </cell>
          <cell r="S31">
            <v>4.3335432233456636E-2</v>
          </cell>
          <cell r="T31">
            <v>4.1861722333629912E-2</v>
          </cell>
          <cell r="U31">
            <v>4.1468319818786958E-2</v>
          </cell>
          <cell r="V31">
            <v>4.0753798373216479E-2</v>
          </cell>
          <cell r="W31">
            <v>4.1909324241292477E-2</v>
          </cell>
          <cell r="X31">
            <v>4.0903900388023939E-2</v>
          </cell>
          <cell r="Y31">
            <v>4.4863422059176629E-2</v>
          </cell>
          <cell r="Z31">
            <v>4.6677194226620436E-2</v>
          </cell>
          <cell r="AA31">
            <v>5.1691832948156588E-2</v>
          </cell>
          <cell r="AC31">
            <v>0.29528115417650624</v>
          </cell>
          <cell r="AD31">
            <v>0.26193019971890291</v>
          </cell>
          <cell r="AE31">
            <v>0.28804865649182454</v>
          </cell>
          <cell r="AF31">
            <v>0.28353183442288904</v>
          </cell>
          <cell r="AG31">
            <v>0.29036079260821668</v>
          </cell>
          <cell r="AH31">
            <v>0.27807249881250473</v>
          </cell>
          <cell r="AI31">
            <v>0.28293373037580666</v>
          </cell>
          <cell r="AJ31">
            <v>0.28349568700431749</v>
          </cell>
          <cell r="AK31">
            <v>0.27937574596249626</v>
          </cell>
          <cell r="AL31">
            <v>0.29150603340544268</v>
          </cell>
          <cell r="AM31">
            <v>0.27886428138041053</v>
          </cell>
          <cell r="AN31">
            <v>0.29119581738226946</v>
          </cell>
        </row>
        <row r="32">
          <cell r="A32" t="str">
            <v>Energy Efficient Lighting - Free Stall - Idaho</v>
          </cell>
          <cell r="C32">
            <v>1.9214689852816038</v>
          </cell>
          <cell r="D32">
            <v>0.30844890531308222</v>
          </cell>
          <cell r="E32">
            <v>6.1689781062616446E-2</v>
          </cell>
          <cell r="F32">
            <v>0.37013868637569869</v>
          </cell>
          <cell r="G32">
            <v>0.36272800186543119</v>
          </cell>
          <cell r="H32">
            <v>0.35048117700115233</v>
          </cell>
          <cell r="I32">
            <v>1687.4666817356531</v>
          </cell>
          <cell r="J32">
            <v>14.862231249270003</v>
          </cell>
          <cell r="K32">
            <v>26.196862404810567</v>
          </cell>
          <cell r="L32">
            <v>0.96623689155153147</v>
          </cell>
          <cell r="M32">
            <v>7.1478646252475728E-3</v>
          </cell>
          <cell r="N32">
            <v>2.3282533824932859E-4</v>
          </cell>
          <cell r="O32">
            <v>3.1020089703949916E-4</v>
          </cell>
          <cell r="P32">
            <v>2.4397030035554924E-2</v>
          </cell>
          <cell r="Q32">
            <v>2.2436449404107286E-2</v>
          </cell>
          <cell r="R32">
            <v>2.5923555469212888E-2</v>
          </cell>
          <cell r="S32">
            <v>2.1093585243498376E-2</v>
          </cell>
          <cell r="T32">
            <v>2.0376254786778413E-2</v>
          </cell>
          <cell r="U32">
            <v>2.0184765535277652E-2</v>
          </cell>
          <cell r="V32">
            <v>1.9836971172935685E-2</v>
          </cell>
          <cell r="W32">
            <v>2.0399425085198979E-2</v>
          </cell>
          <cell r="X32">
            <v>1.9910033548949498E-2</v>
          </cell>
          <cell r="Y32">
            <v>2.1837336533814096E-2</v>
          </cell>
          <cell r="Z32">
            <v>2.2720192798409589E-2</v>
          </cell>
          <cell r="AA32">
            <v>2.5161075556154579E-2</v>
          </cell>
          <cell r="AC32">
            <v>0.14372853518262702</v>
          </cell>
          <cell r="AD32">
            <v>0.1274949091508468</v>
          </cell>
          <cell r="AE32">
            <v>0.14020810631939631</v>
          </cell>
          <cell r="AF32">
            <v>0.13800953654795536</v>
          </cell>
          <cell r="AG32">
            <v>0.14133354196759634</v>
          </cell>
          <cell r="AH32">
            <v>0.13535219692687731</v>
          </cell>
          <cell r="AI32">
            <v>0.13771840852519449</v>
          </cell>
          <cell r="AJ32">
            <v>0.13799194173891172</v>
          </cell>
          <cell r="AK32">
            <v>0.13598655438992502</v>
          </cell>
          <cell r="AL32">
            <v>0.14189098960652791</v>
          </cell>
          <cell r="AM32">
            <v>0.13573759825391293</v>
          </cell>
          <cell r="AN32">
            <v>0.14173999150194105</v>
          </cell>
        </row>
        <row r="33">
          <cell r="A33" t="str">
            <v>Energy Efficient Lighting - Free Stall - Montana</v>
          </cell>
          <cell r="C33">
            <v>1.9214689852816038</v>
          </cell>
          <cell r="D33">
            <v>0.30844890531308222</v>
          </cell>
          <cell r="E33">
            <v>6.1689781062616446E-2</v>
          </cell>
          <cell r="F33">
            <v>0.37013868637569869</v>
          </cell>
          <cell r="G33">
            <v>0.36272800186543119</v>
          </cell>
          <cell r="H33">
            <v>0.35048117700115233</v>
          </cell>
          <cell r="I33">
            <v>1687.4666817356531</v>
          </cell>
          <cell r="J33">
            <v>14.862231249270003</v>
          </cell>
          <cell r="K33">
            <v>26.196862404810567</v>
          </cell>
          <cell r="L33">
            <v>0.96623689155153147</v>
          </cell>
          <cell r="M33">
            <v>7.1478646252475728E-3</v>
          </cell>
          <cell r="N33">
            <v>2.3282533824932859E-4</v>
          </cell>
          <cell r="O33">
            <v>3.1020089703949916E-4</v>
          </cell>
          <cell r="P33">
            <v>2.4397030035554924E-2</v>
          </cell>
          <cell r="Q33">
            <v>2.2436449404107286E-2</v>
          </cell>
          <cell r="R33">
            <v>2.5923555469212888E-2</v>
          </cell>
          <cell r="S33">
            <v>2.1093585243498376E-2</v>
          </cell>
          <cell r="T33">
            <v>2.0376254786778413E-2</v>
          </cell>
          <cell r="U33">
            <v>2.0184765535277652E-2</v>
          </cell>
          <cell r="V33">
            <v>1.9836971172935685E-2</v>
          </cell>
          <cell r="W33">
            <v>2.0399425085198979E-2</v>
          </cell>
          <cell r="X33">
            <v>1.9910033548949498E-2</v>
          </cell>
          <cell r="Y33">
            <v>2.1837336533814096E-2</v>
          </cell>
          <cell r="Z33">
            <v>2.2720192798409589E-2</v>
          </cell>
          <cell r="AA33">
            <v>2.5161075556154579E-2</v>
          </cell>
          <cell r="AC33">
            <v>0.14372853518262702</v>
          </cell>
          <cell r="AD33">
            <v>0.1274949091508468</v>
          </cell>
          <cell r="AE33">
            <v>0.14020810631939631</v>
          </cell>
          <cell r="AF33">
            <v>0.13800953654795536</v>
          </cell>
          <cell r="AG33">
            <v>0.14133354196759634</v>
          </cell>
          <cell r="AH33">
            <v>0.13535219692687731</v>
          </cell>
          <cell r="AI33">
            <v>0.13771840852519449</v>
          </cell>
          <cell r="AJ33">
            <v>0.13799194173891172</v>
          </cell>
          <cell r="AK33">
            <v>0.13598655438992502</v>
          </cell>
          <cell r="AL33">
            <v>0.14189098960652791</v>
          </cell>
          <cell r="AM33">
            <v>0.13573759825391293</v>
          </cell>
          <cell r="AN33">
            <v>0.14173999150194105</v>
          </cell>
        </row>
        <row r="34">
          <cell r="A34" t="str">
            <v>Energy Efficient Lighting - Free Stall - Oregon</v>
          </cell>
          <cell r="C34">
            <v>1.9214689852816038</v>
          </cell>
          <cell r="D34">
            <v>0.30844890531308222</v>
          </cell>
          <cell r="E34">
            <v>6.1689781062616446E-2</v>
          </cell>
          <cell r="F34">
            <v>0.37013868637569869</v>
          </cell>
          <cell r="G34">
            <v>0.36272800186543119</v>
          </cell>
          <cell r="H34">
            <v>0.35048117700115233</v>
          </cell>
          <cell r="I34">
            <v>1687.4666817356531</v>
          </cell>
          <cell r="J34">
            <v>14.862231249270003</v>
          </cell>
          <cell r="K34">
            <v>26.196862404810567</v>
          </cell>
          <cell r="L34">
            <v>0.96623689155153147</v>
          </cell>
          <cell r="M34">
            <v>7.1478646252475728E-3</v>
          </cell>
          <cell r="N34">
            <v>2.3282533824932859E-4</v>
          </cell>
          <cell r="O34">
            <v>3.1020089703949916E-4</v>
          </cell>
          <cell r="P34">
            <v>2.4397030035554924E-2</v>
          </cell>
          <cell r="Q34">
            <v>2.2436449404107286E-2</v>
          </cell>
          <cell r="R34">
            <v>2.5923555469212888E-2</v>
          </cell>
          <cell r="S34">
            <v>2.1093585243498376E-2</v>
          </cell>
          <cell r="T34">
            <v>2.0376254786778413E-2</v>
          </cell>
          <cell r="U34">
            <v>2.0184765535277652E-2</v>
          </cell>
          <cell r="V34">
            <v>1.9836971172935685E-2</v>
          </cell>
          <cell r="W34">
            <v>2.0399425085198979E-2</v>
          </cell>
          <cell r="X34">
            <v>1.9910033548949498E-2</v>
          </cell>
          <cell r="Y34">
            <v>2.1837336533814096E-2</v>
          </cell>
          <cell r="Z34">
            <v>2.2720192798409589E-2</v>
          </cell>
          <cell r="AA34">
            <v>2.5161075556154579E-2</v>
          </cell>
          <cell r="AC34">
            <v>0.14372853518262702</v>
          </cell>
          <cell r="AD34">
            <v>0.1274949091508468</v>
          </cell>
          <cell r="AE34">
            <v>0.14020810631939631</v>
          </cell>
          <cell r="AF34">
            <v>0.13800953654795536</v>
          </cell>
          <cell r="AG34">
            <v>0.14133354196759634</v>
          </cell>
          <cell r="AH34">
            <v>0.13535219692687731</v>
          </cell>
          <cell r="AI34">
            <v>0.13771840852519449</v>
          </cell>
          <cell r="AJ34">
            <v>0.13799194173891172</v>
          </cell>
          <cell r="AK34">
            <v>0.13598655438992502</v>
          </cell>
          <cell r="AL34">
            <v>0.14189098960652791</v>
          </cell>
          <cell r="AM34">
            <v>0.13573759825391293</v>
          </cell>
          <cell r="AN34">
            <v>0.14173999150194105</v>
          </cell>
        </row>
        <row r="35">
          <cell r="A35" t="str">
            <v>Energy Efficient Lighting - Free Stall - Washington</v>
          </cell>
          <cell r="C35">
            <v>1.9214689852816038</v>
          </cell>
          <cell r="D35">
            <v>0.30844890531308222</v>
          </cell>
          <cell r="E35">
            <v>6.1689781062616446E-2</v>
          </cell>
          <cell r="F35">
            <v>0.37013868637569869</v>
          </cell>
          <cell r="G35">
            <v>0.36272800186543119</v>
          </cell>
          <cell r="H35">
            <v>0.35048117700115233</v>
          </cell>
          <cell r="I35">
            <v>1687.4666817356531</v>
          </cell>
          <cell r="J35">
            <v>14.862231249270003</v>
          </cell>
          <cell r="K35">
            <v>26.196862404810567</v>
          </cell>
          <cell r="L35">
            <v>0.96623689155153147</v>
          </cell>
          <cell r="M35">
            <v>7.1478646252475728E-3</v>
          </cell>
          <cell r="N35">
            <v>2.3282533824932859E-4</v>
          </cell>
          <cell r="O35">
            <v>3.1020089703949916E-4</v>
          </cell>
          <cell r="P35">
            <v>2.4397030035554924E-2</v>
          </cell>
          <cell r="Q35">
            <v>2.2436449404107286E-2</v>
          </cell>
          <cell r="R35">
            <v>2.5923555469212888E-2</v>
          </cell>
          <cell r="S35">
            <v>2.1093585243498376E-2</v>
          </cell>
          <cell r="T35">
            <v>2.0376254786778413E-2</v>
          </cell>
          <cell r="U35">
            <v>2.0184765535277652E-2</v>
          </cell>
          <cell r="V35">
            <v>1.9836971172935685E-2</v>
          </cell>
          <cell r="W35">
            <v>2.0399425085198979E-2</v>
          </cell>
          <cell r="X35">
            <v>1.9910033548949498E-2</v>
          </cell>
          <cell r="Y35">
            <v>2.1837336533814096E-2</v>
          </cell>
          <cell r="Z35">
            <v>2.2720192798409589E-2</v>
          </cell>
          <cell r="AA35">
            <v>2.5161075556154579E-2</v>
          </cell>
          <cell r="AC35">
            <v>0.14372853518262702</v>
          </cell>
          <cell r="AD35">
            <v>0.1274949091508468</v>
          </cell>
          <cell r="AE35">
            <v>0.14020810631939631</v>
          </cell>
          <cell r="AF35">
            <v>0.13800953654795536</v>
          </cell>
          <cell r="AG35">
            <v>0.14133354196759634</v>
          </cell>
          <cell r="AH35">
            <v>0.13535219692687731</v>
          </cell>
          <cell r="AI35">
            <v>0.13771840852519449</v>
          </cell>
          <cell r="AJ35">
            <v>0.13799194173891172</v>
          </cell>
          <cell r="AK35">
            <v>0.13598655438992502</v>
          </cell>
          <cell r="AL35">
            <v>0.14189098960652791</v>
          </cell>
          <cell r="AM35">
            <v>0.13573759825391293</v>
          </cell>
          <cell r="AN35">
            <v>0.14173999150194105</v>
          </cell>
        </row>
        <row r="36">
          <cell r="A36" t="str">
            <v>High Volume Low Speed Fans - Any - Idaho</v>
          </cell>
          <cell r="C36">
            <v>3987.4867870098083</v>
          </cell>
          <cell r="D36">
            <v>2514.0647053927014</v>
          </cell>
          <cell r="E36">
            <v>502.81294107854029</v>
          </cell>
          <cell r="F36">
            <v>3016.8776464712419</v>
          </cell>
          <cell r="G36">
            <v>3043.0571542789171</v>
          </cell>
          <cell r="H36">
            <v>1447.268425029124</v>
          </cell>
          <cell r="I36">
            <v>6627.6954870880354</v>
          </cell>
          <cell r="J36">
            <v>37.134760018634253</v>
          </cell>
          <cell r="K36">
            <v>65.818014818870296</v>
          </cell>
          <cell r="L36">
            <v>0.47559685922891209</v>
          </cell>
          <cell r="M36">
            <v>27.812720339393476</v>
          </cell>
          <cell r="N36">
            <v>0.53171627521544473</v>
          </cell>
          <cell r="O36">
            <v>0.67411234860173441</v>
          </cell>
          <cell r="P36">
            <v>50.415964586188267</v>
          </cell>
          <cell r="Q36">
            <v>46.56857282558272</v>
          </cell>
          <cell r="R36">
            <v>51.183048029069106</v>
          </cell>
          <cell r="S36">
            <v>49.62573325696134</v>
          </cell>
          <cell r="T36">
            <v>44.035865743290124</v>
          </cell>
          <cell r="U36">
            <v>41.471621310499671</v>
          </cell>
          <cell r="V36">
            <v>39.804933009609954</v>
          </cell>
          <cell r="W36">
            <v>39.831795337651052</v>
          </cell>
          <cell r="X36">
            <v>40.249471922407857</v>
          </cell>
          <cell r="Y36">
            <v>48.158010097984658</v>
          </cell>
          <cell r="Z36">
            <v>45.559353000678392</v>
          </cell>
          <cell r="AA36">
            <v>52.219088046759651</v>
          </cell>
          <cell r="AC36">
            <v>306.63350671238885</v>
          </cell>
          <cell r="AD36">
            <v>269.62033073355451</v>
          </cell>
          <cell r="AE36">
            <v>294.91069211627223</v>
          </cell>
          <cell r="AF36">
            <v>281.80058953539293</v>
          </cell>
          <cell r="AG36">
            <v>289.9614404992459</v>
          </cell>
          <cell r="AH36">
            <v>280.39512338871629</v>
          </cell>
          <cell r="AI36">
            <v>283.95123590865467</v>
          </cell>
          <cell r="AJ36">
            <v>276.79355232640785</v>
          </cell>
          <cell r="AK36">
            <v>277.18824538975838</v>
          </cell>
          <cell r="AL36">
            <v>291.45745211635972</v>
          </cell>
          <cell r="AM36">
            <v>282.08585391994404</v>
          </cell>
          <cell r="AN36">
            <v>303.56530719643081</v>
          </cell>
        </row>
        <row r="37">
          <cell r="A37" t="str">
            <v>High Volume Low Speed Fans - Any - Washington</v>
          </cell>
          <cell r="C37">
            <v>3429.4543710098783</v>
          </cell>
          <cell r="D37">
            <v>2514.0647053927014</v>
          </cell>
          <cell r="E37">
            <v>502.81294107854029</v>
          </cell>
          <cell r="F37">
            <v>3016.8776464712419</v>
          </cell>
          <cell r="G37">
            <v>3043.0571542789171</v>
          </cell>
          <cell r="H37">
            <v>1244.7291467924056</v>
          </cell>
          <cell r="I37">
            <v>7706.1378645215264</v>
          </cell>
          <cell r="J37">
            <v>43.441854088989061</v>
          </cell>
          <cell r="K37">
            <v>76.792377860703994</v>
          </cell>
          <cell r="L37">
            <v>0.40903903005638964</v>
          </cell>
          <cell r="M37">
            <v>23.920444237793941</v>
          </cell>
          <cell r="N37">
            <v>0.45730476402208398</v>
          </cell>
          <cell r="O37">
            <v>0.57977309115990472</v>
          </cell>
          <cell r="P37">
            <v>43.360457188734323</v>
          </cell>
          <cell r="Q37">
            <v>40.051492119964649</v>
          </cell>
          <cell r="R37">
            <v>44.02019045097034</v>
          </cell>
          <cell r="S37">
            <v>42.680815491875315</v>
          </cell>
          <cell r="T37">
            <v>37.873227002660158</v>
          </cell>
          <cell r="U37">
            <v>35.667838057668696</v>
          </cell>
          <cell r="V37">
            <v>34.234395946407552</v>
          </cell>
          <cell r="W37">
            <v>34.257499001849929</v>
          </cell>
          <cell r="X37">
            <v>34.616723462211553</v>
          </cell>
          <cell r="Y37">
            <v>41.418494167229724</v>
          </cell>
          <cell r="Z37">
            <v>39.183508468933319</v>
          </cell>
          <cell r="AA37">
            <v>44.91124091884523</v>
          </cell>
          <cell r="AC37">
            <v>263.72140550250361</v>
          </cell>
          <cell r="AD37">
            <v>231.88807164442227</v>
          </cell>
          <cell r="AE37">
            <v>253.63915071280474</v>
          </cell>
          <cell r="AF37">
            <v>242.36375320005209</v>
          </cell>
          <cell r="AG37">
            <v>249.3825265538149</v>
          </cell>
          <cell r="AH37">
            <v>241.15497627426291</v>
          </cell>
          <cell r="AI37">
            <v>244.2134254370377</v>
          </cell>
          <cell r="AJ37">
            <v>238.0574303056157</v>
          </cell>
          <cell r="AK37">
            <v>238.39688769409514</v>
          </cell>
          <cell r="AL37">
            <v>250.6691774829431</v>
          </cell>
          <cell r="AM37">
            <v>242.60909600436665</v>
          </cell>
          <cell r="AN37">
            <v>261.08258792060928</v>
          </cell>
        </row>
        <row r="38">
          <cell r="A38" t="str">
            <v>High Volume Low Speed Fans - Any - Oregon</v>
          </cell>
          <cell r="C38">
            <v>3236.0127216490782</v>
          </cell>
          <cell r="D38">
            <v>2514.0647053927014</v>
          </cell>
          <cell r="E38">
            <v>502.81294107854029</v>
          </cell>
          <cell r="F38">
            <v>3016.8776464712419</v>
          </cell>
          <cell r="G38">
            <v>3043.0571542789171</v>
          </cell>
          <cell r="H38">
            <v>1174.5190103933376</v>
          </cell>
          <cell r="I38">
            <v>8166.7936613118118</v>
          </cell>
          <cell r="J38">
            <v>46.135924263906539</v>
          </cell>
          <cell r="K38">
            <v>81.480068234419605</v>
          </cell>
          <cell r="L38">
            <v>0.38596679288189434</v>
          </cell>
          <cell r="M38">
            <v>22.571188733502321</v>
          </cell>
          <cell r="N38">
            <v>0.43151005202335463</v>
          </cell>
          <cell r="O38">
            <v>0.54707043619617768</v>
          </cell>
          <cell r="P38">
            <v>40.914669186266401</v>
          </cell>
          <cell r="Q38">
            <v>37.792349452682103</v>
          </cell>
          <cell r="R38">
            <v>41.537189563717043</v>
          </cell>
          <cell r="S38">
            <v>40.273363328462764</v>
          </cell>
          <cell r="T38">
            <v>35.7369514598387</v>
          </cell>
          <cell r="U38">
            <v>33.655959584715696</v>
          </cell>
          <cell r="V38">
            <v>32.303372144859296</v>
          </cell>
          <cell r="W38">
            <v>32.3251720503931</v>
          </cell>
          <cell r="X38">
            <v>32.664134111963094</v>
          </cell>
          <cell r="Y38">
            <v>39.082244443810822</v>
          </cell>
          <cell r="Z38">
            <v>36.973325248521689</v>
          </cell>
          <cell r="AA38">
            <v>42.377979478885209</v>
          </cell>
          <cell r="AC38">
            <v>248.84594773773671</v>
          </cell>
          <cell r="AD38">
            <v>218.80820348079271</v>
          </cell>
          <cell r="AE38">
            <v>239.33239215928316</v>
          </cell>
          <cell r="AF38">
            <v>228.69299421267237</v>
          </cell>
          <cell r="AG38">
            <v>235.31586695159723</v>
          </cell>
          <cell r="AH38">
            <v>227.55239950391763</v>
          </cell>
          <cell r="AI38">
            <v>230.43833392045917</v>
          </cell>
          <cell r="AJ38">
            <v>224.62957357418131</v>
          </cell>
          <cell r="AK38">
            <v>224.94988354443873</v>
          </cell>
          <cell r="AL38">
            <v>236.52994310615307</v>
          </cell>
          <cell r="AM38">
            <v>228.92449822177608</v>
          </cell>
          <cell r="AN38">
            <v>246.3559751819547</v>
          </cell>
        </row>
        <row r="39">
          <cell r="A39" t="str">
            <v>High Volume Low Speed Fans - Any - Montana</v>
          </cell>
          <cell r="C39">
            <v>3034.6608189686913</v>
          </cell>
          <cell r="D39">
            <v>2514.0647053927014</v>
          </cell>
          <cell r="E39">
            <v>502.81294107854029</v>
          </cell>
          <cell r="F39">
            <v>3016.8776464712419</v>
          </cell>
          <cell r="G39">
            <v>3043.0571542789171</v>
          </cell>
          <cell r="H39">
            <v>1101.4378275244205</v>
          </cell>
          <cell r="I39">
            <v>8708.6662265173345</v>
          </cell>
          <cell r="J39">
            <v>49.304977441350395</v>
          </cell>
          <cell r="K39">
            <v>86.994230490475687</v>
          </cell>
          <cell r="L39">
            <v>0.36195108132479925</v>
          </cell>
          <cell r="M39">
            <v>21.166759212306644</v>
          </cell>
          <cell r="N39">
            <v>0.40466053767523474</v>
          </cell>
          <cell r="O39">
            <v>0.51303049794397104</v>
          </cell>
          <cell r="P39">
            <v>38.368867548009824</v>
          </cell>
          <cell r="Q39">
            <v>35.440825486737438</v>
          </cell>
          <cell r="R39">
            <v>38.952653324196866</v>
          </cell>
          <cell r="S39">
            <v>37.767465165802861</v>
          </cell>
          <cell r="T39">
            <v>33.51331892455984</v>
          </cell>
          <cell r="U39">
            <v>31.561810988333384</v>
          </cell>
          <cell r="V39">
            <v>30.293384544734717</v>
          </cell>
          <cell r="W39">
            <v>30.313828011701972</v>
          </cell>
          <cell r="X39">
            <v>30.631699100552058</v>
          </cell>
          <cell r="Y39">
            <v>36.650460345084809</v>
          </cell>
          <cell r="Z39">
            <v>34.672762788613674</v>
          </cell>
          <cell r="AA39">
            <v>39.741127422421236</v>
          </cell>
          <cell r="AC39">
            <v>233.36219987849972</v>
          </cell>
          <cell r="AD39">
            <v>205.19347081976559</v>
          </cell>
          <cell r="AE39">
            <v>224.44059886937222</v>
          </cell>
          <cell r="AF39">
            <v>214.46320790610608</v>
          </cell>
          <cell r="AG39">
            <v>220.67399078572006</v>
          </cell>
          <cell r="AH39">
            <v>213.39358353478497</v>
          </cell>
          <cell r="AI39">
            <v>216.09994869874171</v>
          </cell>
          <cell r="AJ39">
            <v>210.65262232956559</v>
          </cell>
          <cell r="AK39">
            <v>210.95300190167364</v>
          </cell>
          <cell r="AL39">
            <v>221.81252442399244</v>
          </cell>
          <cell r="AM39">
            <v>214.68030722130999</v>
          </cell>
          <cell r="AN39">
            <v>231.02715894841083</v>
          </cell>
        </row>
        <row r="40">
          <cell r="A40" t="str">
            <v>VSD - Milk Transfer Pump - Any - Idaho</v>
          </cell>
          <cell r="C40">
            <v>0.9812920248736684</v>
          </cell>
          <cell r="D40">
            <v>0.94668074902378141</v>
          </cell>
          <cell r="E40">
            <v>0.1893361498047563</v>
          </cell>
          <cell r="F40">
            <v>1.1360168988285377</v>
          </cell>
          <cell r="G40">
            <v>1.1132722813501972</v>
          </cell>
          <cell r="H40">
            <v>0.37643065746232501</v>
          </cell>
          <cell r="I40">
            <v>10141.229910656972</v>
          </cell>
          <cell r="J40">
            <v>55.971560847020854</v>
          </cell>
          <cell r="K40">
            <v>96.924427146345479</v>
          </cell>
          <cell r="L40">
            <v>0.33812991104546586</v>
          </cell>
          <cell r="M40">
            <v>6.8445118734938278E-3</v>
          </cell>
          <cell r="N40">
            <v>2.5816400209791957E-4</v>
          </cell>
          <cell r="O40">
            <v>3.4048824026124369E-4</v>
          </cell>
          <cell r="P40">
            <v>1.2723992541495675E-2</v>
          </cell>
          <cell r="Q40">
            <v>1.1820669192881739E-2</v>
          </cell>
          <cell r="R40">
            <v>1.3505431116497815E-2</v>
          </cell>
          <cell r="S40">
            <v>1.2917121714245658E-2</v>
          </cell>
          <cell r="T40">
            <v>1.2795678540016007E-2</v>
          </cell>
          <cell r="U40">
            <v>1.2952291634084174E-2</v>
          </cell>
          <cell r="V40">
            <v>1.2977229631905783E-2</v>
          </cell>
          <cell r="W40">
            <v>1.3451283931581409E-2</v>
          </cell>
          <cell r="X40">
            <v>1.2429858467881633E-2</v>
          </cell>
          <cell r="Y40">
            <v>1.3406949815535866E-2</v>
          </cell>
          <cell r="Z40">
            <v>1.2127160646039288E-2</v>
          </cell>
          <cell r="AA40">
            <v>1.3226473185655275E-2</v>
          </cell>
          <cell r="AC40">
            <v>7.2104969525479651E-2</v>
          </cell>
          <cell r="AD40">
            <v>6.4275647132440716E-2</v>
          </cell>
          <cell r="AE40">
            <v>7.0042622463355325E-2</v>
          </cell>
          <cell r="AF40">
            <v>6.7204198764827361E-2</v>
          </cell>
          <cell r="AG40">
            <v>6.9652567273811652E-2</v>
          </cell>
          <cell r="AH40">
            <v>6.7043719827124648E-2</v>
          </cell>
          <cell r="AI40">
            <v>6.9993041625525623E-2</v>
          </cell>
          <cell r="AJ40">
            <v>6.938145863259064E-2</v>
          </cell>
          <cell r="AK40">
            <v>6.7361056523795079E-2</v>
          </cell>
          <cell r="AL40">
            <v>6.938001449746517E-2</v>
          </cell>
          <cell r="AM40">
            <v>6.8998891341739088E-2</v>
          </cell>
          <cell r="AN40">
            <v>7.1519696847692937E-2</v>
          </cell>
        </row>
        <row r="41">
          <cell r="A41" t="str">
            <v>VSD - Milk Transfer Pump - Any - Montana</v>
          </cell>
          <cell r="C41">
            <v>0.9812920248736684</v>
          </cell>
          <cell r="D41">
            <v>0.94668074902378141</v>
          </cell>
          <cell r="E41">
            <v>0.1893361498047563</v>
          </cell>
          <cell r="F41">
            <v>1.1360168988285377</v>
          </cell>
          <cell r="G41">
            <v>1.1132722813501972</v>
          </cell>
          <cell r="H41">
            <v>0.37643065746232501</v>
          </cell>
          <cell r="I41">
            <v>10141.229910656972</v>
          </cell>
          <cell r="J41">
            <v>55.971560847020854</v>
          </cell>
          <cell r="K41">
            <v>96.924427146345479</v>
          </cell>
          <cell r="L41">
            <v>0.33812991104546586</v>
          </cell>
          <cell r="M41">
            <v>6.8445118734938278E-3</v>
          </cell>
          <cell r="N41">
            <v>2.5816400209791957E-4</v>
          </cell>
          <cell r="O41">
            <v>3.4048824026124369E-4</v>
          </cell>
          <cell r="P41">
            <v>1.2723992541495675E-2</v>
          </cell>
          <cell r="Q41">
            <v>1.1820669192881739E-2</v>
          </cell>
          <cell r="R41">
            <v>1.3505431116497815E-2</v>
          </cell>
          <cell r="S41">
            <v>1.2917121714245658E-2</v>
          </cell>
          <cell r="T41">
            <v>1.2795678540016007E-2</v>
          </cell>
          <cell r="U41">
            <v>1.2952291634084174E-2</v>
          </cell>
          <cell r="V41">
            <v>1.2977229631905783E-2</v>
          </cell>
          <cell r="W41">
            <v>1.3451283931581409E-2</v>
          </cell>
          <cell r="X41">
            <v>1.2429858467881633E-2</v>
          </cell>
          <cell r="Y41">
            <v>1.3406949815535866E-2</v>
          </cell>
          <cell r="Z41">
            <v>1.2127160646039288E-2</v>
          </cell>
          <cell r="AA41">
            <v>1.3226473185655275E-2</v>
          </cell>
          <cell r="AC41">
            <v>7.2104969525479651E-2</v>
          </cell>
          <cell r="AD41">
            <v>6.4275647132440716E-2</v>
          </cell>
          <cell r="AE41">
            <v>7.0042622463355325E-2</v>
          </cell>
          <cell r="AF41">
            <v>6.7204198764827361E-2</v>
          </cell>
          <cell r="AG41">
            <v>6.9652567273811652E-2</v>
          </cell>
          <cell r="AH41">
            <v>6.7043719827124648E-2</v>
          </cell>
          <cell r="AI41">
            <v>6.9993041625525623E-2</v>
          </cell>
          <cell r="AJ41">
            <v>6.938145863259064E-2</v>
          </cell>
          <cell r="AK41">
            <v>6.7361056523795079E-2</v>
          </cell>
          <cell r="AL41">
            <v>6.938001449746517E-2</v>
          </cell>
          <cell r="AM41">
            <v>6.8998891341739088E-2</v>
          </cell>
          <cell r="AN41">
            <v>7.1519696847692937E-2</v>
          </cell>
        </row>
        <row r="42">
          <cell r="A42" t="str">
            <v>VSD - Milk Transfer Pump - Any - Oregon</v>
          </cell>
          <cell r="C42">
            <v>0.9812920248736684</v>
          </cell>
          <cell r="D42">
            <v>0.94668074902378141</v>
          </cell>
          <cell r="E42">
            <v>0.1893361498047563</v>
          </cell>
          <cell r="F42">
            <v>1.1360168988285377</v>
          </cell>
          <cell r="G42">
            <v>1.1132722813501972</v>
          </cell>
          <cell r="H42">
            <v>0.37643065746232501</v>
          </cell>
          <cell r="I42">
            <v>10141.229910656972</v>
          </cell>
          <cell r="J42">
            <v>55.971560847020854</v>
          </cell>
          <cell r="K42">
            <v>96.924427146345479</v>
          </cell>
          <cell r="L42">
            <v>0.33812991104546586</v>
          </cell>
          <cell r="M42">
            <v>6.8445118734938278E-3</v>
          </cell>
          <cell r="N42">
            <v>2.5816400209791957E-4</v>
          </cell>
          <cell r="O42">
            <v>3.4048824026124369E-4</v>
          </cell>
          <cell r="P42">
            <v>1.2723992541495675E-2</v>
          </cell>
          <cell r="Q42">
            <v>1.1820669192881739E-2</v>
          </cell>
          <cell r="R42">
            <v>1.3505431116497815E-2</v>
          </cell>
          <cell r="S42">
            <v>1.2917121714245658E-2</v>
          </cell>
          <cell r="T42">
            <v>1.2795678540016007E-2</v>
          </cell>
          <cell r="U42">
            <v>1.2952291634084174E-2</v>
          </cell>
          <cell r="V42">
            <v>1.2977229631905783E-2</v>
          </cell>
          <cell r="W42">
            <v>1.3451283931581409E-2</v>
          </cell>
          <cell r="X42">
            <v>1.2429858467881633E-2</v>
          </cell>
          <cell r="Y42">
            <v>1.3406949815535866E-2</v>
          </cell>
          <cell r="Z42">
            <v>1.2127160646039288E-2</v>
          </cell>
          <cell r="AA42">
            <v>1.3226473185655275E-2</v>
          </cell>
          <cell r="AC42">
            <v>7.2104969525479651E-2</v>
          </cell>
          <cell r="AD42">
            <v>6.4275647132440716E-2</v>
          </cell>
          <cell r="AE42">
            <v>7.0042622463355325E-2</v>
          </cell>
          <cell r="AF42">
            <v>6.7204198764827361E-2</v>
          </cell>
          <cell r="AG42">
            <v>6.9652567273811652E-2</v>
          </cell>
          <cell r="AH42">
            <v>6.7043719827124648E-2</v>
          </cell>
          <cell r="AI42">
            <v>6.9993041625525623E-2</v>
          </cell>
          <cell r="AJ42">
            <v>6.938145863259064E-2</v>
          </cell>
          <cell r="AK42">
            <v>6.7361056523795079E-2</v>
          </cell>
          <cell r="AL42">
            <v>6.938001449746517E-2</v>
          </cell>
          <cell r="AM42">
            <v>6.8998891341739088E-2</v>
          </cell>
          <cell r="AN42">
            <v>7.1519696847692937E-2</v>
          </cell>
        </row>
        <row r="43">
          <cell r="A43" t="str">
            <v>VSD - Milk Transfer Pump - Any - Washington</v>
          </cell>
          <cell r="C43">
            <v>0.9812920248736684</v>
          </cell>
          <cell r="D43">
            <v>0.94668074902378141</v>
          </cell>
          <cell r="E43">
            <v>0.1893361498047563</v>
          </cell>
          <cell r="F43">
            <v>1.1360168988285377</v>
          </cell>
          <cell r="G43">
            <v>1.1132722813501972</v>
          </cell>
          <cell r="H43">
            <v>0.37643065746232501</v>
          </cell>
          <cell r="I43">
            <v>10141.229910656972</v>
          </cell>
          <cell r="J43">
            <v>55.971560847020854</v>
          </cell>
          <cell r="K43">
            <v>96.924427146345479</v>
          </cell>
          <cell r="L43">
            <v>0.33812991104546586</v>
          </cell>
          <cell r="M43">
            <v>6.8445118734938278E-3</v>
          </cell>
          <cell r="N43">
            <v>2.5816400209791957E-4</v>
          </cell>
          <cell r="O43">
            <v>3.4048824026124369E-4</v>
          </cell>
          <cell r="P43">
            <v>1.2723992541495675E-2</v>
          </cell>
          <cell r="Q43">
            <v>1.1820669192881739E-2</v>
          </cell>
          <cell r="R43">
            <v>1.3505431116497815E-2</v>
          </cell>
          <cell r="S43">
            <v>1.2917121714245658E-2</v>
          </cell>
          <cell r="T43">
            <v>1.2795678540016007E-2</v>
          </cell>
          <cell r="U43">
            <v>1.2952291634084174E-2</v>
          </cell>
          <cell r="V43">
            <v>1.2977229631905783E-2</v>
          </cell>
          <cell r="W43">
            <v>1.3451283931581409E-2</v>
          </cell>
          <cell r="X43">
            <v>1.2429858467881633E-2</v>
          </cell>
          <cell r="Y43">
            <v>1.3406949815535866E-2</v>
          </cell>
          <cell r="Z43">
            <v>1.2127160646039288E-2</v>
          </cell>
          <cell r="AA43">
            <v>1.3226473185655275E-2</v>
          </cell>
          <cell r="AC43">
            <v>7.2104969525479651E-2</v>
          </cell>
          <cell r="AD43">
            <v>6.4275647132440716E-2</v>
          </cell>
          <cell r="AE43">
            <v>7.0042622463355325E-2</v>
          </cell>
          <cell r="AF43">
            <v>6.7204198764827361E-2</v>
          </cell>
          <cell r="AG43">
            <v>6.9652567273811652E-2</v>
          </cell>
          <cell r="AH43">
            <v>6.7043719827124648E-2</v>
          </cell>
          <cell r="AI43">
            <v>6.9993041625525623E-2</v>
          </cell>
          <cell r="AJ43">
            <v>6.938145863259064E-2</v>
          </cell>
          <cell r="AK43">
            <v>6.7361056523795079E-2</v>
          </cell>
          <cell r="AL43">
            <v>6.938001449746517E-2</v>
          </cell>
          <cell r="AM43">
            <v>6.8998891341739088E-2</v>
          </cell>
          <cell r="AN43">
            <v>7.1519696847692937E-2</v>
          </cell>
        </row>
        <row r="44">
          <cell r="A44" t="str">
            <v>Efficient High Speed Fans - Any - Idaho</v>
          </cell>
          <cell r="C44">
            <v>201.82979715030959</v>
          </cell>
          <cell r="D44">
            <v>165.33373046117987</v>
          </cell>
          <cell r="E44">
            <v>33.066746092235974</v>
          </cell>
          <cell r="F44">
            <v>198.40047655341584</v>
          </cell>
          <cell r="G44">
            <v>194.42822671155056</v>
          </cell>
          <cell r="H44">
            <v>56.307649943031748</v>
          </cell>
          <cell r="I44">
            <v>8611.1575156248273</v>
          </cell>
          <cell r="J44">
            <v>61.722669561776819</v>
          </cell>
          <cell r="K44">
            <v>109.63315416718144</v>
          </cell>
          <cell r="L44">
            <v>0.28960635446502597</v>
          </cell>
          <cell r="M44">
            <v>0.93850855674893896</v>
          </cell>
          <cell r="N44">
            <v>2.7582404012824011E-2</v>
          </cell>
          <cell r="O44">
            <v>0.16077835408366339</v>
          </cell>
          <cell r="P44">
            <v>0.40393989255223856</v>
          </cell>
          <cell r="Q44">
            <v>0.28974481516074663</v>
          </cell>
          <cell r="R44">
            <v>0.45275885892779494</v>
          </cell>
          <cell r="S44">
            <v>0.44901277636504244</v>
          </cell>
          <cell r="T44">
            <v>0.86698100272697043</v>
          </cell>
          <cell r="U44">
            <v>1.7764751764027844</v>
          </cell>
          <cell r="V44">
            <v>4.4455642930256003</v>
          </cell>
          <cell r="W44">
            <v>4.8533194642560309</v>
          </cell>
          <cell r="X44">
            <v>1.8482399955040556</v>
          </cell>
          <cell r="Y44">
            <v>0.65932152970257796</v>
          </cell>
          <cell r="Z44">
            <v>0.37728673013920483</v>
          </cell>
          <cell r="AA44">
            <v>0.39120932090834276</v>
          </cell>
          <cell r="AC44">
            <v>6.2762836544265985</v>
          </cell>
          <cell r="AD44">
            <v>4.6367640763640638</v>
          </cell>
          <cell r="AE44">
            <v>7.4134479481250244</v>
          </cell>
          <cell r="AF44">
            <v>7.2666863903122882</v>
          </cell>
          <cell r="AG44">
            <v>15.025515472517643</v>
          </cell>
          <cell r="AH44">
            <v>22.044394560479414</v>
          </cell>
          <cell r="AI44">
            <v>38.721955705508556</v>
          </cell>
          <cell r="AJ44">
            <v>38.765630886113904</v>
          </cell>
          <cell r="AK44">
            <v>22.073988043261121</v>
          </cell>
          <cell r="AL44">
            <v>11.102665566890943</v>
          </cell>
          <cell r="AM44">
            <v>6.2640722792657089</v>
          </cell>
          <cell r="AN44">
            <v>5.4245387113728976</v>
          </cell>
        </row>
        <row r="45">
          <cell r="A45" t="str">
            <v>Efficient High Speed Fans - Any - Washington</v>
          </cell>
          <cell r="C45">
            <v>173.58454510546912</v>
          </cell>
          <cell r="D45">
            <v>165.33373046117987</v>
          </cell>
          <cell r="E45">
            <v>33.066746092235974</v>
          </cell>
          <cell r="F45">
            <v>198.40047655341584</v>
          </cell>
          <cell r="G45">
            <v>194.42822671155056</v>
          </cell>
          <cell r="H45">
            <v>48.427625352266617</v>
          </cell>
          <cell r="I45">
            <v>10012.343976544282</v>
          </cell>
          <cell r="J45">
            <v>73.012921965151676</v>
          </cell>
          <cell r="K45">
            <v>128.71928328554779</v>
          </cell>
          <cell r="L45">
            <v>0.24907713335323875</v>
          </cell>
          <cell r="M45">
            <v>0.80716813474043114</v>
          </cell>
          <cell r="N45">
            <v>2.3722359736187141E-2</v>
          </cell>
          <cell r="O45">
            <v>0.13827808307033196</v>
          </cell>
          <cell r="P45">
            <v>0.34741016187224982</v>
          </cell>
          <cell r="Q45">
            <v>0.2491962170426692</v>
          </cell>
          <cell r="R45">
            <v>0.38939711419777351</v>
          </cell>
          <cell r="S45">
            <v>0.38617528052026823</v>
          </cell>
          <cell r="T45">
            <v>0.74565056844092359</v>
          </cell>
          <cell r="U45">
            <v>1.5278647639792386</v>
          </cell>
          <cell r="V45">
            <v>3.8234258094570044</v>
          </cell>
          <cell r="W45">
            <v>4.1741173174097401</v>
          </cell>
          <cell r="X45">
            <v>1.5895863910836503</v>
          </cell>
          <cell r="Y45">
            <v>0.56705218668198276</v>
          </cell>
          <cell r="Z45">
            <v>0.32448700018645044</v>
          </cell>
          <cell r="AA45">
            <v>0.33646118149898768</v>
          </cell>
          <cell r="AC45">
            <v>5.3979435072967439</v>
          </cell>
          <cell r="AD45">
            <v>3.9878679675708244</v>
          </cell>
          <cell r="AE45">
            <v>6.3759663236444073</v>
          </cell>
          <cell r="AF45">
            <v>6.249743443714932</v>
          </cell>
          <cell r="AG45">
            <v>12.922756228753226</v>
          </cell>
          <cell r="AH45">
            <v>18.959371985378958</v>
          </cell>
          <cell r="AI45">
            <v>33.302976872780938</v>
          </cell>
          <cell r="AJ45">
            <v>33.340539891050895</v>
          </cell>
          <cell r="AK45">
            <v>18.984823981661368</v>
          </cell>
          <cell r="AL45">
            <v>9.5488930727687826</v>
          </cell>
          <cell r="AM45">
            <v>5.3874410639888479</v>
          </cell>
          <cell r="AN45">
            <v>4.6653967744882499</v>
          </cell>
        </row>
        <row r="46">
          <cell r="A46" t="str">
            <v>Efficient High Speed Fans - Any - Oregon</v>
          </cell>
          <cell r="C46">
            <v>163.7933430435335</v>
          </cell>
          <cell r="D46">
            <v>165.33373046117987</v>
          </cell>
          <cell r="E46">
            <v>33.066746092235974</v>
          </cell>
          <cell r="F46">
            <v>198.40047655341584</v>
          </cell>
          <cell r="G46">
            <v>194.42822671155056</v>
          </cell>
          <cell r="H46">
            <v>45.696018889746227</v>
          </cell>
          <cell r="I46">
            <v>10610.859649808814</v>
          </cell>
          <cell r="J46">
            <v>77.835544226358934</v>
          </cell>
          <cell r="K46">
            <v>136.87190803457423</v>
          </cell>
          <cell r="L46">
            <v>0.23502769974618878</v>
          </cell>
          <cell r="M46">
            <v>0.76163904515243075</v>
          </cell>
          <cell r="N46">
            <v>2.2384277377404518E-2</v>
          </cell>
          <cell r="O46">
            <v>0.13047837572163848</v>
          </cell>
          <cell r="P46">
            <v>0.32781415987106827</v>
          </cell>
          <cell r="Q46">
            <v>0.23514006640637691</v>
          </cell>
          <cell r="R46">
            <v>0.36743279804780477</v>
          </cell>
          <cell r="S46">
            <v>0.36439269497613908</v>
          </cell>
          <cell r="T46">
            <v>0.70359143593712659</v>
          </cell>
          <cell r="U46">
            <v>1.4416840926623138</v>
          </cell>
          <cell r="V46">
            <v>3.6077618248178909</v>
          </cell>
          <cell r="W46">
            <v>3.9386722433096732</v>
          </cell>
          <cell r="X46">
            <v>1.4999242524379173</v>
          </cell>
          <cell r="Y46">
            <v>0.53506706648541047</v>
          </cell>
          <cell r="Z46">
            <v>0.30618400101468385</v>
          </cell>
          <cell r="AA46">
            <v>0.31748276719342516</v>
          </cell>
          <cell r="AC46">
            <v>5.0934673480468344</v>
          </cell>
          <cell r="AD46">
            <v>3.7629284659401785</v>
          </cell>
          <cell r="AE46">
            <v>6.0163238533025449</v>
          </cell>
          <cell r="AF46">
            <v>5.8972206954743553</v>
          </cell>
          <cell r="AG46">
            <v>12.19383582079881</v>
          </cell>
          <cell r="AH46">
            <v>17.889950499938209</v>
          </cell>
          <cell r="AI46">
            <v>31.42449065370397</v>
          </cell>
          <cell r="AJ46">
            <v>31.459934894050964</v>
          </cell>
          <cell r="AK46">
            <v>17.913966852060426</v>
          </cell>
          <cell r="AL46">
            <v>9.0102786385949951</v>
          </cell>
          <cell r="AM46">
            <v>5.0835573050848861</v>
          </cell>
          <cell r="AN46">
            <v>4.4022406133774643</v>
          </cell>
        </row>
        <row r="47">
          <cell r="A47" t="str">
            <v>Efficient High Speed Fans - Any - Montana</v>
          </cell>
          <cell r="C47">
            <v>153.60175725415806</v>
          </cell>
          <cell r="D47">
            <v>165.33373046117987</v>
          </cell>
          <cell r="E47">
            <v>33.066746092235974</v>
          </cell>
          <cell r="F47">
            <v>198.40047655341584</v>
          </cell>
          <cell r="G47">
            <v>194.42822671155056</v>
          </cell>
          <cell r="H47">
            <v>42.852711047717605</v>
          </cell>
          <cell r="I47">
            <v>11314.897730838784</v>
          </cell>
          <cell r="J47">
            <v>83.5084277847685</v>
          </cell>
          <cell r="K47">
            <v>146.4618963006379</v>
          </cell>
          <cell r="L47">
            <v>0.22040375398420387</v>
          </cell>
          <cell r="M47">
            <v>0.71424817123183482</v>
          </cell>
          <cell r="N47">
            <v>2.0991477896143793E-2</v>
          </cell>
          <cell r="O47">
            <v>0.12235972123229208</v>
          </cell>
          <cell r="P47">
            <v>0.30741683436797956</v>
          </cell>
          <cell r="Q47">
            <v>0.22050912894109123</v>
          </cell>
          <cell r="R47">
            <v>0.34457031283594136</v>
          </cell>
          <cell r="S47">
            <v>0.34171937173317929</v>
          </cell>
          <cell r="T47">
            <v>0.65981241325659423</v>
          </cell>
          <cell r="U47">
            <v>1.3519793046744366</v>
          </cell>
          <cell r="V47">
            <v>3.383278866829222</v>
          </cell>
          <cell r="W47">
            <v>3.6935993037259602</v>
          </cell>
          <cell r="X47">
            <v>1.4065956322862245</v>
          </cell>
          <cell r="Y47">
            <v>0.50177400457076271</v>
          </cell>
          <cell r="Z47">
            <v>0.28713255206265909</v>
          </cell>
          <cell r="AA47">
            <v>0.29772828390138983</v>
          </cell>
          <cell r="AC47">
            <v>4.7765404908350311</v>
          </cell>
          <cell r="AD47">
            <v>3.5287906947261232</v>
          </cell>
          <cell r="AE47">
            <v>5.6419748135414975</v>
          </cell>
          <cell r="AF47">
            <v>5.5302825188670619</v>
          </cell>
          <cell r="AG47">
            <v>11.435108258615772</v>
          </cell>
          <cell r="AH47">
            <v>16.776798024386498</v>
          </cell>
          <cell r="AI47">
            <v>29.469189013029055</v>
          </cell>
          <cell r="AJ47">
            <v>29.502427833976679</v>
          </cell>
          <cell r="AK47">
            <v>16.799320025709999</v>
          </cell>
          <cell r="AL47">
            <v>8.4496390788601943</v>
          </cell>
          <cell r="AM47">
            <v>4.7672470727684928</v>
          </cell>
          <cell r="AN47">
            <v>4.1283234196561995</v>
          </cell>
        </row>
      </sheetData>
      <sheetData sheetId="6">
        <row r="8">
          <cell r="A8" t="str">
            <v>VSD - Vacuum Pump - Free Stall - Idaho</v>
          </cell>
          <cell r="B8" t="str">
            <v>Pump</v>
          </cell>
          <cell r="C8">
            <v>6.9735697018533447</v>
          </cell>
          <cell r="D8">
            <v>15</v>
          </cell>
          <cell r="E8">
            <v>0.98500980630819668</v>
          </cell>
          <cell r="F8">
            <v>0</v>
          </cell>
          <cell r="G8" t="str">
            <v>A-Da-Proc-MilkingSchedule-All-All-S</v>
          </cell>
        </row>
        <row r="9">
          <cell r="A9" t="str">
            <v>VSD - Vacuum Pump - Free Stall - Montana</v>
          </cell>
          <cell r="B9" t="str">
            <v>Pump</v>
          </cell>
          <cell r="C9">
            <v>6.9735697018533447</v>
          </cell>
          <cell r="D9">
            <v>15</v>
          </cell>
          <cell r="E9">
            <v>0.98500980630819668</v>
          </cell>
          <cell r="F9">
            <v>0</v>
          </cell>
          <cell r="G9" t="str">
            <v>A-Da-Proc-MilkingSchedule-All-All-S</v>
          </cell>
        </row>
        <row r="10">
          <cell r="A10" t="str">
            <v>VSD - Vacuum Pump - Free Stall - Oregon</v>
          </cell>
          <cell r="B10" t="str">
            <v>Pump</v>
          </cell>
          <cell r="C10">
            <v>6.9735697018533447</v>
          </cell>
          <cell r="D10">
            <v>15</v>
          </cell>
          <cell r="E10">
            <v>0.98500980630819668</v>
          </cell>
          <cell r="F10">
            <v>0</v>
          </cell>
          <cell r="G10" t="str">
            <v>A-Da-Proc-MilkingSchedule-All-All-S</v>
          </cell>
        </row>
        <row r="11">
          <cell r="A11" t="str">
            <v>VSD - Vacuum Pump - Free Stall - Washington</v>
          </cell>
          <cell r="B11" t="str">
            <v>Pump</v>
          </cell>
          <cell r="C11">
            <v>6.9735697018533447</v>
          </cell>
          <cell r="D11">
            <v>15</v>
          </cell>
          <cell r="E11">
            <v>0.98500980630819668</v>
          </cell>
          <cell r="F11">
            <v>0</v>
          </cell>
          <cell r="G11" t="str">
            <v>A-Da-Proc-MilkingSchedule-All-All-S</v>
          </cell>
        </row>
        <row r="12">
          <cell r="A12" t="str">
            <v>VSD - Vacuum Pump - Tie Stall - Idaho</v>
          </cell>
          <cell r="B12" t="str">
            <v>Pump</v>
          </cell>
          <cell r="C12">
            <v>4.8885865216023019</v>
          </cell>
          <cell r="D12">
            <v>15</v>
          </cell>
          <cell r="E12">
            <v>0.63061762668806043</v>
          </cell>
          <cell r="F12">
            <v>0</v>
          </cell>
          <cell r="G12" t="str">
            <v>A-Da-Proc-MilkingSchedule-All-All-S</v>
          </cell>
        </row>
        <row r="13">
          <cell r="A13" t="str">
            <v>VSD - Vacuum Pump - Tie Stall - Montana</v>
          </cell>
          <cell r="B13" t="str">
            <v>Pump</v>
          </cell>
          <cell r="C13">
            <v>4.8885865216023019</v>
          </cell>
          <cell r="D13">
            <v>15</v>
          </cell>
          <cell r="E13">
            <v>0.63061762668806043</v>
          </cell>
          <cell r="F13">
            <v>0</v>
          </cell>
          <cell r="G13" t="str">
            <v>A-Da-Proc-MilkingSchedule-All-All-S</v>
          </cell>
        </row>
        <row r="14">
          <cell r="A14" t="str">
            <v>VSD - Vacuum Pump - Tie Stall - Oregon</v>
          </cell>
          <cell r="B14" t="str">
            <v>Pump</v>
          </cell>
          <cell r="C14">
            <v>4.8885865216023019</v>
          </cell>
          <cell r="D14">
            <v>15</v>
          </cell>
          <cell r="E14">
            <v>0.63061762668806043</v>
          </cell>
          <cell r="F14">
            <v>0</v>
          </cell>
          <cell r="G14" t="str">
            <v>A-Da-Proc-MilkingSchedule-All-All-S</v>
          </cell>
        </row>
        <row r="15">
          <cell r="A15" t="str">
            <v>VSD - Vacuum Pump - Tie Stall - Washington</v>
          </cell>
          <cell r="B15" t="str">
            <v>Pump</v>
          </cell>
          <cell r="C15">
            <v>4.8885865216023019</v>
          </cell>
          <cell r="D15">
            <v>15</v>
          </cell>
          <cell r="E15">
            <v>0.63061762668806043</v>
          </cell>
          <cell r="F15">
            <v>0</v>
          </cell>
          <cell r="G15" t="str">
            <v>A-Da-Proc-MilkingSchedule-All-All-S</v>
          </cell>
        </row>
        <row r="16">
          <cell r="A16" t="str">
            <v>Plate Milk Pre-cooler - Free Stall - Idaho</v>
          </cell>
          <cell r="B16" t="str">
            <v>Refrigeration</v>
          </cell>
          <cell r="C16">
            <v>3.8581788879935535</v>
          </cell>
          <cell r="D16">
            <v>15</v>
          </cell>
          <cell r="E16">
            <v>0.54492984245687548</v>
          </cell>
          <cell r="F16">
            <v>0</v>
          </cell>
          <cell r="G16" t="str">
            <v>A-Da-Proc-MilkingSchedule-All-All-S</v>
          </cell>
        </row>
        <row r="17">
          <cell r="A17" t="str">
            <v>Plate Milk Pre-cooler - Free Stall - Montana</v>
          </cell>
          <cell r="B17" t="str">
            <v>Refrigeration</v>
          </cell>
          <cell r="C17">
            <v>3.8581788879935535</v>
          </cell>
          <cell r="D17">
            <v>15</v>
          </cell>
          <cell r="E17">
            <v>0.54492984245687548</v>
          </cell>
          <cell r="F17">
            <v>0</v>
          </cell>
          <cell r="G17" t="str">
            <v>A-Da-Proc-MilkingSchedule-All-All-S</v>
          </cell>
        </row>
        <row r="18">
          <cell r="A18" t="str">
            <v>Plate Milk Pre-cooler - Free Stall - Oregon</v>
          </cell>
          <cell r="B18" t="str">
            <v>Refrigeration</v>
          </cell>
          <cell r="C18">
            <v>3.8581788879935535</v>
          </cell>
          <cell r="D18">
            <v>15</v>
          </cell>
          <cell r="E18">
            <v>0.54492984245687548</v>
          </cell>
          <cell r="F18">
            <v>0</v>
          </cell>
          <cell r="G18" t="str">
            <v>A-Da-Proc-MilkingSchedule-All-All-S</v>
          </cell>
        </row>
        <row r="19">
          <cell r="A19" t="str">
            <v>Plate Milk Pre-cooler - Free Stall - Washington</v>
          </cell>
          <cell r="B19" t="str">
            <v>Refrigeration</v>
          </cell>
          <cell r="C19">
            <v>3.8581788879935535</v>
          </cell>
          <cell r="D19">
            <v>15</v>
          </cell>
          <cell r="E19">
            <v>0.54492984245687548</v>
          </cell>
          <cell r="F19">
            <v>0</v>
          </cell>
          <cell r="G19" t="str">
            <v>A-Da-Proc-MilkingSchedule-All-All-S</v>
          </cell>
        </row>
        <row r="20">
          <cell r="A20" t="str">
            <v>Plate Milk Pre-Cooler - Tie Stall - Idaho</v>
          </cell>
          <cell r="B20" t="str">
            <v>Refrigeration</v>
          </cell>
          <cell r="C20">
            <v>4</v>
          </cell>
          <cell r="D20">
            <v>15</v>
          </cell>
          <cell r="E20">
            <v>0.47821966147104827</v>
          </cell>
          <cell r="F20">
            <v>0</v>
          </cell>
          <cell r="G20" t="str">
            <v>A-Da-Proc-MilkingSchedule-All-All-S</v>
          </cell>
        </row>
        <row r="21">
          <cell r="A21" t="str">
            <v>Plate Milk Pre-Cooler - Tie Stall - Montana</v>
          </cell>
          <cell r="B21" t="str">
            <v>Refrigeration</v>
          </cell>
          <cell r="C21">
            <v>4</v>
          </cell>
          <cell r="D21">
            <v>15</v>
          </cell>
          <cell r="E21">
            <v>0.47821966147104827</v>
          </cell>
          <cell r="F21">
            <v>0</v>
          </cell>
          <cell r="G21" t="str">
            <v>A-Da-Proc-MilkingSchedule-All-All-S</v>
          </cell>
        </row>
        <row r="22">
          <cell r="A22" t="str">
            <v>Plate Milk Pre-Cooler - Tie Stall - Oregon</v>
          </cell>
          <cell r="B22" t="str">
            <v>Refrigeration</v>
          </cell>
          <cell r="C22">
            <v>4</v>
          </cell>
          <cell r="D22">
            <v>15</v>
          </cell>
          <cell r="E22">
            <v>0.47821966147104827</v>
          </cell>
          <cell r="F22">
            <v>0</v>
          </cell>
          <cell r="G22" t="str">
            <v>A-Da-Proc-MilkingSchedule-All-All-S</v>
          </cell>
        </row>
        <row r="23">
          <cell r="A23" t="str">
            <v>Plate Milk Pre-Cooler - Tie Stall - Washington</v>
          </cell>
          <cell r="B23" t="str">
            <v>Refrigeration</v>
          </cell>
          <cell r="C23">
            <v>4</v>
          </cell>
          <cell r="D23">
            <v>15</v>
          </cell>
          <cell r="E23">
            <v>0.47821966147104827</v>
          </cell>
          <cell r="F23">
            <v>0</v>
          </cell>
          <cell r="G23" t="str">
            <v>A-Da-Proc-MilkingSchedule-All-All-S</v>
          </cell>
        </row>
        <row r="24">
          <cell r="A24" t="str">
            <v>Heat Recovery Refrigeration - Any - Idaho</v>
          </cell>
          <cell r="B24" t="str">
            <v>Water Heating</v>
          </cell>
          <cell r="C24">
            <v>4.2176143003636426</v>
          </cell>
          <cell r="D24">
            <v>15</v>
          </cell>
          <cell r="E24">
            <v>1.1288790013181331</v>
          </cell>
          <cell r="F24">
            <v>0</v>
          </cell>
          <cell r="G24" t="str">
            <v>A-Da-Proc-MilkingSchedule-All-All-S</v>
          </cell>
        </row>
        <row r="25">
          <cell r="A25" t="str">
            <v>Heat Recovery Refrigeration - Any - Montana</v>
          </cell>
          <cell r="B25" t="str">
            <v>Water Heating</v>
          </cell>
          <cell r="C25">
            <v>4.2176143003636426</v>
          </cell>
          <cell r="D25">
            <v>15</v>
          </cell>
          <cell r="E25">
            <v>1.1288790013181331</v>
          </cell>
          <cell r="F25">
            <v>0</v>
          </cell>
          <cell r="G25" t="str">
            <v>A-Da-Proc-MilkingSchedule-All-All-S</v>
          </cell>
        </row>
        <row r="26">
          <cell r="A26" t="str">
            <v>Heat Recovery Refrigeration - Any - Oregon</v>
          </cell>
          <cell r="B26" t="str">
            <v>Water Heating</v>
          </cell>
          <cell r="C26">
            <v>4.2176143003636426</v>
          </cell>
          <cell r="D26">
            <v>15</v>
          </cell>
          <cell r="E26">
            <v>1.1288790013181331</v>
          </cell>
          <cell r="F26">
            <v>0</v>
          </cell>
          <cell r="G26" t="str">
            <v>A-Da-Proc-MilkingSchedule-All-All-S</v>
          </cell>
        </row>
        <row r="27">
          <cell r="A27" t="str">
            <v>Heat Recovery Refrigeration - Any - Washington</v>
          </cell>
          <cell r="B27" t="str">
            <v>Water Heating</v>
          </cell>
          <cell r="C27">
            <v>4.2176143003636426</v>
          </cell>
          <cell r="D27">
            <v>15</v>
          </cell>
          <cell r="E27">
            <v>1.1288790013181331</v>
          </cell>
          <cell r="F27">
            <v>0</v>
          </cell>
          <cell r="G27" t="str">
            <v>A-Da-Proc-MilkingSchedule-All-All-S</v>
          </cell>
        </row>
        <row r="28">
          <cell r="A28" t="str">
            <v>Compressor Upgrade - Any - Idaho</v>
          </cell>
          <cell r="B28" t="str">
            <v>Refrigeration</v>
          </cell>
          <cell r="C28">
            <v>1.435185194428604</v>
          </cell>
          <cell r="D28">
            <v>15</v>
          </cell>
          <cell r="E28">
            <v>0.4287945249775944</v>
          </cell>
          <cell r="F28">
            <v>0</v>
          </cell>
          <cell r="G28" t="str">
            <v>A-Da-Proc-MilkingSchedule-All-All-S</v>
          </cell>
        </row>
        <row r="29">
          <cell r="A29" t="str">
            <v>Compressor Upgrade - Any - Montana</v>
          </cell>
          <cell r="B29" t="str">
            <v>Refrigeration</v>
          </cell>
          <cell r="C29">
            <v>1.435185194428604</v>
          </cell>
          <cell r="D29">
            <v>15</v>
          </cell>
          <cell r="E29">
            <v>0.4287945249775944</v>
          </cell>
          <cell r="F29">
            <v>0</v>
          </cell>
          <cell r="G29" t="str">
            <v>A-Da-Proc-MilkingSchedule-All-All-S</v>
          </cell>
        </row>
        <row r="30">
          <cell r="A30" t="str">
            <v>Compressor Upgrade - Any - Oregon</v>
          </cell>
          <cell r="B30" t="str">
            <v>Refrigeration</v>
          </cell>
          <cell r="C30">
            <v>1.435185194428604</v>
          </cell>
          <cell r="D30">
            <v>15</v>
          </cell>
          <cell r="E30">
            <v>0.4287945249775944</v>
          </cell>
          <cell r="F30">
            <v>0</v>
          </cell>
          <cell r="G30" t="str">
            <v>A-Da-Proc-MilkingSchedule-All-All-S</v>
          </cell>
        </row>
        <row r="31">
          <cell r="A31" t="str">
            <v>Compressor Upgrade - Any - Washington</v>
          </cell>
          <cell r="B31" t="str">
            <v>Refrigeration</v>
          </cell>
          <cell r="C31">
            <v>1.435185194428604</v>
          </cell>
          <cell r="D31">
            <v>15</v>
          </cell>
          <cell r="E31">
            <v>0.4287945249775944</v>
          </cell>
          <cell r="F31">
            <v>0</v>
          </cell>
          <cell r="G31" t="str">
            <v>A-Da-Proc-MilkingSchedule-All-All-S</v>
          </cell>
        </row>
        <row r="32">
          <cell r="A32" t="str">
            <v>VSD - Milk Transfer Pump - Any - Idaho</v>
          </cell>
          <cell r="B32" t="str">
            <v>Pump</v>
          </cell>
          <cell r="C32">
            <v>0.88202778278355898</v>
          </cell>
          <cell r="D32">
            <v>15</v>
          </cell>
          <cell r="E32">
            <v>0.94668074902378141</v>
          </cell>
          <cell r="F32">
            <v>0</v>
          </cell>
          <cell r="G32" t="str">
            <v>A-Da-Proc-MilkingSchedule-All-All-S</v>
          </cell>
        </row>
        <row r="33">
          <cell r="A33" t="str">
            <v>VSD - Milk Transfer Pump - Any - Montana</v>
          </cell>
          <cell r="B33" t="str">
            <v>Pump</v>
          </cell>
          <cell r="C33">
            <v>0.88202778278355898</v>
          </cell>
          <cell r="D33">
            <v>15</v>
          </cell>
          <cell r="E33">
            <v>0.94668074902378141</v>
          </cell>
          <cell r="F33">
            <v>0</v>
          </cell>
          <cell r="G33" t="str">
            <v>A-Da-Proc-MilkingSchedule-All-All-S</v>
          </cell>
        </row>
        <row r="34">
          <cell r="A34" t="str">
            <v>VSD - Milk Transfer Pump - Any - Oregon</v>
          </cell>
          <cell r="B34" t="str">
            <v>Pump</v>
          </cell>
          <cell r="C34">
            <v>0.88202778278355898</v>
          </cell>
          <cell r="D34">
            <v>15</v>
          </cell>
          <cell r="E34">
            <v>0.94668074902378141</v>
          </cell>
          <cell r="F34">
            <v>0</v>
          </cell>
          <cell r="G34" t="str">
            <v>A-Da-Proc-MilkingSchedule-All-All-S</v>
          </cell>
        </row>
        <row r="35">
          <cell r="A35" t="str">
            <v>VSD - Milk Transfer Pump - Any - Washington</v>
          </cell>
          <cell r="B35" t="str">
            <v>Pump</v>
          </cell>
          <cell r="C35">
            <v>0.88202778278355898</v>
          </cell>
          <cell r="D35">
            <v>15</v>
          </cell>
          <cell r="E35">
            <v>0.94668074902378141</v>
          </cell>
          <cell r="F35">
            <v>0</v>
          </cell>
          <cell r="G35" t="str">
            <v>A-Da-Proc-MilkingSchedule-All-All-S</v>
          </cell>
        </row>
        <row r="36">
          <cell r="A36" t="str">
            <v>Energy Efficient Lighting - Free Stall - Idaho</v>
          </cell>
          <cell r="B36" t="str">
            <v>Lighting</v>
          </cell>
          <cell r="C36">
            <v>1.7274116258073478</v>
          </cell>
          <cell r="D36">
            <v>8</v>
          </cell>
          <cell r="E36">
            <v>0.30844890531308222</v>
          </cell>
          <cell r="F36">
            <v>0</v>
          </cell>
          <cell r="G36" t="str">
            <v>C-All-Lgt-LPD Int-All-All-E</v>
          </cell>
        </row>
        <row r="37">
          <cell r="A37" t="str">
            <v>Energy Efficient Lighting - Free Stall - Montana</v>
          </cell>
          <cell r="B37" t="str">
            <v>Lighting</v>
          </cell>
          <cell r="C37">
            <v>1.7274116258073478</v>
          </cell>
          <cell r="D37">
            <v>8</v>
          </cell>
          <cell r="E37">
            <v>0.30844890531308222</v>
          </cell>
          <cell r="F37">
            <v>0</v>
          </cell>
          <cell r="G37" t="str">
            <v>C-All-Lgt-LPD Int-All-All-E</v>
          </cell>
        </row>
        <row r="38">
          <cell r="A38" t="str">
            <v>Energy Efficient Lighting - Free Stall - Oregon</v>
          </cell>
          <cell r="B38" t="str">
            <v>Lighting</v>
          </cell>
          <cell r="C38">
            <v>1.7274116258073478</v>
          </cell>
          <cell r="D38">
            <v>8</v>
          </cell>
          <cell r="E38">
            <v>0.30844890531308222</v>
          </cell>
          <cell r="F38">
            <v>0</v>
          </cell>
          <cell r="G38" t="str">
            <v>C-All-Lgt-LPD Int-All-All-E</v>
          </cell>
        </row>
        <row r="39">
          <cell r="A39" t="str">
            <v>Energy Efficient Lighting - Free Stall - Washington</v>
          </cell>
          <cell r="B39" t="str">
            <v>Lighting</v>
          </cell>
          <cell r="C39">
            <v>1.7274116258073478</v>
          </cell>
          <cell r="D39">
            <v>8</v>
          </cell>
          <cell r="E39">
            <v>0.30844890531308222</v>
          </cell>
          <cell r="F39">
            <v>0</v>
          </cell>
          <cell r="G39" t="str">
            <v>C-All-Lgt-LPD Int-All-All-E</v>
          </cell>
        </row>
        <row r="40">
          <cell r="A40" t="str">
            <v>Energy Efficient Lighting - Tie Stall - Idaho</v>
          </cell>
          <cell r="B40" t="str">
            <v>Lighting</v>
          </cell>
          <cell r="C40">
            <v>3.5488575595527467</v>
          </cell>
          <cell r="D40">
            <v>8</v>
          </cell>
          <cell r="E40">
            <v>0.60327114126057368</v>
          </cell>
          <cell r="F40">
            <v>0</v>
          </cell>
          <cell r="G40" t="str">
            <v>C-All-Lgt-LPD Int-All-All-E</v>
          </cell>
        </row>
        <row r="41">
          <cell r="A41" t="str">
            <v>Energy Efficient Lighting - Tie Stall - Montana</v>
          </cell>
          <cell r="B41" t="str">
            <v>Lighting</v>
          </cell>
          <cell r="C41">
            <v>3.5488575595527467</v>
          </cell>
          <cell r="D41">
            <v>8</v>
          </cell>
          <cell r="E41">
            <v>0.60327114126057368</v>
          </cell>
          <cell r="F41">
            <v>0</v>
          </cell>
          <cell r="G41" t="str">
            <v>C-All-Lgt-LPD Int-All-All-E</v>
          </cell>
        </row>
        <row r="42">
          <cell r="A42" t="str">
            <v>Energy Efficient Lighting - Tie Stall - Oregon</v>
          </cell>
          <cell r="B42" t="str">
            <v>Lighting</v>
          </cell>
          <cell r="C42">
            <v>3.5488575595527467</v>
          </cell>
          <cell r="D42">
            <v>8</v>
          </cell>
          <cell r="E42">
            <v>0.60327114126057368</v>
          </cell>
          <cell r="F42">
            <v>0</v>
          </cell>
          <cell r="G42" t="str">
            <v>C-All-Lgt-LPD Int-All-All-E</v>
          </cell>
        </row>
        <row r="43">
          <cell r="A43" t="str">
            <v>Energy Efficient Lighting - Tie Stall - Washington</v>
          </cell>
          <cell r="B43" t="str">
            <v>Lighting</v>
          </cell>
          <cell r="C43">
            <v>3.5488575595527467</v>
          </cell>
          <cell r="D43">
            <v>8</v>
          </cell>
          <cell r="E43">
            <v>0.60327114126057368</v>
          </cell>
          <cell r="F43">
            <v>0</v>
          </cell>
          <cell r="G43" t="str">
            <v>C-All-Lgt-LPD Int-All-All-E</v>
          </cell>
        </row>
        <row r="44">
          <cell r="A44" t="str">
            <v>High Volume Low Speed Fans - Any - Idaho</v>
          </cell>
          <cell r="B44" t="str">
            <v>Ventilation</v>
          </cell>
          <cell r="C44">
            <v>3582.6179919698643</v>
          </cell>
          <cell r="D44">
            <v>15</v>
          </cell>
          <cell r="E44">
            <v>2514.0647053927014</v>
          </cell>
          <cell r="F44">
            <v>7.6517253394153641</v>
          </cell>
          <cell r="G44" t="str">
            <v>C-All-HVAC-Vent-All-All-E</v>
          </cell>
        </row>
        <row r="45">
          <cell r="A45" t="str">
            <v>High Volume Low Speed Fans - Any - Montana</v>
          </cell>
          <cell r="B45" t="str">
            <v>Ventilation</v>
          </cell>
          <cell r="C45">
            <v>2726.5370470897797</v>
          </cell>
          <cell r="D45">
            <v>15</v>
          </cell>
          <cell r="E45">
            <v>2514.0647053927014</v>
          </cell>
          <cell r="F45">
            <v>7.6517253394153641</v>
          </cell>
          <cell r="G45" t="str">
            <v>C-All-HVAC-Vent-All-All-E</v>
          </cell>
        </row>
        <row r="46">
          <cell r="A46" t="str">
            <v>High Volume Low Speed Fans - Any - Oregon</v>
          </cell>
          <cell r="B46" t="str">
            <v>Ventilation</v>
          </cell>
          <cell r="C46">
            <v>2907.4447184606656</v>
          </cell>
          <cell r="D46">
            <v>15</v>
          </cell>
          <cell r="E46">
            <v>2514.0647053927014</v>
          </cell>
          <cell r="F46">
            <v>7.6517253394153641</v>
          </cell>
          <cell r="G46" t="str">
            <v>C-All-HVAC-Vent-All-All-E</v>
          </cell>
        </row>
        <row r="47">
          <cell r="A47" t="str">
            <v>High Volume Low Speed Fans - Any - Washington</v>
          </cell>
          <cell r="B47" t="str">
            <v>Ventilation</v>
          </cell>
          <cell r="C47">
            <v>3081.2453027419806</v>
          </cell>
          <cell r="D47">
            <v>15</v>
          </cell>
          <cell r="E47">
            <v>2514.0647053927014</v>
          </cell>
          <cell r="F47">
            <v>7.6517253394153641</v>
          </cell>
          <cell r="G47" t="str">
            <v>C-All-HVAC-Vent-All-All-E</v>
          </cell>
        </row>
        <row r="48">
          <cell r="A48" t="str">
            <v>Efficient High Speed Fans - Any - Idaho</v>
          </cell>
          <cell r="B48" t="str">
            <v>Ventilation</v>
          </cell>
          <cell r="C48">
            <v>181.96950133835591</v>
          </cell>
          <cell r="D48">
            <v>10</v>
          </cell>
          <cell r="E48">
            <v>165.33373046117987</v>
          </cell>
          <cell r="F48">
            <v>0</v>
          </cell>
          <cell r="G48" t="str">
            <v>C-All-HVAC-CAC-All-All-E</v>
          </cell>
        </row>
        <row r="49">
          <cell r="A49" t="str">
            <v>Efficient High Speed Fans - Any - Montana</v>
          </cell>
          <cell r="B49" t="str">
            <v>Ventilation</v>
          </cell>
          <cell r="C49">
            <v>138.48715881837006</v>
          </cell>
          <cell r="D49">
            <v>10</v>
          </cell>
          <cell r="E49">
            <v>165.33373046117987</v>
          </cell>
          <cell r="F49">
            <v>0</v>
          </cell>
          <cell r="G49" t="str">
            <v>C-All-HVAC-CAC-All-All-E</v>
          </cell>
        </row>
        <row r="50">
          <cell r="A50" t="str">
            <v>Efficient High Speed Fans - Any - Oregon</v>
          </cell>
          <cell r="B50" t="str">
            <v>Ventilation</v>
          </cell>
          <cell r="C50">
            <v>147.67588025655576</v>
          </cell>
          <cell r="D50">
            <v>10</v>
          </cell>
          <cell r="E50">
            <v>165.33373046117987</v>
          </cell>
          <cell r="F50">
            <v>0</v>
          </cell>
          <cell r="G50" t="str">
            <v>C-All-HVAC-CAC-All-All-E</v>
          </cell>
        </row>
        <row r="51">
          <cell r="A51" t="str">
            <v>Efficient High Speed Fans - Any - Washington</v>
          </cell>
          <cell r="B51" t="str">
            <v>Ventilation</v>
          </cell>
          <cell r="C51">
            <v>156.50361620966984</v>
          </cell>
          <cell r="D51">
            <v>10</v>
          </cell>
          <cell r="E51">
            <v>165.33373046117987</v>
          </cell>
          <cell r="F51">
            <v>0</v>
          </cell>
          <cell r="G51" t="str">
            <v>C-All-HVAC-CAC-All-All-E</v>
          </cell>
        </row>
      </sheetData>
      <sheetData sheetId="7" refreshError="1"/>
      <sheetData sheetId="8" refreshError="1"/>
      <sheetData sheetId="9" refreshError="1"/>
      <sheetData sheetId="10" refreshError="1"/>
      <sheetData sheetId="11" refreshError="1"/>
      <sheetData sheetId="12" refreshError="1"/>
      <sheetData sheetId="13" refreshError="1"/>
      <sheetData sheetId="14">
        <row r="41">
          <cell r="P41">
            <v>1.2832218870758683</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Forecast Switchboard"/>
      <sheetName val="Lists&amp;Tables"/>
      <sheetName val="Res Forecast (Low)"/>
      <sheetName val="Res Forecast (Base Case)"/>
      <sheetName val="Res Forecast (High)"/>
      <sheetName val="Com Forecast (Low)"/>
      <sheetName val="Com Forecast (Base Case)"/>
      <sheetName val="Com Forecast (High)"/>
      <sheetName val="Ind Forecast (Low)"/>
      <sheetName val="Ind Forecast (Base Case)"/>
      <sheetName val="Ind Forecast (High)"/>
      <sheetName val="Ag Forecast (Low)"/>
      <sheetName val="Ag Forecast (Base Case)"/>
      <sheetName val="Ag Forecast (High)"/>
      <sheetName val="Pop Forecast (High)"/>
      <sheetName val="Pop Forecast (Base Case)"/>
      <sheetName val="Pop Forecast (Low)"/>
      <sheetName val="DEI (Base Case)"/>
      <sheetName val="Dairy Forecast (Base Case)"/>
      <sheetName val="Dairy Forecast (Low)"/>
      <sheetName val="Dairy Forecast (High)"/>
      <sheetName val="EV Forecast (Base Case)"/>
      <sheetName val="EV Forecast (Low)"/>
      <sheetName val="EV Forecast (High)"/>
      <sheetName val="DEI Forecast (Base Case)"/>
      <sheetName val="DEI Forecast (High)"/>
      <sheetName val="DEI Forecast (Low)"/>
      <sheetName val="DataCenter Forecast (Base Case)"/>
      <sheetName val="DataCenter Forecast (High)"/>
      <sheetName val="DataCenter Forecast (Low)"/>
      <sheetName val="2021P Forecasts"/>
      <sheetName val="CHAR"/>
      <sheetName val="MLIST"/>
      <sheetName val="RAMP"/>
      <sheetName val="APPLIC"/>
      <sheetName val="Overview"/>
      <sheetName val="FILES"/>
      <sheetName val="BASE"/>
      <sheetName val="FEAS"/>
      <sheetName val="STOCK"/>
      <sheetName val="TURN"/>
      <sheetName val="ACHIEV"/>
      <sheetName val="CODE"/>
      <sheetName val="Floor"/>
      <sheetName val="Vars"/>
      <sheetName val="Labels"/>
      <sheetName val="Lookup"/>
      <sheetName val="EUI"/>
      <sheetName val="CBSA Heat Type Data"/>
      <sheetName val="CBSA Data New"/>
      <sheetName val="BPA Taxonomy"/>
      <sheetName val="Sheet1"/>
      <sheetName val="Sheet2"/>
    </sheetNames>
    <sheetDataSet>
      <sheetData sheetId="0" refreshError="1"/>
      <sheetData sheetId="1">
        <row r="3">
          <cell r="H3" t="str">
            <v>Base</v>
          </cell>
        </row>
      </sheetData>
      <sheetData sheetId="2" refreshError="1"/>
      <sheetData sheetId="3" refreshError="1"/>
      <sheetData sheetId="4" refreshError="1">
        <row r="14">
          <cell r="C14" t="str">
            <v>OR_Single Family</v>
          </cell>
          <cell r="D14" t="str">
            <v>Single Family</v>
          </cell>
          <cell r="E14" t="str">
            <v>New</v>
          </cell>
          <cell r="F14">
            <v>15923.065537125671</v>
          </cell>
          <cell r="G14">
            <v>15761.514233895034</v>
          </cell>
          <cell r="H14">
            <v>15366.319790936281</v>
          </cell>
          <cell r="I14">
            <v>15192.367086595121</v>
          </cell>
          <cell r="J14">
            <v>15342.317782144461</v>
          </cell>
          <cell r="K14">
            <v>14991.909530235114</v>
          </cell>
          <cell r="L14">
            <v>14318.18084556169</v>
          </cell>
          <cell r="M14">
            <v>13729.530662814577</v>
          </cell>
          <cell r="N14">
            <v>13436.778530247113</v>
          </cell>
          <cell r="O14">
            <v>13441.066441801591</v>
          </cell>
          <cell r="P14">
            <v>13382.031871170335</v>
          </cell>
          <cell r="Q14">
            <v>12858.367101515532</v>
          </cell>
          <cell r="R14">
            <v>12658.092194348033</v>
          </cell>
          <cell r="S14">
            <v>12638.736305544533</v>
          </cell>
          <cell r="T14">
            <v>12616.91030978374</v>
          </cell>
          <cell r="U14">
            <v>12333.83069193032</v>
          </cell>
          <cell r="V14">
            <v>12092.740499347299</v>
          </cell>
          <cell r="W14">
            <v>11798.721661085419</v>
          </cell>
          <cell r="X14">
            <v>11440.344174972148</v>
          </cell>
          <cell r="Y14">
            <v>11203.022285587116</v>
          </cell>
          <cell r="Z14">
            <v>10956.520607899636</v>
          </cell>
          <cell r="AA14">
            <v>10620.80159377332</v>
          </cell>
          <cell r="AB14">
            <v>10523.500059387841</v>
          </cell>
          <cell r="AC14">
            <v>10474.901482612293</v>
          </cell>
          <cell r="AD14">
            <v>10478.698462505223</v>
          </cell>
          <cell r="AE14">
            <v>10435.581164966779</v>
          </cell>
          <cell r="AF14">
            <v>10336.26750344739</v>
          </cell>
          <cell r="AG14">
            <v>10220.799430835767</v>
          </cell>
          <cell r="AH14">
            <v>10107.168779182561</v>
          </cell>
          <cell r="AI14">
            <v>10177.213030162422</v>
          </cell>
          <cell r="AJ14"/>
          <cell r="AK14"/>
          <cell r="AL14"/>
          <cell r="AM14"/>
          <cell r="AN14"/>
          <cell r="AO14"/>
          <cell r="AP14"/>
          <cell r="AQ14"/>
          <cell r="AR14"/>
          <cell r="AS14"/>
          <cell r="AT14"/>
          <cell r="AU14"/>
          <cell r="AV14"/>
          <cell r="AW14"/>
          <cell r="AX14"/>
          <cell r="AY14"/>
          <cell r="AZ14"/>
          <cell r="BA14"/>
          <cell r="BB14"/>
          <cell r="BC14"/>
          <cell r="BD14"/>
        </row>
        <row r="15">
          <cell r="C15" t="str">
            <v>OR_Multi Family</v>
          </cell>
          <cell r="D15" t="str">
            <v>Multifamily - Low Rise</v>
          </cell>
          <cell r="E15" t="str">
            <v>New</v>
          </cell>
          <cell r="F15">
            <v>7240.812384363091</v>
          </cell>
          <cell r="G15">
            <v>7307.6866732296457</v>
          </cell>
          <cell r="H15">
            <v>7272.1248684348957</v>
          </cell>
          <cell r="I15">
            <v>7152.3195741428499</v>
          </cell>
          <cell r="J15">
            <v>7032.8593077250025</v>
          </cell>
          <cell r="K15">
            <v>6728.2734812135986</v>
          </cell>
          <cell r="L15">
            <v>6422.6176022678783</v>
          </cell>
          <cell r="M15">
            <v>6132.7242531271959</v>
          </cell>
          <cell r="N15">
            <v>5745.5905848879947</v>
          </cell>
          <cell r="O15">
            <v>5506.2466614394789</v>
          </cell>
          <cell r="P15">
            <v>5380.6971373600472</v>
          </cell>
          <cell r="Q15">
            <v>5183.0405550433652</v>
          </cell>
          <cell r="R15">
            <v>5065.8427038171285</v>
          </cell>
          <cell r="S15">
            <v>4832.6768802514343</v>
          </cell>
          <cell r="T15">
            <v>4758.4076710880927</v>
          </cell>
          <cell r="U15">
            <v>4572.614546892607</v>
          </cell>
          <cell r="V15">
            <v>4535.7006287591967</v>
          </cell>
          <cell r="W15">
            <v>4237.5705346844734</v>
          </cell>
          <cell r="X15">
            <v>4113.8878929064076</v>
          </cell>
          <cell r="Y15">
            <v>4002.86457066802</v>
          </cell>
          <cell r="Z15">
            <v>3856.5388034567382</v>
          </cell>
          <cell r="AA15">
            <v>3553.8584073546008</v>
          </cell>
          <cell r="AB15">
            <v>3607.6722172916216</v>
          </cell>
          <cell r="AC15">
            <v>3579.6384694164326</v>
          </cell>
          <cell r="AD15">
            <v>3635.7097937078679</v>
          </cell>
          <cell r="AE15">
            <v>3678.8506150055746</v>
          </cell>
          <cell r="AF15">
            <v>3698.7039267057203</v>
          </cell>
          <cell r="AG15">
            <v>3656.7399965883792</v>
          </cell>
          <cell r="AH15">
            <v>3615.1122398217849</v>
          </cell>
          <cell r="AI15">
            <v>3573.8101481011909</v>
          </cell>
          <cell r="AJ15"/>
          <cell r="AK15"/>
          <cell r="AL15"/>
          <cell r="AM15"/>
          <cell r="AN15"/>
          <cell r="AO15"/>
          <cell r="AP15"/>
          <cell r="AQ15"/>
          <cell r="AR15"/>
          <cell r="AS15"/>
          <cell r="AT15"/>
          <cell r="AU15"/>
          <cell r="AV15"/>
          <cell r="AW15"/>
          <cell r="AX15"/>
          <cell r="AY15"/>
          <cell r="AZ15"/>
          <cell r="BA15"/>
          <cell r="BB15"/>
          <cell r="BC15"/>
          <cell r="BD15"/>
        </row>
        <row r="16">
          <cell r="C16" t="str">
            <v>OR</v>
          </cell>
          <cell r="D16" t="str">
            <v>Multifamily - High Rise</v>
          </cell>
          <cell r="E16" t="str">
            <v>New</v>
          </cell>
          <cell r="F16">
            <v>1698.4621642333175</v>
          </cell>
          <cell r="G16">
            <v>1714.1487258192997</v>
          </cell>
          <cell r="H16">
            <v>1705.8070679044818</v>
          </cell>
          <cell r="I16">
            <v>1677.7045914656067</v>
          </cell>
          <cell r="J16">
            <v>1649.6830474910498</v>
          </cell>
          <cell r="K16">
            <v>1578.2369894204737</v>
          </cell>
          <cell r="L16">
            <v>1506.5399313961689</v>
          </cell>
          <cell r="M16">
            <v>1438.5402569063792</v>
          </cell>
          <cell r="N16">
            <v>1347.7311248502704</v>
          </cell>
          <cell r="O16">
            <v>1291.5887230537048</v>
          </cell>
          <cell r="P16">
            <v>1262.1388346893939</v>
          </cell>
          <cell r="Q16">
            <v>1215.7749450101721</v>
          </cell>
          <cell r="R16">
            <v>1188.2840910188327</v>
          </cell>
          <cell r="S16">
            <v>1133.5908731453981</v>
          </cell>
          <cell r="T16">
            <v>1116.169700625602</v>
          </cell>
          <cell r="U16">
            <v>1072.5885974192536</v>
          </cell>
          <cell r="V16">
            <v>1063.9297771163547</v>
          </cell>
          <cell r="W16">
            <v>993.99802665438267</v>
          </cell>
          <cell r="X16">
            <v>964.98604895335484</v>
          </cell>
          <cell r="Y16">
            <v>938.94354126780706</v>
          </cell>
          <cell r="Z16">
            <v>904.62021315651873</v>
          </cell>
          <cell r="AA16">
            <v>833.62110789799272</v>
          </cell>
          <cell r="AB16">
            <v>846.24410035235564</v>
          </cell>
          <cell r="AC16">
            <v>839.66828294953348</v>
          </cell>
          <cell r="AD16">
            <v>852.82081580801832</v>
          </cell>
          <cell r="AE16">
            <v>862.94026771735696</v>
          </cell>
          <cell r="AF16">
            <v>867.59721737541588</v>
          </cell>
          <cell r="AG16">
            <v>857.7538263602371</v>
          </cell>
          <cell r="AH16">
            <v>847.98929082239397</v>
          </cell>
          <cell r="AI16">
            <v>838.30114585089655</v>
          </cell>
          <cell r="AJ16"/>
          <cell r="AK16"/>
          <cell r="AL16"/>
          <cell r="AM16"/>
          <cell r="AN16"/>
          <cell r="AO16"/>
          <cell r="AP16"/>
          <cell r="AQ16"/>
          <cell r="AR16"/>
          <cell r="AS16"/>
          <cell r="AT16"/>
          <cell r="AU16"/>
          <cell r="AV16"/>
          <cell r="AW16"/>
          <cell r="AX16"/>
          <cell r="AY16"/>
          <cell r="AZ16"/>
          <cell r="BA16"/>
          <cell r="BB16"/>
          <cell r="BC16"/>
          <cell r="BD16"/>
        </row>
        <row r="17">
          <cell r="C17" t="str">
            <v>OR_Other Family</v>
          </cell>
          <cell r="D17" t="str">
            <v>Manufactured</v>
          </cell>
          <cell r="E17" t="str">
            <v>New</v>
          </cell>
          <cell r="F17">
            <v>1716.9776545503391</v>
          </cell>
          <cell r="G17">
            <v>1755.858241513844</v>
          </cell>
          <cell r="H17">
            <v>1786.5472787962167</v>
          </cell>
          <cell r="I17">
            <v>1827.041404323166</v>
          </cell>
          <cell r="J17">
            <v>1881.3592696652386</v>
          </cell>
          <cell r="K17">
            <v>1904.7682905406875</v>
          </cell>
          <cell r="L17">
            <v>1903.8779195558132</v>
          </cell>
          <cell r="M17">
            <v>1936.7142377468745</v>
          </cell>
          <cell r="N17">
            <v>1984.1740145920294</v>
          </cell>
          <cell r="O17">
            <v>2051.5055779848235</v>
          </cell>
          <cell r="P17">
            <v>2123.4936521935306</v>
          </cell>
          <cell r="Q17">
            <v>2132.9692449043691</v>
          </cell>
          <cell r="R17">
            <v>2186.4020691815999</v>
          </cell>
          <cell r="S17">
            <v>2255.0303480866141</v>
          </cell>
          <cell r="T17">
            <v>2321.1781689431446</v>
          </cell>
          <cell r="U17">
            <v>2338.4854344477981</v>
          </cell>
          <cell r="V17">
            <v>2384.1426452947185</v>
          </cell>
          <cell r="W17">
            <v>2420.59643420985</v>
          </cell>
          <cell r="X17">
            <v>2439.6202997240225</v>
          </cell>
          <cell r="Y17">
            <v>2478.9976022366513</v>
          </cell>
          <cell r="Z17">
            <v>2509.5291917162886</v>
          </cell>
          <cell r="AA17">
            <v>2523.8610386373252</v>
          </cell>
          <cell r="AB17">
            <v>2582.7024025085902</v>
          </cell>
          <cell r="AC17">
            <v>2660.1007680151092</v>
          </cell>
          <cell r="AD17">
            <v>2747.0699652429603</v>
          </cell>
          <cell r="AE17">
            <v>2823.1977756825804</v>
          </cell>
          <cell r="AF17">
            <v>2885.0431719208605</v>
          </cell>
          <cell r="AG17">
            <v>2945.3371867660949</v>
          </cell>
          <cell r="AH17">
            <v>3006.2604050512896</v>
          </cell>
          <cell r="AI17">
            <v>3067.8313727603113</v>
          </cell>
          <cell r="AJ17"/>
          <cell r="AK17"/>
          <cell r="AL17"/>
          <cell r="AM17"/>
          <cell r="AN17"/>
          <cell r="AO17"/>
          <cell r="AP17"/>
          <cell r="AQ17"/>
          <cell r="AR17"/>
          <cell r="AS17"/>
          <cell r="AT17"/>
          <cell r="AU17"/>
          <cell r="AV17"/>
          <cell r="AW17"/>
          <cell r="AX17"/>
          <cell r="AY17"/>
          <cell r="AZ17"/>
          <cell r="BA17"/>
          <cell r="BB17"/>
          <cell r="BC17"/>
          <cell r="BD17"/>
        </row>
        <row r="18">
          <cell r="C18" t="str">
            <v>OR_Single Family</v>
          </cell>
          <cell r="D18" t="str">
            <v>Single Family</v>
          </cell>
          <cell r="E18" t="str">
            <v>Existing</v>
          </cell>
          <cell r="F18">
            <v>1339222.1770298574</v>
          </cell>
          <cell r="G18">
            <v>1336181.0963513025</v>
          </cell>
          <cell r="H18">
            <v>1333146.9213018895</v>
          </cell>
          <cell r="I18">
            <v>1330119.6362004452</v>
          </cell>
          <cell r="J18">
            <v>1327099.2254014045</v>
          </cell>
          <cell r="K18">
            <v>1324085.67329473</v>
          </cell>
          <cell r="L18">
            <v>1321078.9643058314</v>
          </cell>
          <cell r="M18">
            <v>1318079.0828954845</v>
          </cell>
          <cell r="N18">
            <v>1315086.0135597519</v>
          </cell>
          <cell r="O18">
            <v>1312099.740829902</v>
          </cell>
          <cell r="P18">
            <v>1309120.249272329</v>
          </cell>
          <cell r="Q18">
            <v>1306147.5234884738</v>
          </cell>
          <cell r="R18">
            <v>1303181.548114744</v>
          </cell>
          <cell r="S18">
            <v>1300222.3078224345</v>
          </cell>
          <cell r="T18">
            <v>1297269.7873176483</v>
          </cell>
          <cell r="U18">
            <v>1294323.9713412176</v>
          </cell>
          <cell r="V18">
            <v>1291384.8446686247</v>
          </cell>
          <cell r="W18">
            <v>1288452.3921099235</v>
          </cell>
          <cell r="X18">
            <v>1285526.5985096612</v>
          </cell>
          <cell r="Y18">
            <v>1282607.448746799</v>
          </cell>
          <cell r="Z18">
            <v>1279694.9277346355</v>
          </cell>
          <cell r="AA18">
            <v>1276789.0204207278</v>
          </cell>
          <cell r="AB18">
            <v>1273889.7117868131</v>
          </cell>
          <cell r="AC18">
            <v>1270996.9868487325</v>
          </cell>
          <cell r="AD18">
            <v>1268110.8306563525</v>
          </cell>
          <cell r="AE18">
            <v>1265231.2282934883</v>
          </cell>
          <cell r="AF18">
            <v>1262358.1648778261</v>
          </cell>
          <cell r="AG18">
            <v>1259491.6255608473</v>
          </cell>
          <cell r="AH18">
            <v>1256631.5955277504</v>
          </cell>
          <cell r="AI18">
            <v>1253778.0599973751</v>
          </cell>
          <cell r="AJ18"/>
          <cell r="AK18"/>
          <cell r="AL18"/>
          <cell r="AM18"/>
          <cell r="AN18"/>
          <cell r="AO18"/>
          <cell r="AP18"/>
          <cell r="AQ18"/>
          <cell r="AR18"/>
          <cell r="AS18"/>
          <cell r="AT18"/>
          <cell r="AU18"/>
          <cell r="AV18"/>
          <cell r="AW18"/>
          <cell r="AX18"/>
          <cell r="AY18"/>
          <cell r="AZ18"/>
          <cell r="BA18"/>
          <cell r="BB18"/>
          <cell r="BC18"/>
          <cell r="BD18"/>
        </row>
        <row r="19">
          <cell r="C19" t="str">
            <v>OR_Multi Family</v>
          </cell>
          <cell r="D19" t="str">
            <v>Multifamily - Low Rise</v>
          </cell>
          <cell r="E19" t="str">
            <v>Existing</v>
          </cell>
          <cell r="F19">
            <v>311200.62611127843</v>
          </cell>
          <cell r="G19">
            <v>310493.94618677528</v>
          </cell>
          <cell r="H19">
            <v>309788.87100363121</v>
          </cell>
          <cell r="I19">
            <v>309085.39691777102</v>
          </cell>
          <cell r="J19">
            <v>308383.52029339439</v>
          </cell>
          <cell r="K19">
            <v>307683.2375029574</v>
          </cell>
          <cell r="L19">
            <v>306984.5449271535</v>
          </cell>
          <cell r="M19">
            <v>306287.43895489501</v>
          </cell>
          <cell r="N19">
            <v>305591.91598329437</v>
          </cell>
          <cell r="O19">
            <v>304897.97241764545</v>
          </cell>
          <cell r="P19">
            <v>304205.60467140505</v>
          </cell>
          <cell r="Q19">
            <v>303514.80916617444</v>
          </cell>
          <cell r="R19">
            <v>302825.58233168075</v>
          </cell>
          <cell r="S19">
            <v>302137.9206057585</v>
          </cell>
          <cell r="T19">
            <v>301451.82043433125</v>
          </cell>
          <cell r="U19">
            <v>300767.27827139327</v>
          </cell>
          <cell r="V19">
            <v>300084.29057899112</v>
          </cell>
          <cell r="W19">
            <v>299402.85382720543</v>
          </cell>
          <cell r="X19">
            <v>298722.96449413261</v>
          </cell>
          <cell r="Y19">
            <v>298044.61906586675</v>
          </cell>
          <cell r="Z19">
            <v>297367.81403648126</v>
          </cell>
          <cell r="AA19">
            <v>296692.54590801091</v>
          </cell>
          <cell r="AB19">
            <v>296018.81119043374</v>
          </cell>
          <cell r="AC19">
            <v>295346.60640165303</v>
          </cell>
          <cell r="AD19">
            <v>294675.92806747917</v>
          </cell>
          <cell r="AE19">
            <v>294006.77272161184</v>
          </cell>
          <cell r="AF19">
            <v>293339.13690562209</v>
          </cell>
          <cell r="AG19">
            <v>292673.0171689344</v>
          </cell>
          <cell r="AH19">
            <v>292008.41006880894</v>
          </cell>
          <cell r="AI19">
            <v>291345.31217032362</v>
          </cell>
          <cell r="AJ19"/>
          <cell r="AK19"/>
          <cell r="AL19"/>
          <cell r="AM19"/>
          <cell r="AN19"/>
          <cell r="AO19"/>
          <cell r="AP19"/>
          <cell r="AQ19"/>
          <cell r="AR19"/>
          <cell r="AS19"/>
          <cell r="AT19"/>
          <cell r="AU19"/>
          <cell r="AV19"/>
          <cell r="AW19"/>
          <cell r="AX19"/>
          <cell r="AY19"/>
          <cell r="AZ19"/>
          <cell r="BA19"/>
          <cell r="BB19"/>
          <cell r="BC19"/>
          <cell r="BD19"/>
        </row>
        <row r="20">
          <cell r="D20" t="str">
            <v>Multifamily - High Rise</v>
          </cell>
          <cell r="E20" t="str">
            <v>Existing</v>
          </cell>
          <cell r="F20">
            <v>72997.677729806033</v>
          </cell>
          <cell r="G20">
            <v>72831.913303070731</v>
          </cell>
          <cell r="H20">
            <v>72666.525297148051</v>
          </cell>
          <cell r="I20">
            <v>72501.512857254915</v>
          </cell>
          <cell r="J20">
            <v>72336.875130549291</v>
          </cell>
          <cell r="K20">
            <v>72172.611266125794</v>
          </cell>
          <cell r="L20">
            <v>72008.720415011296</v>
          </cell>
          <cell r="M20">
            <v>71845.201730160537</v>
          </cell>
          <cell r="N20">
            <v>71682.054366451732</v>
          </cell>
          <cell r="O20">
            <v>71519.277480682227</v>
          </cell>
          <cell r="P20">
            <v>71356.870231564113</v>
          </cell>
          <cell r="Q20">
            <v>71194.831779719898</v>
          </cell>
          <cell r="R20">
            <v>71033.161287678158</v>
          </cell>
          <cell r="S20">
            <v>70871.857919869231</v>
          </cell>
          <cell r="T20">
            <v>70710.920842620864</v>
          </cell>
          <cell r="U20">
            <v>70550.349224153935</v>
          </cell>
          <cell r="V20">
            <v>70390.142234578132</v>
          </cell>
          <cell r="W20">
            <v>70230.299045887659</v>
          </cell>
          <cell r="X20">
            <v>70070.818831957004</v>
          </cell>
          <cell r="Y20">
            <v>69911.700768536612</v>
          </cell>
          <cell r="Z20">
            <v>69752.944033248656</v>
          </cell>
          <cell r="AA20">
            <v>69594.54780558277</v>
          </cell>
          <cell r="AB20">
            <v>69436.51126689183</v>
          </cell>
          <cell r="AC20">
            <v>69278.833600387705</v>
          </cell>
          <cell r="AD20">
            <v>69121.51399113705</v>
          </cell>
          <cell r="AE20">
            <v>68964.551626057058</v>
          </cell>
          <cell r="AF20">
            <v>68807.945693911315</v>
          </cell>
          <cell r="AG20">
            <v>68651.69538530556</v>
          </cell>
          <cell r="AH20">
            <v>68495.799892683543</v>
          </cell>
          <cell r="AI20">
            <v>68340.258410322785</v>
          </cell>
          <cell r="AJ20"/>
          <cell r="AK20"/>
          <cell r="AL20"/>
          <cell r="AM20"/>
          <cell r="AN20"/>
          <cell r="AO20"/>
          <cell r="AP20"/>
          <cell r="AQ20"/>
          <cell r="AR20"/>
          <cell r="AS20"/>
          <cell r="AT20"/>
          <cell r="AU20"/>
          <cell r="AV20"/>
          <cell r="AW20"/>
          <cell r="AX20"/>
          <cell r="AY20"/>
          <cell r="AZ20"/>
          <cell r="BA20"/>
          <cell r="BB20"/>
          <cell r="BC20"/>
          <cell r="BD20"/>
        </row>
        <row r="21">
          <cell r="C21" t="str">
            <v>OR_Other Family</v>
          </cell>
          <cell r="D21" t="str">
            <v>Manufactured</v>
          </cell>
          <cell r="E21" t="str">
            <v>Existing</v>
          </cell>
          <cell r="F21">
            <v>211803.64728502274</v>
          </cell>
          <cell r="G21">
            <v>209540.1045706197</v>
          </cell>
          <cell r="H21">
            <v>207300.75230659655</v>
          </cell>
          <cell r="I21">
            <v>205085.33196993719</v>
          </cell>
          <cell r="J21">
            <v>202893.58780045749</v>
          </cell>
          <cell r="K21">
            <v>200725.26677127898</v>
          </cell>
          <cell r="L21">
            <v>198580.11855961801</v>
          </cell>
          <cell r="M21">
            <v>196457.89551788714</v>
          </cell>
          <cell r="N21">
            <v>194358.3526451053</v>
          </cell>
          <cell r="O21">
            <v>192281.24755861363</v>
          </cell>
          <cell r="P21">
            <v>190226.34046609348</v>
          </cell>
          <cell r="Q21">
            <v>188193.39413788344</v>
          </cell>
          <cell r="R21">
            <v>186182.1738795923</v>
          </cell>
          <cell r="S21">
            <v>184192.44750500465</v>
          </cell>
          <cell r="T21">
            <v>182223.98530927597</v>
          </cell>
          <cell r="U21">
            <v>180276.56004241435</v>
          </cell>
          <cell r="V21">
            <v>178349.94688304546</v>
          </cell>
          <cell r="W21">
            <v>176443.92341245795</v>
          </cell>
          <cell r="X21">
            <v>174558.26958892628</v>
          </cell>
          <cell r="Y21">
            <v>172692.76772230776</v>
          </cell>
          <cell r="Z21">
            <v>170847.20244891141</v>
          </cell>
          <cell r="AA21">
            <v>169021.36070663505</v>
          </cell>
          <cell r="AB21">
            <v>167215.03171036829</v>
          </cell>
          <cell r="AC21">
            <v>165428.0069276584</v>
          </cell>
          <cell r="AD21">
            <v>163660.08005463614</v>
          </cell>
          <cell r="AE21">
            <v>161911.04699219894</v>
          </cell>
          <cell r="AF21">
            <v>160180.70582244857</v>
          </cell>
          <cell r="AG21">
            <v>158468.85678538063</v>
          </cell>
          <cell r="AH21">
            <v>156775.30225582322</v>
          </cell>
          <cell r="AI21">
            <v>155099.84672062198</v>
          </cell>
          <cell r="AJ21"/>
          <cell r="AK21"/>
          <cell r="AL21"/>
          <cell r="AM21"/>
          <cell r="AN21"/>
          <cell r="AO21"/>
          <cell r="AP21"/>
          <cell r="AQ21"/>
          <cell r="AR21"/>
          <cell r="AS21"/>
          <cell r="AT21"/>
          <cell r="AU21"/>
          <cell r="AV21"/>
          <cell r="AW21"/>
          <cell r="AX21"/>
          <cell r="AY21"/>
          <cell r="AZ21"/>
          <cell r="BA21"/>
          <cell r="BB21"/>
          <cell r="BC21"/>
          <cell r="BD21"/>
        </row>
        <row r="22">
          <cell r="AG22"/>
          <cell r="BD22"/>
        </row>
        <row r="23">
          <cell r="D23" t="str">
            <v>WASHINGTON</v>
          </cell>
          <cell r="E23"/>
          <cell r="AG23"/>
          <cell r="BD23"/>
        </row>
        <row r="24">
          <cell r="C24" t="str">
            <v>WA_Single Family</v>
          </cell>
          <cell r="D24" t="str">
            <v>Single Family</v>
          </cell>
          <cell r="E24" t="str">
            <v>New</v>
          </cell>
          <cell r="F24">
            <v>25348.478831339915</v>
          </cell>
          <cell r="G24">
            <v>24270.927532988528</v>
          </cell>
          <cell r="H24">
            <v>23431.327736185329</v>
          </cell>
          <cell r="I24">
            <v>22599.921511157769</v>
          </cell>
          <cell r="J24">
            <v>21976.531553312721</v>
          </cell>
          <cell r="K24">
            <v>21269.488006539159</v>
          </cell>
          <cell r="L24">
            <v>20332.384437510969</v>
          </cell>
          <cell r="M24">
            <v>19884.27229651947</v>
          </cell>
          <cell r="N24">
            <v>19667.869071505986</v>
          </cell>
          <cell r="O24">
            <v>19607.236061131433</v>
          </cell>
          <cell r="P24">
            <v>19545.367838208022</v>
          </cell>
          <cell r="Q24">
            <v>18848.227293670174</v>
          </cell>
          <cell r="R24">
            <v>18614.118087608298</v>
          </cell>
          <cell r="S24">
            <v>18547.56825330721</v>
          </cell>
          <cell r="T24">
            <v>18438.151191780704</v>
          </cell>
          <cell r="U24">
            <v>17963.911576858747</v>
          </cell>
          <cell r="V24">
            <v>17787.152042922753</v>
          </cell>
          <cell r="W24">
            <v>17550.540837405882</v>
          </cell>
          <cell r="X24">
            <v>17172.698180919528</v>
          </cell>
          <cell r="Y24">
            <v>16987.260732723931</v>
          </cell>
          <cell r="Z24">
            <v>16744.174504969145</v>
          </cell>
          <cell r="AA24">
            <v>16371.591235668327</v>
          </cell>
          <cell r="AB24">
            <v>16308.205802434073</v>
          </cell>
          <cell r="AC24">
            <v>16324.284425825292</v>
          </cell>
          <cell r="AD24">
            <v>16397.677809461849</v>
          </cell>
          <cell r="AE24">
            <v>16397.501970582005</v>
          </cell>
          <cell r="AF24">
            <v>16310.149238156759</v>
          </cell>
          <cell r="AG24">
            <v>16220.018756835352</v>
          </cell>
          <cell r="AH24">
            <v>16131.260175954023</v>
          </cell>
          <cell r="AI24">
            <v>16335.782212146261</v>
          </cell>
          <cell r="AJ24"/>
          <cell r="AK24"/>
          <cell r="AL24"/>
          <cell r="AM24"/>
          <cell r="AN24"/>
          <cell r="AO24"/>
          <cell r="AP24"/>
          <cell r="AQ24"/>
          <cell r="AR24"/>
          <cell r="AS24"/>
          <cell r="AT24"/>
          <cell r="AU24"/>
          <cell r="AV24"/>
          <cell r="AW24"/>
          <cell r="AX24"/>
          <cell r="AY24"/>
          <cell r="AZ24"/>
          <cell r="BA24"/>
          <cell r="BB24"/>
          <cell r="BC24"/>
          <cell r="BD24"/>
        </row>
        <row r="25">
          <cell r="C25" t="str">
            <v>WA_Multi Family</v>
          </cell>
          <cell r="D25" t="str">
            <v>Multifamily - Low Rise</v>
          </cell>
          <cell r="E25" t="str">
            <v>New</v>
          </cell>
          <cell r="F25">
            <v>11853.078778630215</v>
          </cell>
          <cell r="G25">
            <v>11597.411768686716</v>
          </cell>
          <cell r="H25">
            <v>11319.568931086351</v>
          </cell>
          <cell r="I25">
            <v>11350.627331434122</v>
          </cell>
          <cell r="J25">
            <v>11542.062815350706</v>
          </cell>
          <cell r="K25">
            <v>11620.92344036676</v>
          </cell>
          <cell r="L25">
            <v>11473.456198789489</v>
          </cell>
          <cell r="M25">
            <v>11604.315899107187</v>
          </cell>
          <cell r="N25">
            <v>11935.032153306143</v>
          </cell>
          <cell r="O25">
            <v>12293.792267180859</v>
          </cell>
          <cell r="P25">
            <v>12594.437485644665</v>
          </cell>
          <cell r="Q25">
            <v>12418.267014549829</v>
          </cell>
          <cell r="R25">
            <v>12521.17805485214</v>
          </cell>
          <cell r="S25">
            <v>12828.503598202911</v>
          </cell>
          <cell r="T25">
            <v>13012.393262250416</v>
          </cell>
          <cell r="U25">
            <v>12924.266268456209</v>
          </cell>
          <cell r="V25">
            <v>12959.666912120545</v>
          </cell>
          <cell r="W25">
            <v>13071.519387398936</v>
          </cell>
          <cell r="X25">
            <v>12940.019957419392</v>
          </cell>
          <cell r="Y25">
            <v>12892.561611592118</v>
          </cell>
          <cell r="Z25">
            <v>12853.108174989102</v>
          </cell>
          <cell r="AA25">
            <v>12813.920138115685</v>
          </cell>
          <cell r="AB25">
            <v>12853.502988086762</v>
          </cell>
          <cell r="AC25">
            <v>13074.652700586868</v>
          </cell>
          <cell r="AD25">
            <v>13303.993684709369</v>
          </cell>
          <cell r="AE25">
            <v>13476.198796070415</v>
          </cell>
          <cell r="AF25">
            <v>13578.5589945756</v>
          </cell>
          <cell r="AG25">
            <v>13677.842440072458</v>
          </cell>
          <cell r="AH25">
            <v>13777.31853996698</v>
          </cell>
          <cell r="AI25">
            <v>13876.942581822022</v>
          </cell>
          <cell r="AJ25"/>
          <cell r="AK25"/>
          <cell r="AL25"/>
          <cell r="AM25"/>
          <cell r="AN25"/>
          <cell r="AO25"/>
          <cell r="AP25"/>
          <cell r="AQ25"/>
          <cell r="AR25"/>
          <cell r="AS25"/>
          <cell r="AT25"/>
          <cell r="AU25"/>
          <cell r="AV25"/>
          <cell r="AW25"/>
          <cell r="AX25"/>
          <cell r="AY25"/>
          <cell r="AZ25"/>
          <cell r="BA25"/>
          <cell r="BB25"/>
          <cell r="BC25"/>
          <cell r="BD25"/>
        </row>
        <row r="26">
          <cell r="C26" t="str">
            <v>WA</v>
          </cell>
          <cell r="D26" t="str">
            <v>Multifamily - High Rise</v>
          </cell>
          <cell r="E26" t="str">
            <v>New</v>
          </cell>
          <cell r="F26">
            <v>4384.0154386714494</v>
          </cell>
          <cell r="G26">
            <v>4289.4536678704299</v>
          </cell>
          <cell r="H26">
            <v>4186.6898786209795</v>
          </cell>
          <cell r="I26">
            <v>4198.1772321742646</v>
          </cell>
          <cell r="J26">
            <v>4268.9821371845082</v>
          </cell>
          <cell r="K26">
            <v>4298.1497656151032</v>
          </cell>
          <cell r="L26">
            <v>4243.6070872235105</v>
          </cell>
          <cell r="M26">
            <v>4292.0072503547135</v>
          </cell>
          <cell r="N26">
            <v>4414.3269608118617</v>
          </cell>
          <cell r="O26">
            <v>4547.0190577244275</v>
          </cell>
          <cell r="P26">
            <v>4658.2166042795343</v>
          </cell>
          <cell r="Q26">
            <v>4593.0576629156903</v>
          </cell>
          <cell r="R26">
            <v>4631.1206504247648</v>
          </cell>
          <cell r="S26">
            <v>4744.7890020750492</v>
          </cell>
          <cell r="T26">
            <v>4812.8029874076883</v>
          </cell>
          <cell r="U26">
            <v>4780.2080718947627</v>
          </cell>
          <cell r="V26">
            <v>4793.3014606473253</v>
          </cell>
          <cell r="W26">
            <v>4834.6715542434422</v>
          </cell>
          <cell r="X26">
            <v>4786.0347787715564</v>
          </cell>
          <cell r="Y26">
            <v>4768.4816919587292</v>
          </cell>
          <cell r="Z26">
            <v>4753.8893249959692</v>
          </cell>
          <cell r="AA26">
            <v>4739.3951195770351</v>
          </cell>
          <cell r="AB26">
            <v>4754.0353517581179</v>
          </cell>
          <cell r="AC26">
            <v>4835.8304509019927</v>
          </cell>
          <cell r="AD26">
            <v>4920.6551984541502</v>
          </cell>
          <cell r="AE26">
            <v>4984.3474999164555</v>
          </cell>
          <cell r="AF26">
            <v>5022.2067514183727</v>
          </cell>
          <cell r="AG26">
            <v>5058.9280257802247</v>
          </cell>
          <cell r="AH26">
            <v>5095.7205558781989</v>
          </cell>
          <cell r="AI26">
            <v>5132.567804235543</v>
          </cell>
          <cell r="AJ26"/>
          <cell r="AK26"/>
          <cell r="AL26"/>
          <cell r="AM26"/>
          <cell r="AN26"/>
          <cell r="AO26"/>
          <cell r="AP26"/>
          <cell r="AQ26"/>
          <cell r="AR26"/>
          <cell r="AS26"/>
          <cell r="AT26"/>
          <cell r="AU26"/>
          <cell r="AV26"/>
          <cell r="AW26"/>
          <cell r="AX26"/>
          <cell r="AY26"/>
          <cell r="AZ26"/>
          <cell r="BA26"/>
          <cell r="BB26"/>
          <cell r="BC26"/>
          <cell r="BD26"/>
        </row>
        <row r="27">
          <cell r="C27" t="str">
            <v>WA_Other Family</v>
          </cell>
          <cell r="D27" t="str">
            <v>Manufactured</v>
          </cell>
          <cell r="E27" t="str">
            <v>New</v>
          </cell>
          <cell r="F27">
            <v>1639.1194792843332</v>
          </cell>
          <cell r="G27">
            <v>1676.2369847387531</v>
          </cell>
          <cell r="H27">
            <v>1705.5343950321878</v>
          </cell>
          <cell r="I27">
            <v>1744.1922714302302</v>
          </cell>
          <cell r="J27">
            <v>1796.0470354799415</v>
          </cell>
          <cell r="K27">
            <v>1818.3945494421839</v>
          </cell>
          <cell r="L27">
            <v>1817.5445532752392</v>
          </cell>
          <cell r="M27">
            <v>1848.8918737440329</v>
          </cell>
          <cell r="N27">
            <v>1894.1995366033691</v>
          </cell>
          <cell r="O27">
            <v>1958.4778787444618</v>
          </cell>
          <cell r="P27">
            <v>2027.2015772730604</v>
          </cell>
          <cell r="Q27">
            <v>2036.2474891688487</v>
          </cell>
          <cell r="R27">
            <v>2087.2573452807637</v>
          </cell>
          <cell r="S27">
            <v>2152.7736019919944</v>
          </cell>
          <cell r="T27">
            <v>2215.9218796593268</v>
          </cell>
          <cell r="U27">
            <v>2232.4443288284469</v>
          </cell>
          <cell r="V27">
            <v>2276.031164959159</v>
          </cell>
          <cell r="W27">
            <v>2310.8319181000961</v>
          </cell>
          <cell r="X27">
            <v>2328.9931262281843</v>
          </cell>
          <cell r="Y27">
            <v>2366.5848231376153</v>
          </cell>
          <cell r="Z27">
            <v>2395.7319252661468</v>
          </cell>
          <cell r="AA27">
            <v>2409.4138793673756</v>
          </cell>
          <cell r="AB27">
            <v>2465.5870191012796</v>
          </cell>
          <cell r="AC27">
            <v>2539.475673522777</v>
          </cell>
          <cell r="AD27">
            <v>2622.5011601364777</v>
          </cell>
          <cell r="AE27">
            <v>2695.1768741599813</v>
          </cell>
          <cell r="AF27">
            <v>2754.2178252227782</v>
          </cell>
          <cell r="AG27">
            <v>2811.7777439294459</v>
          </cell>
          <cell r="AH27">
            <v>2869.9383341778421</v>
          </cell>
          <cell r="AI27">
            <v>2928.7173009644976</v>
          </cell>
          <cell r="AJ27"/>
          <cell r="AK27"/>
          <cell r="AL27"/>
          <cell r="AM27"/>
          <cell r="AN27"/>
          <cell r="AO27"/>
          <cell r="AP27"/>
          <cell r="AQ27"/>
          <cell r="AR27"/>
          <cell r="AS27"/>
          <cell r="AT27"/>
          <cell r="AU27"/>
          <cell r="AV27"/>
          <cell r="AW27"/>
          <cell r="AX27"/>
          <cell r="AY27"/>
          <cell r="AZ27"/>
          <cell r="BA27"/>
          <cell r="BB27"/>
          <cell r="BC27"/>
          <cell r="BD27"/>
        </row>
        <row r="28">
          <cell r="C28" t="str">
            <v>WA_Single Family</v>
          </cell>
          <cell r="D28" t="str">
            <v>Single Family</v>
          </cell>
          <cell r="E28" t="str">
            <v>Existing</v>
          </cell>
          <cell r="F28">
            <v>2284242.2862706552</v>
          </cell>
          <cell r="G28">
            <v>2279055.2715982115</v>
          </cell>
          <cell r="H28">
            <v>2273880.035501698</v>
          </cell>
          <cell r="I28">
            <v>2268716.5512345447</v>
          </cell>
          <cell r="J28">
            <v>2263564.7921109176</v>
          </cell>
          <cell r="K28">
            <v>2258424.7315055798</v>
          </cell>
          <cell r="L28">
            <v>2253296.3428537548</v>
          </cell>
          <cell r="M28">
            <v>2248179.5996509884</v>
          </cell>
          <cell r="N28">
            <v>2243074.4754530131</v>
          </cell>
          <cell r="O28">
            <v>2237980.9438756099</v>
          </cell>
          <cell r="P28">
            <v>2232898.9785944731</v>
          </cell>
          <cell r="Q28">
            <v>2227828.553345073</v>
          </cell>
          <cell r="R28">
            <v>2222769.6419225214</v>
          </cell>
          <cell r="S28">
            <v>2217722.2181814355</v>
          </cell>
          <cell r="T28">
            <v>2212686.2560358029</v>
          </cell>
          <cell r="U28">
            <v>2207661.7294588475</v>
          </cell>
          <cell r="V28">
            <v>2202648.6124828933</v>
          </cell>
          <cell r="W28">
            <v>2197646.879199232</v>
          </cell>
          <cell r="X28">
            <v>2192656.5037579876</v>
          </cell>
          <cell r="Y28">
            <v>2187677.4603679841</v>
          </cell>
          <cell r="Z28">
            <v>2182709.7232966116</v>
          </cell>
          <cell r="AA28">
            <v>2177753.2668696931</v>
          </cell>
          <cell r="AB28">
            <v>2172808.0654713521</v>
          </cell>
          <cell r="AC28">
            <v>2167874.0935438802</v>
          </cell>
          <cell r="AD28">
            <v>2162951.3255876047</v>
          </cell>
          <cell r="AE28">
            <v>2158039.736160757</v>
          </cell>
          <cell r="AF28">
            <v>2153139.2998793423</v>
          </cell>
          <cell r="AG28">
            <v>2148249.9914170061</v>
          </cell>
          <cell r="AH28">
            <v>2143371.7855049046</v>
          </cell>
          <cell r="AI28">
            <v>2138504.6569315749</v>
          </cell>
          <cell r="AJ28"/>
          <cell r="AK28"/>
          <cell r="AL28"/>
          <cell r="AM28"/>
          <cell r="AN28"/>
          <cell r="AO28"/>
          <cell r="AP28"/>
          <cell r="AQ28"/>
          <cell r="AR28"/>
          <cell r="AS28"/>
          <cell r="AT28"/>
          <cell r="AU28"/>
          <cell r="AV28"/>
          <cell r="AW28"/>
          <cell r="AX28"/>
          <cell r="AY28"/>
          <cell r="AZ28"/>
          <cell r="BA28"/>
          <cell r="BB28"/>
          <cell r="BC28"/>
          <cell r="BD28"/>
        </row>
        <row r="29">
          <cell r="C29" t="str">
            <v>WA_Multi Family</v>
          </cell>
          <cell r="D29" t="str">
            <v>Multifamily - Low Rise</v>
          </cell>
          <cell r="E29" t="str">
            <v>Existing</v>
          </cell>
          <cell r="F29">
            <v>575470.91807832522</v>
          </cell>
          <cell r="G29">
            <v>574164.12846796005</v>
          </cell>
          <cell r="H29">
            <v>572860.30633871711</v>
          </cell>
          <cell r="I29">
            <v>571559.44495198736</v>
          </cell>
          <cell r="J29">
            <v>570261.53758446395</v>
          </cell>
          <cell r="K29">
            <v>568966.57752810745</v>
          </cell>
          <cell r="L29">
            <v>567674.55809011124</v>
          </cell>
          <cell r="M29">
            <v>566385.47259286675</v>
          </cell>
          <cell r="N29">
            <v>565099.31437392894</v>
          </cell>
          <cell r="O29">
            <v>563816.07678598224</v>
          </cell>
          <cell r="P29">
            <v>562535.75319680572</v>
          </cell>
          <cell r="Q29">
            <v>561258.33698923909</v>
          </cell>
          <cell r="R29">
            <v>559983.82156114839</v>
          </cell>
          <cell r="S29">
            <v>558712.20032539195</v>
          </cell>
          <cell r="T29">
            <v>557443.46670978621</v>
          </cell>
          <cell r="U29">
            <v>556177.61415707192</v>
          </cell>
          <cell r="V29">
            <v>554914.63612488017</v>
          </cell>
          <cell r="W29">
            <v>553654.52608569863</v>
          </cell>
          <cell r="X29">
            <v>552397.27752683754</v>
          </cell>
          <cell r="Y29">
            <v>551142.88395039656</v>
          </cell>
          <cell r="Z29">
            <v>549891.33887323074</v>
          </cell>
          <cell r="AA29">
            <v>548642.63582691713</v>
          </cell>
          <cell r="AB29">
            <v>547396.76835772151</v>
          </cell>
          <cell r="AC29">
            <v>546153.73002656479</v>
          </cell>
          <cell r="AD29">
            <v>544913.51440898993</v>
          </cell>
          <cell r="AE29">
            <v>543676.11509512865</v>
          </cell>
          <cell r="AF29">
            <v>542441.52568966837</v>
          </cell>
          <cell r="AG29">
            <v>541209.73981181905</v>
          </cell>
          <cell r="AH29">
            <v>539980.75109528017</v>
          </cell>
          <cell r="AI29">
            <v>538754.55318820814</v>
          </cell>
          <cell r="AJ29"/>
          <cell r="AK29"/>
          <cell r="AL29"/>
          <cell r="AM29"/>
          <cell r="AN29"/>
          <cell r="AO29"/>
          <cell r="AP29"/>
          <cell r="AQ29"/>
          <cell r="AR29"/>
          <cell r="AS29"/>
          <cell r="AT29"/>
          <cell r="AU29"/>
          <cell r="AV29"/>
          <cell r="AW29"/>
          <cell r="AX29"/>
          <cell r="AY29"/>
          <cell r="AZ29"/>
          <cell r="BA29"/>
          <cell r="BB29"/>
          <cell r="BC29"/>
          <cell r="BD29"/>
        </row>
        <row r="30">
          <cell r="D30" t="str">
            <v>Multifamily - High Rise</v>
          </cell>
          <cell r="E30" t="str">
            <v>Existing</v>
          </cell>
          <cell r="F30">
            <v>212845.4080563669</v>
          </cell>
          <cell r="G30">
            <v>212362.07491280721</v>
          </cell>
          <cell r="H30">
            <v>211879.83933075843</v>
          </cell>
          <cell r="I30">
            <v>211398.69881785839</v>
          </cell>
          <cell r="J30">
            <v>210918.65088740451</v>
          </cell>
          <cell r="K30">
            <v>210439.69305834116</v>
          </cell>
          <cell r="L30">
            <v>209961.82285524666</v>
          </cell>
          <cell r="M30">
            <v>209485.0378083206</v>
          </cell>
          <cell r="N30">
            <v>209009.33545337102</v>
          </cell>
          <cell r="O30">
            <v>208534.7133318017</v>
          </cell>
          <cell r="P30">
            <v>208061.16899059943</v>
          </cell>
          <cell r="Q30">
            <v>207588.69998232136</v>
          </cell>
          <cell r="R30">
            <v>207117.30386508233</v>
          </cell>
          <cell r="S30">
            <v>206646.97820254226</v>
          </cell>
          <cell r="T30">
            <v>206177.72056389356</v>
          </cell>
          <cell r="U30">
            <v>205709.52852384857</v>
          </cell>
          <cell r="V30">
            <v>205242.39966262697</v>
          </cell>
          <cell r="W30">
            <v>204776.33156594337</v>
          </cell>
          <cell r="X30">
            <v>204311.32182499475</v>
          </cell>
          <cell r="Y30">
            <v>203847.36803644808</v>
          </cell>
          <cell r="Z30">
            <v>203384.46780242783</v>
          </cell>
          <cell r="AA30">
            <v>202922.6187305036</v>
          </cell>
          <cell r="AB30">
            <v>202461.81843367781</v>
          </cell>
          <cell r="AC30">
            <v>202002.06453037326</v>
          </cell>
          <cell r="AD30">
            <v>201543.35464442091</v>
          </cell>
          <cell r="AE30">
            <v>201085.68640504757</v>
          </cell>
          <cell r="AF30">
            <v>200629.05744686365</v>
          </cell>
          <cell r="AG30">
            <v>200173.46540985088</v>
          </cell>
          <cell r="AH30">
            <v>199718.9079393502</v>
          </cell>
          <cell r="AI30">
            <v>199265.38268604959</v>
          </cell>
          <cell r="AJ30"/>
          <cell r="AK30"/>
          <cell r="AL30"/>
          <cell r="AM30"/>
          <cell r="AN30"/>
          <cell r="AO30"/>
          <cell r="AP30"/>
          <cell r="AQ30"/>
          <cell r="AR30"/>
          <cell r="AS30"/>
          <cell r="AT30"/>
          <cell r="AU30"/>
          <cell r="AV30"/>
          <cell r="AW30"/>
          <cell r="AX30"/>
          <cell r="AY30"/>
          <cell r="AZ30"/>
          <cell r="BA30"/>
          <cell r="BB30"/>
          <cell r="BC30"/>
          <cell r="BD30"/>
        </row>
        <row r="31">
          <cell r="C31" t="str">
            <v>WA_Other Family</v>
          </cell>
          <cell r="D31" t="str">
            <v>Manufactured</v>
          </cell>
          <cell r="E31" t="str">
            <v>Existing</v>
          </cell>
          <cell r="F31">
            <v>251928.51061775905</v>
          </cell>
          <cell r="G31">
            <v>249236.15403151076</v>
          </cell>
          <cell r="H31">
            <v>246572.5706236921</v>
          </cell>
          <cell r="I31">
            <v>243937.45289573428</v>
          </cell>
          <cell r="J31">
            <v>241330.49663530156</v>
          </cell>
          <cell r="K31">
            <v>238751.40088117128</v>
          </cell>
          <cell r="L31">
            <v>236199.86788848939</v>
          </cell>
          <cell r="M31">
            <v>233675.60309439697</v>
          </cell>
          <cell r="N31">
            <v>231178.31508402442</v>
          </cell>
          <cell r="O31">
            <v>228707.71555684894</v>
          </cell>
          <cell r="P31">
            <v>226263.51929341152</v>
          </cell>
          <cell r="Q31">
            <v>223845.4441223896</v>
          </cell>
          <cell r="R31">
            <v>221453.21088802177</v>
          </cell>
          <cell r="S31">
            <v>219086.54341788049</v>
          </cell>
          <cell r="T31">
            <v>216745.16849098913</v>
          </cell>
          <cell r="U31">
            <v>214428.81580628004</v>
          </cell>
          <cell r="V31">
            <v>212137.21795138935</v>
          </cell>
          <cell r="W31">
            <v>209870.11037178559</v>
          </cell>
          <cell r="X31">
            <v>207627.23134022788</v>
          </cell>
          <cell r="Y31">
            <v>205408.32192655094</v>
          </cell>
          <cell r="Z31">
            <v>203213.12596777256</v>
          </cell>
          <cell r="AA31">
            <v>201041.39003852094</v>
          </cell>
          <cell r="AB31">
            <v>198892.86342177776</v>
          </cell>
          <cell r="AC31">
            <v>196767.29807993409</v>
          </cell>
          <cell r="AD31">
            <v>194664.44862615556</v>
          </cell>
          <cell r="AE31">
            <v>192584.07229605361</v>
          </cell>
          <cell r="AF31">
            <v>190525.9289196594</v>
          </cell>
          <cell r="AG31">
            <v>188489.78089369732</v>
          </cell>
          <cell r="AH31">
            <v>186475.39315415471</v>
          </cell>
          <cell r="AI31">
            <v>184482.53314914487</v>
          </cell>
          <cell r="AJ31"/>
          <cell r="AK31"/>
          <cell r="AL31"/>
          <cell r="AM31"/>
          <cell r="AN31"/>
          <cell r="AO31"/>
          <cell r="AP31"/>
          <cell r="AQ31"/>
          <cell r="AR31"/>
          <cell r="AS31"/>
          <cell r="AT31"/>
          <cell r="AU31"/>
          <cell r="AV31"/>
          <cell r="AW31"/>
          <cell r="AX31"/>
          <cell r="AY31"/>
          <cell r="AZ31"/>
          <cell r="BA31"/>
          <cell r="BB31"/>
          <cell r="BC31"/>
          <cell r="BD31"/>
        </row>
        <row r="32">
          <cell r="AG32"/>
          <cell r="BD32"/>
        </row>
        <row r="33">
          <cell r="D33" t="str">
            <v>IDAHO</v>
          </cell>
          <cell r="E33"/>
          <cell r="AG33"/>
          <cell r="BD33"/>
        </row>
        <row r="34">
          <cell r="C34" t="str">
            <v>ID_Single Family</v>
          </cell>
          <cell r="D34" t="str">
            <v>Single Family</v>
          </cell>
          <cell r="E34" t="str">
            <v>New</v>
          </cell>
          <cell r="F34">
            <v>10247.65310802045</v>
          </cell>
          <cell r="G34">
            <v>10366.588432608711</v>
          </cell>
          <cell r="H34">
            <v>10328.754037900784</v>
          </cell>
          <cell r="I34">
            <v>10381.622465360768</v>
          </cell>
          <cell r="J34">
            <v>10307.057554644909</v>
          </cell>
          <cell r="K34">
            <v>10078.579076296935</v>
          </cell>
          <cell r="L34">
            <v>9864.0629471246029</v>
          </cell>
          <cell r="M34">
            <v>9946.6470993251878</v>
          </cell>
          <cell r="N34">
            <v>9872.6369614750984</v>
          </cell>
          <cell r="O34">
            <v>9808.7629363807591</v>
          </cell>
          <cell r="P34">
            <v>9862.1859073383494</v>
          </cell>
          <cell r="Q34">
            <v>9763.8570441548381</v>
          </cell>
          <cell r="R34">
            <v>9790.3456596440556</v>
          </cell>
          <cell r="S34">
            <v>9765.3841766406513</v>
          </cell>
          <cell r="T34">
            <v>9727.6623876612321</v>
          </cell>
          <cell r="U34">
            <v>9472.0235577652493</v>
          </cell>
          <cell r="V34">
            <v>9375.1832332351241</v>
          </cell>
          <cell r="W34">
            <v>9243.6383262470044</v>
          </cell>
          <cell r="X34">
            <v>9062.5859653063671</v>
          </cell>
          <cell r="Y34">
            <v>8917.9929561201207</v>
          </cell>
          <cell r="Z34">
            <v>8692.5569885560399</v>
          </cell>
          <cell r="AA34">
            <v>8475.7635816256679</v>
          </cell>
          <cell r="AB34">
            <v>8400.9151051931622</v>
          </cell>
          <cell r="AC34">
            <v>8425.0516253344285</v>
          </cell>
          <cell r="AD34">
            <v>8452.6182602128629</v>
          </cell>
          <cell r="AE34">
            <v>8441.8995483336203</v>
          </cell>
          <cell r="AF34">
            <v>8386.3979084099738</v>
          </cell>
          <cell r="AG34">
            <v>8315.3286458369275</v>
          </cell>
          <cell r="AH34">
            <v>8245.3083002811127</v>
          </cell>
          <cell r="AI34">
            <v>8325.0926349609217</v>
          </cell>
          <cell r="AJ34"/>
          <cell r="AK34"/>
          <cell r="AL34"/>
          <cell r="AM34"/>
          <cell r="AN34"/>
          <cell r="AO34"/>
          <cell r="AP34"/>
          <cell r="AQ34"/>
          <cell r="AR34"/>
          <cell r="AS34"/>
          <cell r="AT34"/>
          <cell r="AU34"/>
          <cell r="AV34"/>
          <cell r="AW34"/>
          <cell r="AX34"/>
          <cell r="AY34"/>
          <cell r="AZ34"/>
          <cell r="BA34"/>
          <cell r="BB34"/>
          <cell r="BC34"/>
          <cell r="BD34"/>
        </row>
        <row r="35">
          <cell r="C35" t="str">
            <v>ID_Multi Family</v>
          </cell>
          <cell r="D35" t="str">
            <v>Multifamily - Low Rise</v>
          </cell>
          <cell r="E35" t="str">
            <v>New</v>
          </cell>
          <cell r="F35">
            <v>1811.6096253029643</v>
          </cell>
          <cell r="G35">
            <v>1806.7994885669962</v>
          </cell>
          <cell r="H35">
            <v>1860.007119007551</v>
          </cell>
          <cell r="I35">
            <v>1849.1493326559496</v>
          </cell>
          <cell r="J35">
            <v>1843.108613986587</v>
          </cell>
          <cell r="K35">
            <v>1808.469522861657</v>
          </cell>
          <cell r="L35">
            <v>1791.139849828417</v>
          </cell>
          <cell r="M35">
            <v>1823.1016613035465</v>
          </cell>
          <cell r="N35">
            <v>1876.7887668515848</v>
          </cell>
          <cell r="O35">
            <v>1948.0335751336215</v>
          </cell>
          <cell r="P35">
            <v>2012.7754530712396</v>
          </cell>
          <cell r="Q35">
            <v>2062.7497384403669</v>
          </cell>
          <cell r="R35">
            <v>2153.1145843613999</v>
          </cell>
          <cell r="S35">
            <v>2287.6974839352833</v>
          </cell>
          <cell r="T35">
            <v>2389.5398215757887</v>
          </cell>
          <cell r="U35">
            <v>2454.1197575408864</v>
          </cell>
          <cell r="V35">
            <v>2505.7008574954107</v>
          </cell>
          <cell r="W35">
            <v>2627.7460600354175</v>
          </cell>
          <cell r="X35">
            <v>2715.8205240031325</v>
          </cell>
          <cell r="Y35">
            <v>2857.3755542553417</v>
          </cell>
          <cell r="Z35">
            <v>2984.7626006339256</v>
          </cell>
          <cell r="AA35">
            <v>3102.5238421212412</v>
          </cell>
          <cell r="AB35">
            <v>3190.481784641277</v>
          </cell>
          <cell r="AC35">
            <v>3305.6522164378352</v>
          </cell>
          <cell r="AD35">
            <v>3404.1612404937268</v>
          </cell>
          <cell r="AE35">
            <v>3489.2802129440952</v>
          </cell>
          <cell r="AF35">
            <v>3558.6834022709318</v>
          </cell>
          <cell r="AG35">
            <v>3671.5914165868667</v>
          </cell>
          <cell r="AH35">
            <v>3787.9350951567408</v>
          </cell>
          <cell r="AI35">
            <v>3907.8033472810839</v>
          </cell>
          <cell r="AJ35"/>
          <cell r="AK35"/>
          <cell r="AL35"/>
          <cell r="AM35"/>
          <cell r="AN35"/>
          <cell r="AO35"/>
          <cell r="AP35"/>
          <cell r="AQ35"/>
          <cell r="AR35"/>
          <cell r="AS35"/>
          <cell r="AT35"/>
          <cell r="AU35"/>
          <cell r="AV35"/>
          <cell r="AW35"/>
          <cell r="AX35"/>
          <cell r="AY35"/>
          <cell r="AZ35"/>
          <cell r="BA35"/>
          <cell r="BB35"/>
          <cell r="BC35"/>
          <cell r="BD35"/>
        </row>
        <row r="36">
          <cell r="C36" t="str">
            <v>ID</v>
          </cell>
          <cell r="D36" t="str">
            <v>Multifamily - High Rise</v>
          </cell>
          <cell r="E36" t="str">
            <v>New</v>
          </cell>
          <cell r="F36">
            <v>136.35771373248119</v>
          </cell>
          <cell r="G36">
            <v>135.99566042977392</v>
          </cell>
          <cell r="H36">
            <v>140.00053583927806</v>
          </cell>
          <cell r="I36">
            <v>139.18328310313601</v>
          </cell>
          <cell r="J36">
            <v>138.72860535382915</v>
          </cell>
          <cell r="K36">
            <v>136.12136193582367</v>
          </cell>
          <cell r="L36">
            <v>134.81697794407441</v>
          </cell>
          <cell r="M36">
            <v>137.22270568951427</v>
          </cell>
          <cell r="N36">
            <v>141.26367062323757</v>
          </cell>
          <cell r="O36">
            <v>146.6261830745737</v>
          </cell>
          <cell r="P36">
            <v>151.49922765052344</v>
          </cell>
          <cell r="Q36">
            <v>155.26073300088788</v>
          </cell>
          <cell r="R36">
            <v>162.06238807021293</v>
          </cell>
          <cell r="S36">
            <v>172.19228373706434</v>
          </cell>
          <cell r="T36">
            <v>179.85783603258628</v>
          </cell>
          <cell r="U36">
            <v>184.71869142780866</v>
          </cell>
          <cell r="V36">
            <v>188.60113981148257</v>
          </cell>
          <cell r="W36">
            <v>197.78733785212825</v>
          </cell>
          <cell r="X36">
            <v>204.41659858088099</v>
          </cell>
          <cell r="Y36">
            <v>215.07127827728382</v>
          </cell>
          <cell r="Z36">
            <v>224.65955058534925</v>
          </cell>
          <cell r="AA36">
            <v>233.52329994460959</v>
          </cell>
          <cell r="AB36">
            <v>240.14379024181662</v>
          </cell>
          <cell r="AC36">
            <v>248.81253242005215</v>
          </cell>
          <cell r="AD36">
            <v>256.22719014468913</v>
          </cell>
          <cell r="AE36">
            <v>262.6339945226739</v>
          </cell>
          <cell r="AF36">
            <v>267.85789049351104</v>
          </cell>
          <cell r="AG36">
            <v>276.35634318395773</v>
          </cell>
          <cell r="AH36">
            <v>285.11339425910955</v>
          </cell>
          <cell r="AI36">
            <v>294.13573581685586</v>
          </cell>
          <cell r="AJ36"/>
          <cell r="AK36"/>
          <cell r="AL36"/>
          <cell r="AM36"/>
          <cell r="AN36"/>
          <cell r="AO36"/>
          <cell r="AP36"/>
          <cell r="AQ36"/>
          <cell r="AR36"/>
          <cell r="AS36"/>
          <cell r="AT36"/>
          <cell r="AU36"/>
          <cell r="AV36"/>
          <cell r="AW36"/>
          <cell r="AX36"/>
          <cell r="AY36"/>
          <cell r="AZ36"/>
          <cell r="BA36"/>
          <cell r="BB36"/>
          <cell r="BC36"/>
          <cell r="BD36"/>
        </row>
        <row r="37">
          <cell r="C37" t="str">
            <v>ID_Other Family</v>
          </cell>
          <cell r="D37" t="str">
            <v>Manufactured</v>
          </cell>
          <cell r="E37" t="str">
            <v>New</v>
          </cell>
          <cell r="F37">
            <v>479.44244769066745</v>
          </cell>
          <cell r="G37">
            <v>490.2993180360852</v>
          </cell>
          <cell r="H37">
            <v>498.8688105469148</v>
          </cell>
          <cell r="I37">
            <v>510.1762393933422</v>
          </cell>
          <cell r="J37">
            <v>525.34375787788269</v>
          </cell>
          <cell r="K37">
            <v>531.88040571183865</v>
          </cell>
          <cell r="L37">
            <v>531.63178183300738</v>
          </cell>
          <cell r="M37">
            <v>540.80087307012946</v>
          </cell>
          <cell r="N37">
            <v>554.05336445648538</v>
          </cell>
          <cell r="O37">
            <v>572.85477953275483</v>
          </cell>
          <cell r="P37">
            <v>592.95646135236996</v>
          </cell>
          <cell r="Q37">
            <v>595.60239058188802</v>
          </cell>
          <cell r="R37">
            <v>610.52277349462315</v>
          </cell>
          <cell r="S37">
            <v>629.68627858265813</v>
          </cell>
          <cell r="T37">
            <v>648.15714980035273</v>
          </cell>
          <cell r="U37">
            <v>652.98996618232036</v>
          </cell>
          <cell r="V37">
            <v>665.73911575055354</v>
          </cell>
          <cell r="W37">
            <v>675.91833604427757</v>
          </cell>
          <cell r="X37">
            <v>681.23048942174341</v>
          </cell>
          <cell r="Y37">
            <v>692.22606076775196</v>
          </cell>
          <cell r="Z37">
            <v>700.75158814034751</v>
          </cell>
          <cell r="AA37">
            <v>704.75355971495685</v>
          </cell>
          <cell r="AB37">
            <v>721.18420308712382</v>
          </cell>
          <cell r="AC37">
            <v>742.79663450541193</v>
          </cell>
          <cell r="AD37">
            <v>767.08158933991922</v>
          </cell>
          <cell r="AE37">
            <v>788.3392356917941</v>
          </cell>
          <cell r="AF37">
            <v>805.60871387766224</v>
          </cell>
          <cell r="AG37">
            <v>822.44499009936249</v>
          </cell>
          <cell r="AH37">
            <v>839.45696274701834</v>
          </cell>
          <cell r="AI37">
            <v>856.64981053211511</v>
          </cell>
          <cell r="AJ37"/>
          <cell r="AK37"/>
          <cell r="AL37"/>
          <cell r="AM37"/>
          <cell r="AN37"/>
          <cell r="AO37"/>
          <cell r="AP37"/>
          <cell r="AQ37"/>
          <cell r="AR37"/>
          <cell r="AS37"/>
          <cell r="AT37"/>
          <cell r="AU37"/>
          <cell r="AV37"/>
          <cell r="AW37"/>
          <cell r="AX37"/>
          <cell r="AY37"/>
          <cell r="AZ37"/>
          <cell r="BA37"/>
          <cell r="BB37"/>
          <cell r="BC37"/>
          <cell r="BD37"/>
        </row>
        <row r="38">
          <cell r="C38" t="str">
            <v>ID_Single Family</v>
          </cell>
          <cell r="D38" t="str">
            <v>Single Family</v>
          </cell>
          <cell r="E38" t="str">
            <v>Existing</v>
          </cell>
          <cell r="F38">
            <v>610284.4353407661</v>
          </cell>
          <cell r="G38">
            <v>608898.61285621487</v>
          </cell>
          <cell r="H38">
            <v>607515.93727144913</v>
          </cell>
          <cell r="I38">
            <v>606136.40144054778</v>
          </cell>
          <cell r="J38">
            <v>604759.99823381635</v>
          </cell>
          <cell r="K38">
            <v>603386.72053775052</v>
          </cell>
          <cell r="L38">
            <v>602016.56125499913</v>
          </cell>
          <cell r="M38">
            <v>600649.5133043275</v>
          </cell>
          <cell r="N38">
            <v>599285.56962058088</v>
          </cell>
          <cell r="O38">
            <v>597924.72315464797</v>
          </cell>
          <cell r="P38">
            <v>596566.96687342459</v>
          </cell>
          <cell r="Q38">
            <v>595212.29375977698</v>
          </cell>
          <cell r="R38">
            <v>593860.69681250595</v>
          </cell>
          <cell r="S38">
            <v>592512.16904631036</v>
          </cell>
          <cell r="T38">
            <v>591166.7034917511</v>
          </cell>
          <cell r="U38">
            <v>589824.2931952154</v>
          </cell>
          <cell r="V38">
            <v>588484.93121888046</v>
          </cell>
          <cell r="W38">
            <v>587148.61064067774</v>
          </cell>
          <cell r="X38">
            <v>585815.32455425721</v>
          </cell>
          <cell r="Y38">
            <v>584485.06606895162</v>
          </cell>
          <cell r="Z38">
            <v>583157.82830974099</v>
          </cell>
          <cell r="AA38">
            <v>581833.60441721708</v>
          </cell>
          <cell r="AB38">
            <v>580512.3875475477</v>
          </cell>
          <cell r="AC38">
            <v>579194.17087244161</v>
          </cell>
          <cell r="AD38">
            <v>577878.94757911307</v>
          </cell>
          <cell r="AE38">
            <v>576566.71087024664</v>
          </cell>
          <cell r="AF38">
            <v>575257.45396396227</v>
          </cell>
          <cell r="AG38">
            <v>573951.17009377992</v>
          </cell>
          <cell r="AH38">
            <v>572647.85250858485</v>
          </cell>
          <cell r="AI38">
            <v>571347.49447259249</v>
          </cell>
          <cell r="AJ38"/>
          <cell r="AK38"/>
          <cell r="AL38"/>
          <cell r="AM38"/>
          <cell r="AN38"/>
          <cell r="AO38"/>
          <cell r="AP38"/>
          <cell r="AQ38"/>
          <cell r="AR38"/>
          <cell r="AS38"/>
          <cell r="AT38"/>
          <cell r="AU38"/>
          <cell r="AV38"/>
          <cell r="AW38"/>
          <cell r="AX38"/>
          <cell r="AY38"/>
          <cell r="AZ38"/>
          <cell r="BA38"/>
          <cell r="BB38"/>
          <cell r="BC38"/>
          <cell r="BD38"/>
        </row>
        <row r="39">
          <cell r="C39" t="str">
            <v>ID_Multi Family</v>
          </cell>
          <cell r="D39" t="str">
            <v>Multifamily - Low Rise</v>
          </cell>
          <cell r="E39" t="str">
            <v>Existing</v>
          </cell>
          <cell r="F39">
            <v>80735.300787244094</v>
          </cell>
          <cell r="G39">
            <v>80551.965628256759</v>
          </cell>
          <cell r="H39">
            <v>80369.046790013803</v>
          </cell>
          <cell r="I39">
            <v>80186.543327126652</v>
          </cell>
          <cell r="J39">
            <v>80004.454296353564</v>
          </cell>
          <cell r="K39">
            <v>79822.778756594707</v>
          </cell>
          <cell r="L39">
            <v>79641.515768887315</v>
          </cell>
          <cell r="M39">
            <v>79460.664396400854</v>
          </cell>
          <cell r="N39">
            <v>79280.223704432137</v>
          </cell>
          <cell r="O39">
            <v>79100.192760400532</v>
          </cell>
          <cell r="P39">
            <v>78920.570633843134</v>
          </cell>
          <cell r="Q39">
            <v>78741.35639640993</v>
          </cell>
          <cell r="R39">
            <v>78562.549121859032</v>
          </cell>
          <cell r="S39">
            <v>78384.147886051884</v>
          </cell>
          <cell r="T39">
            <v>78206.151766948475</v>
          </cell>
          <cell r="U39">
            <v>78028.559844602583</v>
          </cell>
          <cell r="V39">
            <v>77851.371201157002</v>
          </cell>
          <cell r="W39">
            <v>77674.584920838824</v>
          </cell>
          <cell r="X39">
            <v>77498.200089954698</v>
          </cell>
          <cell r="Y39">
            <v>77322.215796886099</v>
          </cell>
          <cell r="Z39">
            <v>77146.631132084614</v>
          </cell>
          <cell r="AA39">
            <v>76971.445188067271</v>
          </cell>
          <cell r="AB39">
            <v>76796.657059411795</v>
          </cell>
          <cell r="AC39">
            <v>76622.265842751993</v>
          </cell>
          <cell r="AD39">
            <v>76448.270636773028</v>
          </cell>
          <cell r="AE39">
            <v>76274.67054220679</v>
          </cell>
          <cell r="AF39">
            <v>76101.464661827253</v>
          </cell>
          <cell r="AG39">
            <v>75928.652100445805</v>
          </cell>
          <cell r="AH39">
            <v>75756.231964906678</v>
          </cell>
          <cell r="AI39">
            <v>75584.203364082277</v>
          </cell>
          <cell r="AJ39"/>
          <cell r="AK39"/>
          <cell r="AL39"/>
          <cell r="AM39"/>
          <cell r="AN39"/>
          <cell r="AO39"/>
          <cell r="AP39"/>
          <cell r="AQ39"/>
          <cell r="AR39"/>
          <cell r="AS39"/>
          <cell r="AT39"/>
          <cell r="AU39"/>
          <cell r="AV39"/>
          <cell r="AW39"/>
          <cell r="AX39"/>
          <cell r="AY39"/>
          <cell r="AZ39"/>
          <cell r="BA39"/>
          <cell r="BB39"/>
          <cell r="BC39"/>
          <cell r="BD39"/>
        </row>
        <row r="40">
          <cell r="D40" t="str">
            <v>Multifamily - High Rise</v>
          </cell>
          <cell r="E40" t="str">
            <v>Existing</v>
          </cell>
          <cell r="F40">
            <v>6076.8505968893414</v>
          </cell>
          <cell r="G40">
            <v>6063.0511763204022</v>
          </cell>
          <cell r="H40">
            <v>6049.2830917214696</v>
          </cell>
          <cell r="I40">
            <v>6035.546271934265</v>
          </cell>
          <cell r="J40">
            <v>6021.8406459620965</v>
          </cell>
          <cell r="K40">
            <v>6008.1661429694941</v>
          </cell>
          <cell r="L40">
            <v>5994.522692281841</v>
          </cell>
          <cell r="M40">
            <v>5980.9102233850099</v>
          </cell>
          <cell r="N40">
            <v>5967.3286659249989</v>
          </cell>
          <cell r="O40">
            <v>5953.7779497075662</v>
          </cell>
          <cell r="P40">
            <v>5940.2580046978692</v>
          </cell>
          <cell r="Q40">
            <v>5926.768761020101</v>
          </cell>
          <cell r="R40">
            <v>5913.3101489571309</v>
          </cell>
          <cell r="S40">
            <v>5899.8820989501419</v>
          </cell>
          <cell r="T40">
            <v>5886.4845415982727</v>
          </cell>
          <cell r="U40">
            <v>5873.1174076582593</v>
          </cell>
          <cell r="V40">
            <v>5859.7806280440755</v>
          </cell>
          <cell r="W40">
            <v>5846.4741338265785</v>
          </cell>
          <cell r="X40">
            <v>5833.1978562331497</v>
          </cell>
          <cell r="Y40">
            <v>5819.9517266473413</v>
          </cell>
          <cell r="Z40">
            <v>5806.7356766085204</v>
          </cell>
          <cell r="AA40">
            <v>5793.5496378115158</v>
          </cell>
          <cell r="AB40">
            <v>5780.3935421062652</v>
          </cell>
          <cell r="AC40">
            <v>5767.2673214974629</v>
          </cell>
          <cell r="AD40">
            <v>5754.1709081442077</v>
          </cell>
          <cell r="AE40">
            <v>5741.1042343596519</v>
          </cell>
          <cell r="AF40">
            <v>5728.0672326106542</v>
          </cell>
          <cell r="AG40">
            <v>5715.059835517427</v>
          </cell>
          <cell r="AH40">
            <v>5702.0819758531916</v>
          </cell>
          <cell r="AI40">
            <v>5689.1335865438277</v>
          </cell>
          <cell r="AJ40"/>
          <cell r="AK40"/>
          <cell r="AL40"/>
          <cell r="AM40"/>
          <cell r="AN40"/>
          <cell r="AO40"/>
          <cell r="AP40"/>
          <cell r="AQ40"/>
          <cell r="AR40"/>
          <cell r="AS40"/>
          <cell r="AT40"/>
          <cell r="AU40"/>
          <cell r="AV40"/>
          <cell r="AW40"/>
          <cell r="AX40"/>
          <cell r="AY40"/>
          <cell r="AZ40"/>
          <cell r="BA40"/>
          <cell r="BB40"/>
          <cell r="BC40"/>
          <cell r="BD40"/>
        </row>
        <row r="41">
          <cell r="C41" t="str">
            <v>ID_Other Family</v>
          </cell>
          <cell r="D41" t="str">
            <v>Manufactured</v>
          </cell>
          <cell r="E41" t="str">
            <v>Existing</v>
          </cell>
          <cell r="F41">
            <v>87206.734623873199</v>
          </cell>
          <cell r="G41">
            <v>86274.757430208003</v>
          </cell>
          <cell r="H41">
            <v>85352.740264208769</v>
          </cell>
          <cell r="I41">
            <v>84440.576683194522</v>
          </cell>
          <cell r="J41">
            <v>83538.16138203576</v>
          </cell>
          <cell r="K41">
            <v>82645.390180997507</v>
          </cell>
          <cell r="L41">
            <v>81762.160013712171</v>
          </cell>
          <cell r="M41">
            <v>80888.368915281069</v>
          </cell>
          <cell r="N41">
            <v>80023.916010502988</v>
          </cell>
          <cell r="O41">
            <v>79168.701502228636</v>
          </cell>
          <cell r="P41">
            <v>78322.626659839501</v>
          </cell>
          <cell r="Q41">
            <v>77485.593807849858</v>
          </cell>
          <cell r="R41">
            <v>76657.506314630591</v>
          </cell>
          <cell r="S41">
            <v>75838.268581253476</v>
          </cell>
          <cell r="T41">
            <v>75027.78603045475</v>
          </cell>
          <cell r="U41">
            <v>74225.965095716601</v>
          </cell>
          <cell r="V41">
            <v>73432.713210465314</v>
          </cell>
          <cell r="W41">
            <v>72647.938797384893</v>
          </cell>
          <cell r="X41">
            <v>71871.551257844883</v>
          </cell>
          <cell r="Y41">
            <v>71103.460961441175</v>
          </cell>
          <cell r="Z41">
            <v>70343.579235648562</v>
          </cell>
          <cell r="AA41">
            <v>69591.818355583935</v>
          </cell>
          <cell r="AB41">
            <v>68848.091533878818</v>
          </cell>
          <cell r="AC41">
            <v>68112.312910660155</v>
          </cell>
          <cell r="AD41">
            <v>67384.397543638202</v>
          </cell>
          <cell r="AE41">
            <v>66664.261398300325</v>
          </cell>
          <cell r="AF41">
            <v>65951.821338209571</v>
          </cell>
          <cell r="AG41">
            <v>65246.995115406971</v>
          </cell>
          <cell r="AH41">
            <v>64549.701360916399</v>
          </cell>
          <cell r="AI41">
            <v>63859.859575350856</v>
          </cell>
          <cell r="AJ41"/>
          <cell r="AK41"/>
          <cell r="AL41"/>
          <cell r="AM41"/>
          <cell r="AN41"/>
          <cell r="AO41"/>
          <cell r="AP41"/>
          <cell r="AQ41"/>
          <cell r="AR41"/>
          <cell r="AS41"/>
          <cell r="AT41"/>
          <cell r="AU41"/>
          <cell r="AV41"/>
          <cell r="AW41"/>
          <cell r="AX41"/>
          <cell r="AY41"/>
          <cell r="AZ41"/>
          <cell r="BA41"/>
          <cell r="BB41"/>
          <cell r="BC41"/>
          <cell r="BD41"/>
        </row>
        <row r="42">
          <cell r="AG42"/>
          <cell r="BD42"/>
        </row>
        <row r="43">
          <cell r="D43" t="str">
            <v>MONTANA</v>
          </cell>
          <cell r="E43">
            <v>0.56999999999999995</v>
          </cell>
          <cell r="AG43"/>
          <cell r="BD43"/>
        </row>
        <row r="44">
          <cell r="C44" t="str">
            <v>MT_Single Family</v>
          </cell>
          <cell r="D44" t="str">
            <v>Single Family</v>
          </cell>
          <cell r="E44" t="str">
            <v>New</v>
          </cell>
          <cell r="F44">
            <v>1634.1752008029632</v>
          </cell>
          <cell r="G44">
            <v>1578.8580042042388</v>
          </cell>
          <cell r="H44">
            <v>1515.3512572871966</v>
          </cell>
          <cell r="I44">
            <v>1471.964285642759</v>
          </cell>
          <cell r="J44">
            <v>1438.074790966306</v>
          </cell>
          <cell r="K44">
            <v>1384.2505101724103</v>
          </cell>
          <cell r="L44">
            <v>1341.2314890320042</v>
          </cell>
          <cell r="M44">
            <v>1323.0069138945425</v>
          </cell>
          <cell r="N44">
            <v>1310.0859066990934</v>
          </cell>
          <cell r="O44">
            <v>1293.0305917013134</v>
          </cell>
          <cell r="P44">
            <v>1294.3590899232997</v>
          </cell>
          <cell r="Q44">
            <v>1268.0503901761065</v>
          </cell>
          <cell r="R44">
            <v>1257.5043959938225</v>
          </cell>
          <cell r="S44">
            <v>1246.5660983456035</v>
          </cell>
          <cell r="T44">
            <v>1234.7022890866567</v>
          </cell>
          <cell r="U44">
            <v>1199.7896506502648</v>
          </cell>
          <cell r="V44">
            <v>1187.4541674960492</v>
          </cell>
          <cell r="W44">
            <v>1178.1270249796946</v>
          </cell>
          <cell r="X44">
            <v>1164.457403797591</v>
          </cell>
          <cell r="Y44">
            <v>1155.4954323332083</v>
          </cell>
          <cell r="Z44">
            <v>1162.1709449011669</v>
          </cell>
          <cell r="AA44">
            <v>1164.0379698857912</v>
          </cell>
          <cell r="AB44">
            <v>1158.8197829502358</v>
          </cell>
          <cell r="AC44">
            <v>1169.9370437481298</v>
          </cell>
          <cell r="AD44">
            <v>1180.1259360105498</v>
          </cell>
          <cell r="AE44">
            <v>1184.7898665374526</v>
          </cell>
          <cell r="AF44">
            <v>1183.1081976090481</v>
          </cell>
          <cell r="AG44">
            <v>1187.4263653628707</v>
          </cell>
          <cell r="AH44">
            <v>1191.8248553588296</v>
          </cell>
          <cell r="AI44">
            <v>1218.0717870220888</v>
          </cell>
          <cell r="AJ44"/>
          <cell r="AK44"/>
          <cell r="AL44"/>
          <cell r="AM44"/>
          <cell r="AN44"/>
          <cell r="AO44"/>
          <cell r="AP44"/>
          <cell r="AQ44"/>
          <cell r="AR44"/>
          <cell r="AS44"/>
          <cell r="AT44"/>
          <cell r="AU44"/>
          <cell r="AV44"/>
          <cell r="AW44"/>
          <cell r="AX44"/>
          <cell r="AY44"/>
          <cell r="AZ44"/>
          <cell r="BA44"/>
          <cell r="BB44"/>
          <cell r="BC44"/>
          <cell r="BD44"/>
        </row>
        <row r="45">
          <cell r="C45" t="str">
            <v>MT_Multi Family</v>
          </cell>
          <cell r="D45" t="str">
            <v>Multifamily - Low Rise</v>
          </cell>
          <cell r="E45" t="str">
            <v>New</v>
          </cell>
          <cell r="F45">
            <v>606.11880944349252</v>
          </cell>
          <cell r="G45">
            <v>640.81234534880946</v>
          </cell>
          <cell r="H45">
            <v>671.11534491307714</v>
          </cell>
          <cell r="I45">
            <v>664.36109831148747</v>
          </cell>
          <cell r="J45">
            <v>656.04759654465909</v>
          </cell>
          <cell r="K45">
            <v>635.00829456682584</v>
          </cell>
          <cell r="L45">
            <v>602.82897127632361</v>
          </cell>
          <cell r="M45">
            <v>595.75084847939183</v>
          </cell>
          <cell r="N45">
            <v>606.67140831465326</v>
          </cell>
          <cell r="O45">
            <v>631.79393414718629</v>
          </cell>
          <cell r="P45">
            <v>657.59114190224057</v>
          </cell>
          <cell r="Q45">
            <v>664.03957805536049</v>
          </cell>
          <cell r="R45">
            <v>692.46943245429554</v>
          </cell>
          <cell r="S45">
            <v>722.08843465047096</v>
          </cell>
          <cell r="T45">
            <v>738.37787807364452</v>
          </cell>
          <cell r="U45">
            <v>741.30955358821632</v>
          </cell>
          <cell r="V45">
            <v>746.36029189269129</v>
          </cell>
          <cell r="W45">
            <v>772.59810593536793</v>
          </cell>
          <cell r="X45">
            <v>782.08596673943305</v>
          </cell>
          <cell r="Y45">
            <v>816.16992365289468</v>
          </cell>
          <cell r="Z45">
            <v>828.54044541806252</v>
          </cell>
          <cell r="AA45">
            <v>859.97554060064465</v>
          </cell>
          <cell r="AB45">
            <v>873.69760346775843</v>
          </cell>
          <cell r="AC45">
            <v>894.76320426803693</v>
          </cell>
          <cell r="AD45">
            <v>913.05325276213443</v>
          </cell>
          <cell r="AE45">
            <v>926.39049684305928</v>
          </cell>
          <cell r="AF45">
            <v>936.26599755315431</v>
          </cell>
          <cell r="AG45">
            <v>954.69305665802221</v>
          </cell>
          <cell r="AH45">
            <v>973.44510719983907</v>
          </cell>
          <cell r="AI45">
            <v>992.52432134633909</v>
          </cell>
          <cell r="AJ45"/>
          <cell r="AK45"/>
          <cell r="AL45"/>
          <cell r="AM45"/>
          <cell r="AN45"/>
          <cell r="AO45"/>
          <cell r="AP45"/>
          <cell r="AQ45"/>
          <cell r="AR45"/>
          <cell r="AS45"/>
          <cell r="AT45"/>
          <cell r="AU45"/>
          <cell r="AV45"/>
          <cell r="AW45"/>
          <cell r="AX45"/>
          <cell r="AY45"/>
          <cell r="AZ45"/>
          <cell r="BA45"/>
          <cell r="BB45"/>
          <cell r="BC45"/>
          <cell r="BD45"/>
        </row>
        <row r="46">
          <cell r="C46" t="str">
            <v>MT</v>
          </cell>
          <cell r="D46" t="str">
            <v>Multifamily - High Rise</v>
          </cell>
          <cell r="E46" t="str">
            <v>New</v>
          </cell>
          <cell r="F46">
            <v>74.913560717735038</v>
          </cell>
          <cell r="G46">
            <v>79.201525829628139</v>
          </cell>
          <cell r="H46">
            <v>82.946840382515134</v>
          </cell>
          <cell r="I46">
            <v>82.112045858723178</v>
          </cell>
          <cell r="J46">
            <v>81.084534404396067</v>
          </cell>
          <cell r="K46">
            <v>78.48417123859646</v>
          </cell>
          <cell r="L46">
            <v>74.506951506062478</v>
          </cell>
          <cell r="M46">
            <v>73.632127340149552</v>
          </cell>
          <cell r="N46">
            <v>74.981859454620064</v>
          </cell>
          <cell r="O46">
            <v>78.086890737292677</v>
          </cell>
          <cell r="P46">
            <v>81.27530967331063</v>
          </cell>
          <cell r="Q46">
            <v>82.07230740010074</v>
          </cell>
          <cell r="R46">
            <v>85.586109629182587</v>
          </cell>
          <cell r="S46">
            <v>89.246885181518877</v>
          </cell>
          <cell r="T46">
            <v>91.260187177641455</v>
          </cell>
          <cell r="U46">
            <v>91.622529095172794</v>
          </cell>
          <cell r="V46">
            <v>92.246777649658469</v>
          </cell>
          <cell r="W46">
            <v>95.489653542573564</v>
          </cell>
          <cell r="X46">
            <v>96.662310495884981</v>
          </cell>
          <cell r="Y46">
            <v>100.87493438406563</v>
          </cell>
          <cell r="Z46">
            <v>102.40387527638975</v>
          </cell>
          <cell r="AA46">
            <v>106.28911175963023</v>
          </cell>
          <cell r="AB46">
            <v>107.98509705781284</v>
          </cell>
          <cell r="AC46">
            <v>110.58871063986973</v>
          </cell>
          <cell r="AD46">
            <v>112.84927843127504</v>
          </cell>
          <cell r="AE46">
            <v>114.49770185700733</v>
          </cell>
          <cell r="AF46">
            <v>115.71826936050222</v>
          </cell>
          <cell r="AG46">
            <v>117.99577104762072</v>
          </cell>
          <cell r="AH46">
            <v>120.31344021571044</v>
          </cell>
          <cell r="AI46">
            <v>122.67154533494079</v>
          </cell>
          <cell r="AJ46"/>
          <cell r="AK46"/>
          <cell r="AL46"/>
          <cell r="AM46"/>
          <cell r="AN46"/>
          <cell r="AO46"/>
          <cell r="AP46"/>
          <cell r="AQ46"/>
          <cell r="AR46"/>
          <cell r="AS46"/>
          <cell r="AT46"/>
          <cell r="AU46"/>
          <cell r="AV46"/>
          <cell r="AW46"/>
          <cell r="AX46"/>
          <cell r="AY46"/>
          <cell r="AZ46"/>
          <cell r="BA46"/>
          <cell r="BB46"/>
          <cell r="BC46"/>
          <cell r="BD46"/>
        </row>
        <row r="47">
          <cell r="C47" t="str">
            <v>MT_Other Family</v>
          </cell>
          <cell r="D47" t="str">
            <v>Manufactured</v>
          </cell>
          <cell r="E47" t="str">
            <v>New</v>
          </cell>
          <cell r="F47">
            <v>172.84514909053291</v>
          </cell>
          <cell r="G47">
            <v>176.75919004070147</v>
          </cell>
          <cell r="H47">
            <v>179.84860195614417</v>
          </cell>
          <cell r="I47">
            <v>183.92507502231774</v>
          </cell>
          <cell r="J47">
            <v>189.3931598913598</v>
          </cell>
          <cell r="K47">
            <v>191.74970523867825</v>
          </cell>
          <cell r="L47">
            <v>191.6600731428739</v>
          </cell>
          <cell r="M47">
            <v>194.96564808630819</v>
          </cell>
          <cell r="N47">
            <v>199.74334113482522</v>
          </cell>
          <cell r="O47">
            <v>206.52149231360337</v>
          </cell>
          <cell r="P47">
            <v>213.76840632344414</v>
          </cell>
          <cell r="Q47">
            <v>214.72229773285497</v>
          </cell>
          <cell r="R47">
            <v>220.10128705985642</v>
          </cell>
          <cell r="S47">
            <v>227.00997633005568</v>
          </cell>
          <cell r="T47">
            <v>233.66896221007588</v>
          </cell>
          <cell r="U47">
            <v>235.41125447495958</v>
          </cell>
          <cell r="V47">
            <v>240.00748634494312</v>
          </cell>
          <cell r="W47">
            <v>243.67722576365495</v>
          </cell>
          <cell r="X47">
            <v>245.5923251607619</v>
          </cell>
          <cell r="Y47">
            <v>249.5563695998614</v>
          </cell>
          <cell r="Z47">
            <v>252.62993151931505</v>
          </cell>
          <cell r="AA47">
            <v>254.07269357928965</v>
          </cell>
          <cell r="AB47">
            <v>259.9961511642299</v>
          </cell>
          <cell r="AC47">
            <v>267.78770977297683</v>
          </cell>
          <cell r="AD47">
            <v>276.54274733639147</v>
          </cell>
          <cell r="AE47">
            <v>284.20640138016995</v>
          </cell>
          <cell r="AF47">
            <v>290.43226966974191</v>
          </cell>
          <cell r="AG47">
            <v>296.50196309736003</v>
          </cell>
          <cell r="AH47">
            <v>302.63499733905343</v>
          </cell>
          <cell r="AI47">
            <v>308.83323938670623</v>
          </cell>
          <cell r="AJ47"/>
          <cell r="AK47"/>
          <cell r="AL47"/>
          <cell r="AM47"/>
          <cell r="AN47"/>
          <cell r="AO47"/>
          <cell r="AP47"/>
          <cell r="AQ47"/>
          <cell r="AR47"/>
          <cell r="AS47"/>
          <cell r="AT47"/>
          <cell r="AU47"/>
          <cell r="AV47"/>
          <cell r="AW47"/>
          <cell r="AX47"/>
          <cell r="AY47"/>
          <cell r="AZ47"/>
          <cell r="BA47"/>
          <cell r="BB47"/>
          <cell r="BC47"/>
          <cell r="BD47"/>
        </row>
        <row r="48">
          <cell r="C48" t="str">
            <v>MT_Single Family</v>
          </cell>
          <cell r="D48" t="str">
            <v>Single Family</v>
          </cell>
          <cell r="E48" t="str">
            <v>Existing</v>
          </cell>
          <cell r="F48">
            <v>194440.90633724176</v>
          </cell>
          <cell r="G48">
            <v>193999.37356282613</v>
          </cell>
          <cell r="H48">
            <v>193558.84341277881</v>
          </cell>
          <cell r="I48">
            <v>193119.31361035907</v>
          </cell>
          <cell r="J48">
            <v>192680.78188399624</v>
          </cell>
          <cell r="K48">
            <v>192243.24596727791</v>
          </cell>
          <cell r="L48">
            <v>191806.70359893813</v>
          </cell>
          <cell r="M48">
            <v>191371.1525228458</v>
          </cell>
          <cell r="N48">
            <v>190936.59048799306</v>
          </cell>
          <cell r="O48">
            <v>190503.01524848351</v>
          </cell>
          <cell r="P48">
            <v>190070.42456352076</v>
          </cell>
          <cell r="Q48">
            <v>189638.81619739678</v>
          </cell>
          <cell r="R48">
            <v>189208.18791948029</v>
          </cell>
          <cell r="S48">
            <v>188778.53750420531</v>
          </cell>
          <cell r="T48">
            <v>188349.86273105963</v>
          </cell>
          <cell r="U48">
            <v>187922.16138457338</v>
          </cell>
          <cell r="V48">
            <v>187495.43125430748</v>
          </cell>
          <cell r="W48">
            <v>187069.67013484231</v>
          </cell>
          <cell r="X48">
            <v>186644.87582576624</v>
          </cell>
          <cell r="Y48">
            <v>186221.04613166433</v>
          </cell>
          <cell r="Z48">
            <v>185798.17886210696</v>
          </cell>
          <cell r="AA48">
            <v>185376.27183163844</v>
          </cell>
          <cell r="AB48">
            <v>184955.32285976579</v>
          </cell>
          <cell r="AC48">
            <v>184535.32977094749</v>
          </cell>
          <cell r="AD48">
            <v>184116.29039458215</v>
          </cell>
          <cell r="AE48">
            <v>183698.20256499739</v>
          </cell>
          <cell r="AF48">
            <v>183281.06412143857</v>
          </cell>
          <cell r="AG48">
            <v>182864.87290805764</v>
          </cell>
          <cell r="AH48">
            <v>182449.62677390204</v>
          </cell>
          <cell r="AI48">
            <v>182035.32357290352</v>
          </cell>
          <cell r="AJ48"/>
          <cell r="AK48"/>
          <cell r="AL48"/>
          <cell r="AM48"/>
          <cell r="AN48"/>
          <cell r="AO48"/>
          <cell r="AP48"/>
          <cell r="AQ48"/>
          <cell r="AR48"/>
          <cell r="AS48"/>
          <cell r="AT48"/>
          <cell r="AU48"/>
          <cell r="AV48"/>
          <cell r="AW48"/>
          <cell r="AX48"/>
          <cell r="AY48"/>
          <cell r="AZ48"/>
          <cell r="BA48"/>
          <cell r="BB48"/>
          <cell r="BC48"/>
          <cell r="BD48"/>
        </row>
        <row r="49">
          <cell r="C49" t="str">
            <v>MT_Multi Family</v>
          </cell>
          <cell r="D49" t="str">
            <v>Multifamily - Low Rise</v>
          </cell>
          <cell r="E49" t="str">
            <v>Existing</v>
          </cell>
          <cell r="F49">
            <v>32802.655904598643</v>
          </cell>
          <cell r="G49">
            <v>32728.167049329197</v>
          </cell>
          <cell r="H49">
            <v>32653.847344679001</v>
          </cell>
          <cell r="I49">
            <v>32579.69640653782</v>
          </cell>
          <cell r="J49">
            <v>32505.713851667653</v>
          </cell>
          <cell r="K49">
            <v>32431.899297700777</v>
          </cell>
          <cell r="L49">
            <v>32358.252363137741</v>
          </cell>
          <cell r="M49">
            <v>32284.772667345424</v>
          </cell>
          <cell r="N49">
            <v>32211.459830555043</v>
          </cell>
          <cell r="O49">
            <v>32138.313473860206</v>
          </cell>
          <cell r="P49">
            <v>32065.333219214946</v>
          </cell>
          <cell r="Q49">
            <v>31992.51868943177</v>
          </cell>
          <cell r="R49">
            <v>31919.869508179709</v>
          </cell>
          <cell r="S49">
            <v>31847.385299982376</v>
          </cell>
          <cell r="T49">
            <v>31775.065690216019</v>
          </cell>
          <cell r="U49">
            <v>31702.910305107587</v>
          </cell>
          <cell r="V49">
            <v>31630.918771732806</v>
          </cell>
          <cell r="W49">
            <v>31559.090718014239</v>
          </cell>
          <cell r="X49">
            <v>31487.425772719369</v>
          </cell>
          <cell r="Y49">
            <v>31415.923565458685</v>
          </cell>
          <cell r="Z49">
            <v>31344.583726683759</v>
          </cell>
          <cell r="AA49">
            <v>31273.405887685341</v>
          </cell>
          <cell r="AB49">
            <v>31202.389680591456</v>
          </cell>
          <cell r="AC49">
            <v>31131.534738365492</v>
          </cell>
          <cell r="AD49">
            <v>31060.840694804319</v>
          </cell>
          <cell r="AE49">
            <v>30990.307184536381</v>
          </cell>
          <cell r="AF49">
            <v>30919.933843019819</v>
          </cell>
          <cell r="AG49">
            <v>30849.720306540577</v>
          </cell>
          <cell r="AH49">
            <v>30779.66621221053</v>
          </cell>
          <cell r="AI49">
            <v>30709.771197965609</v>
          </cell>
          <cell r="AJ49"/>
          <cell r="AK49"/>
          <cell r="AL49"/>
          <cell r="AM49"/>
          <cell r="AN49"/>
          <cell r="AO49"/>
          <cell r="AP49"/>
          <cell r="AQ49"/>
          <cell r="AR49"/>
          <cell r="AS49"/>
          <cell r="AT49"/>
          <cell r="AU49"/>
          <cell r="AV49"/>
          <cell r="AW49"/>
          <cell r="AX49"/>
          <cell r="AY49"/>
          <cell r="AZ49"/>
          <cell r="BA49"/>
          <cell r="BB49"/>
          <cell r="BC49"/>
          <cell r="BD49"/>
        </row>
        <row r="50">
          <cell r="C50" t="str">
            <v>MT</v>
          </cell>
          <cell r="D50" t="str">
            <v>Multifamily - High Rise</v>
          </cell>
          <cell r="E50" t="str">
            <v>Existing</v>
          </cell>
          <cell r="F50">
            <v>4054.2608421414056</v>
          </cell>
          <cell r="G50">
            <v>4045.0543544114739</v>
          </cell>
          <cell r="H50">
            <v>4035.8687729378544</v>
          </cell>
          <cell r="I50">
            <v>4026.7040502462473</v>
          </cell>
          <cell r="J50">
            <v>4017.5601389701596</v>
          </cell>
          <cell r="K50">
            <v>4008.4369918506577</v>
          </cell>
          <cell r="L50">
            <v>3999.3345617361256</v>
          </cell>
          <cell r="M50">
            <v>3990.2528015820189</v>
          </cell>
          <cell r="N50">
            <v>3981.1916644506236</v>
          </cell>
          <cell r="O50">
            <v>3972.1511035108124</v>
          </cell>
          <cell r="P50">
            <v>3963.1310720378028</v>
          </cell>
          <cell r="Q50">
            <v>3954.1315234129161</v>
          </cell>
          <cell r="R50">
            <v>3945.1524111233357</v>
          </cell>
          <cell r="S50">
            <v>3936.1936887618676</v>
          </cell>
          <cell r="T50">
            <v>3927.2553100266996</v>
          </cell>
          <cell r="U50">
            <v>3918.3372287211632</v>
          </cell>
          <cell r="V50">
            <v>3909.4393987534936</v>
          </cell>
          <cell r="W50">
            <v>3900.5617741365918</v>
          </cell>
          <cell r="X50">
            <v>3891.7043089877875</v>
          </cell>
          <cell r="Y50">
            <v>3882.8669575286017</v>
          </cell>
          <cell r="Z50">
            <v>3874.0496740845097</v>
          </cell>
          <cell r="AA50">
            <v>3865.2524130847055</v>
          </cell>
          <cell r="AB50">
            <v>3856.4751290618656</v>
          </cell>
          <cell r="AC50">
            <v>3847.7177766519153</v>
          </cell>
          <cell r="AD50">
            <v>3838.9803105937926</v>
          </cell>
          <cell r="AE50">
            <v>3830.2626857292162</v>
          </cell>
          <cell r="AF50">
            <v>3821.56485700245</v>
          </cell>
          <cell r="AG50">
            <v>3812.8867794600719</v>
          </cell>
          <cell r="AH50">
            <v>3804.2284082507404</v>
          </cell>
          <cell r="AI50">
            <v>3795.5896986249631</v>
          </cell>
          <cell r="AJ50"/>
          <cell r="AK50"/>
          <cell r="AL50"/>
          <cell r="AM50"/>
          <cell r="AN50"/>
          <cell r="AO50"/>
          <cell r="AP50"/>
          <cell r="AQ50"/>
          <cell r="AR50"/>
          <cell r="AS50"/>
          <cell r="AT50"/>
          <cell r="AU50"/>
          <cell r="AV50"/>
          <cell r="AW50"/>
          <cell r="AX50"/>
          <cell r="AY50"/>
          <cell r="AZ50"/>
          <cell r="BA50"/>
          <cell r="BB50"/>
          <cell r="BC50"/>
          <cell r="BD50"/>
        </row>
        <row r="51">
          <cell r="C51" t="str">
            <v>MT_Other Family</v>
          </cell>
          <cell r="D51" t="str">
            <v>Manufactured</v>
          </cell>
          <cell r="E51" t="str">
            <v>Existing</v>
          </cell>
          <cell r="F51">
            <v>41595.549340500133</v>
          </cell>
          <cell r="G51">
            <v>41151.018267177395</v>
          </cell>
          <cell r="H51">
            <v>40711.237891424047</v>
          </cell>
          <cell r="I51">
            <v>40276.157442599411</v>
          </cell>
          <cell r="J51">
            <v>39845.726692647957</v>
          </cell>
          <cell r="K51">
            <v>39419.895950300699</v>
          </cell>
          <cell r="L51">
            <v>38998.616055338571</v>
          </cell>
          <cell r="M51">
            <v>38581.838372917111</v>
          </cell>
          <cell r="N51">
            <v>38169.514787951783</v>
          </cell>
          <cell r="O51">
            <v>37761.597699563303</v>
          </cell>
          <cell r="P51">
            <v>37358.040015582337</v>
          </cell>
          <cell r="Q51">
            <v>36958.795147112935</v>
          </cell>
          <cell r="R51">
            <v>36563.817003154043</v>
          </cell>
          <cell r="S51">
            <v>36173.059985278516</v>
          </cell>
          <cell r="T51">
            <v>35786.478982368979</v>
          </cell>
          <cell r="U51">
            <v>35404.029365409966</v>
          </cell>
          <cell r="V51">
            <v>35025.666982335686</v>
          </cell>
          <cell r="W51">
            <v>34651.348152932886</v>
          </cell>
          <cell r="X51">
            <v>34281.029663798159</v>
          </cell>
          <cell r="Y51">
            <v>33914.668763349153</v>
          </cell>
          <cell r="Z51">
            <v>33552.2231568891</v>
          </cell>
          <cell r="AA51">
            <v>33193.651001724087</v>
          </cell>
          <cell r="AB51">
            <v>32838.9109023325</v>
          </cell>
          <cell r="AC51">
            <v>32487.961905586108</v>
          </cell>
          <cell r="AD51">
            <v>32140.763496022206</v>
          </cell>
          <cell r="AE51">
            <v>31797.275591166297</v>
          </cell>
          <cell r="AF51">
            <v>31457.458536904738</v>
          </cell>
          <cell r="AG51">
            <v>31121.273102906871</v>
          </cell>
          <cell r="AH51">
            <v>30788.680478096045</v>
          </cell>
          <cell r="AI51">
            <v>30459.642266169059</v>
          </cell>
          <cell r="AJ51"/>
          <cell r="AK51"/>
          <cell r="AL51"/>
          <cell r="AM51"/>
          <cell r="AN51"/>
          <cell r="AO51"/>
          <cell r="AP51"/>
          <cell r="AQ51"/>
          <cell r="AR51"/>
          <cell r="AS51"/>
          <cell r="AT51"/>
          <cell r="AU51"/>
          <cell r="AV51"/>
          <cell r="AW51"/>
          <cell r="AX51"/>
          <cell r="AY51"/>
          <cell r="AZ51"/>
          <cell r="BA51"/>
          <cell r="BB51"/>
          <cell r="BC51"/>
          <cell r="BD51"/>
        </row>
        <row r="52">
          <cell r="C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row>
        <row r="54">
          <cell r="D54" t="str">
            <v>REGION</v>
          </cell>
          <cell r="E54"/>
          <cell r="F54">
            <v>2021</v>
          </cell>
          <cell r="G54">
            <v>2022</v>
          </cell>
          <cell r="H54">
            <v>2023</v>
          </cell>
          <cell r="I54">
            <v>2024</v>
          </cell>
          <cell r="J54">
            <v>2025</v>
          </cell>
          <cell r="K54">
            <v>2026</v>
          </cell>
          <cell r="L54">
            <v>2027</v>
          </cell>
          <cell r="M54">
            <v>2028</v>
          </cell>
          <cell r="N54">
            <v>2029</v>
          </cell>
          <cell r="O54">
            <v>2030</v>
          </cell>
          <cell r="P54">
            <v>2031</v>
          </cell>
          <cell r="Q54">
            <v>2032</v>
          </cell>
          <cell r="R54">
            <v>2033</v>
          </cell>
          <cell r="S54">
            <v>2034</v>
          </cell>
          <cell r="T54">
            <v>2035</v>
          </cell>
          <cell r="U54">
            <v>2036</v>
          </cell>
          <cell r="V54">
            <v>2037</v>
          </cell>
          <cell r="W54">
            <v>2038</v>
          </cell>
          <cell r="X54">
            <v>2039</v>
          </cell>
          <cell r="Y54">
            <v>2040</v>
          </cell>
          <cell r="Z54">
            <v>2041</v>
          </cell>
          <cell r="AA54">
            <v>2042</v>
          </cell>
          <cell r="AB54">
            <v>2043</v>
          </cell>
          <cell r="AC54">
            <v>2044</v>
          </cell>
          <cell r="AD54">
            <v>2045</v>
          </cell>
          <cell r="AE54">
            <v>2046</v>
          </cell>
          <cell r="AF54">
            <v>2047</v>
          </cell>
          <cell r="AG54">
            <v>2048</v>
          </cell>
          <cell r="AH54">
            <v>2049</v>
          </cell>
          <cell r="AI54">
            <v>2050</v>
          </cell>
          <cell r="BD54"/>
        </row>
        <row r="55">
          <cell r="C55"/>
          <cell r="D55" t="str">
            <v>Single Family</v>
          </cell>
          <cell r="E55" t="str">
            <v>New</v>
          </cell>
          <cell r="F55">
            <v>53153.372677289</v>
          </cell>
          <cell r="G55">
            <v>51977.888203696508</v>
          </cell>
          <cell r="H55">
            <v>50641.752822309594</v>
          </cell>
          <cell r="I55">
            <v>49645.875348756417</v>
          </cell>
          <cell r="J55">
            <v>49063.981681068399</v>
          </cell>
          <cell r="K55">
            <v>47724.227123243618</v>
          </cell>
          <cell r="L55">
            <v>45855.859719229273</v>
          </cell>
          <cell r="M55">
            <v>44883.456972553773</v>
          </cell>
          <cell r="N55">
            <v>44287.370469927293</v>
          </cell>
          <cell r="O55">
            <v>44150.096031015091</v>
          </cell>
          <cell r="P55">
            <v>44083.94470664001</v>
          </cell>
          <cell r="Q55">
            <v>42738.501829516645</v>
          </cell>
          <cell r="R55">
            <v>42320.060337594201</v>
          </cell>
          <cell r="S55">
            <v>42198.254833838</v>
          </cell>
          <cell r="T55">
            <v>42017.426178312329</v>
          </cell>
          <cell r="U55">
            <v>40969.55547720458</v>
          </cell>
          <cell r="V55">
            <v>40442.529943001224</v>
          </cell>
          <cell r="W55">
            <v>39771.027849717997</v>
          </cell>
          <cell r="X55">
            <v>38840.085724995632</v>
          </cell>
          <cell r="Y55">
            <v>38263.771406764376</v>
          </cell>
          <cell r="Z55">
            <v>37555.423046325988</v>
          </cell>
          <cell r="AA55">
            <v>36632.194380953108</v>
          </cell>
          <cell r="AB55">
            <v>36391.440749965317</v>
          </cell>
          <cell r="AC55">
            <v>36394.174577520142</v>
          </cell>
          <cell r="AD55">
            <v>36509.120468190478</v>
          </cell>
          <cell r="AE55">
            <v>36459.772550419853</v>
          </cell>
          <cell r="AF55">
            <v>36215.922847623173</v>
          </cell>
          <cell r="AG55">
            <v>35943.573198870916</v>
          </cell>
          <cell r="AH55">
            <v>35675.562110776526</v>
          </cell>
          <cell r="AI55">
            <v>36056.159664291692</v>
          </cell>
          <cell r="AJ55"/>
          <cell r="AK55"/>
          <cell r="AL55"/>
          <cell r="AM55"/>
          <cell r="AN55"/>
          <cell r="AO55"/>
          <cell r="AP55"/>
          <cell r="AQ55"/>
          <cell r="AR55"/>
          <cell r="AS55"/>
          <cell r="AT55"/>
          <cell r="AU55"/>
          <cell r="AV55"/>
          <cell r="AW55"/>
          <cell r="AX55"/>
          <cell r="AY55"/>
          <cell r="AZ55"/>
          <cell r="BA55"/>
          <cell r="BB55"/>
          <cell r="BC55"/>
          <cell r="BD55"/>
        </row>
        <row r="56">
          <cell r="C56"/>
          <cell r="D56" t="str">
            <v>Multifamily - Low Rise</v>
          </cell>
          <cell r="E56" t="str">
            <v>New</v>
          </cell>
          <cell r="F56">
            <v>21511.619597739762</v>
          </cell>
          <cell r="G56">
            <v>21352.710275832167</v>
          </cell>
          <cell r="H56">
            <v>21122.816263441873</v>
          </cell>
          <cell r="I56">
            <v>21016.457336544412</v>
          </cell>
          <cell r="J56">
            <v>21074.078333606958</v>
          </cell>
          <cell r="K56">
            <v>20792.674739008842</v>
          </cell>
          <cell r="L56">
            <v>20290.042622162109</v>
          </cell>
          <cell r="M56">
            <v>20155.892662017319</v>
          </cell>
          <cell r="N56">
            <v>20164.082913360377</v>
          </cell>
          <cell r="O56">
            <v>20379.866437901146</v>
          </cell>
          <cell r="P56">
            <v>20645.501217978195</v>
          </cell>
          <cell r="Q56">
            <v>20328.096886088919</v>
          </cell>
          <cell r="R56">
            <v>20432.604775484964</v>
          </cell>
          <cell r="S56">
            <v>20670.966397040102</v>
          </cell>
          <cell r="T56">
            <v>20898.718632987941</v>
          </cell>
          <cell r="U56">
            <v>20692.310126477922</v>
          </cell>
          <cell r="V56">
            <v>20747.428690267843</v>
          </cell>
          <cell r="W56">
            <v>20709.434088054197</v>
          </cell>
          <cell r="X56">
            <v>20551.814341068362</v>
          </cell>
          <cell r="Y56">
            <v>20568.971660168376</v>
          </cell>
          <cell r="Z56">
            <v>20522.950024497826</v>
          </cell>
          <cell r="AA56">
            <v>20330.277928192172</v>
          </cell>
          <cell r="AB56">
            <v>20525.35459348742</v>
          </cell>
          <cell r="AC56">
            <v>20854.706590709175</v>
          </cell>
          <cell r="AD56">
            <v>21256.917971673094</v>
          </cell>
          <cell r="AE56">
            <v>21570.720120863145</v>
          </cell>
          <cell r="AF56">
            <v>21772.212321105402</v>
          </cell>
          <cell r="AG56">
            <v>21960.866909905726</v>
          </cell>
          <cell r="AH56">
            <v>22153.810982145344</v>
          </cell>
          <cell r="AI56">
            <v>22351.080398550635</v>
          </cell>
          <cell r="AJ56"/>
          <cell r="AK56"/>
          <cell r="AL56"/>
          <cell r="AM56"/>
          <cell r="AN56"/>
          <cell r="AO56"/>
          <cell r="AP56"/>
          <cell r="AQ56"/>
          <cell r="AR56"/>
          <cell r="AS56"/>
          <cell r="AT56"/>
          <cell r="AU56"/>
          <cell r="AV56"/>
          <cell r="AW56"/>
          <cell r="AX56"/>
          <cell r="AY56"/>
          <cell r="AZ56"/>
          <cell r="BA56"/>
          <cell r="BB56"/>
          <cell r="BC56"/>
          <cell r="BD56"/>
        </row>
        <row r="57">
          <cell r="D57" t="str">
            <v>Multifamily - High Rise</v>
          </cell>
          <cell r="E57" t="str">
            <v>New</v>
          </cell>
          <cell r="F57">
            <v>6293.7488773549831</v>
          </cell>
          <cell r="G57">
            <v>6218.7995799491309</v>
          </cell>
          <cell r="H57">
            <v>6115.4443227472548</v>
          </cell>
          <cell r="I57">
            <v>6097.1771526017301</v>
          </cell>
          <cell r="J57">
            <v>6138.4783244337832</v>
          </cell>
          <cell r="K57">
            <v>6090.9922882099982</v>
          </cell>
          <cell r="L57">
            <v>5959.4709480698157</v>
          </cell>
          <cell r="M57">
            <v>5941.4023402907569</v>
          </cell>
          <cell r="N57">
            <v>5978.3036157399902</v>
          </cell>
          <cell r="O57">
            <v>6063.3208545899979</v>
          </cell>
          <cell r="P57">
            <v>6153.129976292762</v>
          </cell>
          <cell r="Q57">
            <v>6046.1656483268507</v>
          </cell>
          <cell r="R57">
            <v>6067.0532391429933</v>
          </cell>
          <cell r="S57">
            <v>6139.8190441390307</v>
          </cell>
          <cell r="T57">
            <v>6200.0907112435179</v>
          </cell>
          <cell r="U57">
            <v>6129.1378898369976</v>
          </cell>
          <cell r="V57">
            <v>6138.0791552248211</v>
          </cell>
          <cell r="W57">
            <v>6121.9465722925261</v>
          </cell>
          <cell r="X57">
            <v>6052.0997368016779</v>
          </cell>
          <cell r="Y57">
            <v>6023.3714458878849</v>
          </cell>
          <cell r="Z57">
            <v>5985.5729640142272</v>
          </cell>
          <cell r="AA57">
            <v>5912.8286391792672</v>
          </cell>
          <cell r="AB57">
            <v>5948.4083394101026</v>
          </cell>
          <cell r="AC57">
            <v>6034.8999769114471</v>
          </cell>
          <cell r="AD57">
            <v>6142.5524828381331</v>
          </cell>
          <cell r="AE57">
            <v>6224.4194640134929</v>
          </cell>
          <cell r="AF57">
            <v>6273.3801286478019</v>
          </cell>
          <cell r="AG57">
            <v>6311.0339663720406</v>
          </cell>
          <cell r="AH57">
            <v>6349.1366811754124</v>
          </cell>
          <cell r="AI57">
            <v>6387.6762312382361</v>
          </cell>
          <cell r="AJ57"/>
          <cell r="AK57"/>
          <cell r="AL57"/>
          <cell r="AM57"/>
          <cell r="AN57"/>
          <cell r="AO57"/>
          <cell r="AP57"/>
          <cell r="AQ57"/>
          <cell r="AR57"/>
          <cell r="AS57"/>
          <cell r="AT57"/>
          <cell r="AU57"/>
          <cell r="AV57"/>
          <cell r="AW57"/>
          <cell r="AX57"/>
          <cell r="AY57"/>
          <cell r="AZ57"/>
          <cell r="BA57"/>
          <cell r="BB57"/>
          <cell r="BC57"/>
          <cell r="BD57"/>
        </row>
        <row r="58">
          <cell r="C58"/>
          <cell r="D58" t="str">
            <v>Manufactured</v>
          </cell>
          <cell r="E58" t="str">
            <v>New</v>
          </cell>
          <cell r="F58">
            <v>4008.3847306158732</v>
          </cell>
          <cell r="G58">
            <v>4099.153734329384</v>
          </cell>
          <cell r="H58">
            <v>4170.7990863314635</v>
          </cell>
          <cell r="I58">
            <v>4265.3349901690563</v>
          </cell>
          <cell r="J58">
            <v>4392.1432229144229</v>
          </cell>
          <cell r="K58">
            <v>4446.7929509333881</v>
          </cell>
          <cell r="L58">
            <v>4444.7143278069343</v>
          </cell>
          <cell r="M58">
            <v>4521.3726326473443</v>
          </cell>
          <cell r="N58">
            <v>4632.1702567867096</v>
          </cell>
          <cell r="O58">
            <v>4789.3597285756441</v>
          </cell>
          <cell r="P58">
            <v>4957.4200971424043</v>
          </cell>
          <cell r="Q58">
            <v>4979.5414223879607</v>
          </cell>
          <cell r="R58">
            <v>5104.2834750168422</v>
          </cell>
          <cell r="S58">
            <v>5264.5002049913228</v>
          </cell>
          <cell r="T58">
            <v>5418.9261606128994</v>
          </cell>
          <cell r="U58">
            <v>5459.3309839335243</v>
          </cell>
          <cell r="V58">
            <v>5565.9204123493746</v>
          </cell>
          <cell r="W58">
            <v>5651.0239141178781</v>
          </cell>
          <cell r="X58">
            <v>5695.4362405347119</v>
          </cell>
          <cell r="Y58">
            <v>5787.3648557418801</v>
          </cell>
          <cell r="Z58">
            <v>5858.6426366420983</v>
          </cell>
          <cell r="AA58">
            <v>5892.1011712989484</v>
          </cell>
          <cell r="AB58">
            <v>6029.4697758612238</v>
          </cell>
          <cell r="AC58">
            <v>6210.1607858162752</v>
          </cell>
          <cell r="AD58">
            <v>6413.195462055749</v>
          </cell>
          <cell r="AE58">
            <v>6590.9202869145256</v>
          </cell>
          <cell r="AF58">
            <v>6735.3019806910424</v>
          </cell>
          <cell r="AG58">
            <v>6876.0618838922637</v>
          </cell>
          <cell r="AH58">
            <v>7018.2906993152037</v>
          </cell>
          <cell r="AI58">
            <v>7162.0317236436294</v>
          </cell>
          <cell r="AJ58"/>
          <cell r="AK58"/>
          <cell r="AL58"/>
          <cell r="AM58"/>
          <cell r="AN58"/>
          <cell r="AO58"/>
          <cell r="AP58"/>
          <cell r="AQ58"/>
          <cell r="AR58"/>
          <cell r="AS58"/>
          <cell r="AT58"/>
          <cell r="AU58"/>
          <cell r="AV58"/>
          <cell r="AW58"/>
          <cell r="AX58"/>
          <cell r="AY58"/>
          <cell r="AZ58"/>
          <cell r="BA58"/>
          <cell r="BB58"/>
          <cell r="BC58"/>
          <cell r="BD58"/>
        </row>
        <row r="59">
          <cell r="C59"/>
          <cell r="D59" t="str">
            <v>Single Family</v>
          </cell>
          <cell r="E59" t="str">
            <v>Existing</v>
          </cell>
          <cell r="F59">
            <v>4428189.8049785206</v>
          </cell>
          <cell r="G59">
            <v>4418134.3543685544</v>
          </cell>
          <cell r="H59">
            <v>4408101.7374878153</v>
          </cell>
          <cell r="I59">
            <v>4398091.9024858968</v>
          </cell>
          <cell r="J59">
            <v>4388104.797630135</v>
          </cell>
          <cell r="K59">
            <v>4378140.3713053381</v>
          </cell>
          <cell r="L59">
            <v>4368198.5720135234</v>
          </cell>
          <cell r="M59">
            <v>4358279.3483736468</v>
          </cell>
          <cell r="N59">
            <v>4348382.6491213385</v>
          </cell>
          <cell r="O59">
            <v>4338508.4231086429</v>
          </cell>
          <cell r="P59">
            <v>4328656.619303748</v>
          </cell>
          <cell r="Q59">
            <v>4318827.1867907215</v>
          </cell>
          <cell r="R59">
            <v>4309020.074769252</v>
          </cell>
          <cell r="S59">
            <v>4299235.2325543854</v>
          </cell>
          <cell r="T59">
            <v>4289472.6095762625</v>
          </cell>
          <cell r="U59">
            <v>4279732.1553798541</v>
          </cell>
          <cell r="V59">
            <v>4270013.8196247062</v>
          </cell>
          <cell r="W59">
            <v>4260317.5520846751</v>
          </cell>
          <cell r="X59">
            <v>4250643.3026476726</v>
          </cell>
          <cell r="Y59">
            <v>4240991.0213153986</v>
          </cell>
          <cell r="Z59">
            <v>4231360.6582030952</v>
          </cell>
          <cell r="AA59">
            <v>4221752.1635392765</v>
          </cell>
          <cell r="AB59">
            <v>4212165.4876654791</v>
          </cell>
          <cell r="AC59">
            <v>4202600.5810360014</v>
          </cell>
          <cell r="AD59">
            <v>4193057.3942176527</v>
          </cell>
          <cell r="AE59">
            <v>4183535.8778894898</v>
          </cell>
          <cell r="AF59">
            <v>4174035.9828425697</v>
          </cell>
          <cell r="AG59">
            <v>4164557.6599796913</v>
          </cell>
          <cell r="AH59">
            <v>4155100.8603151422</v>
          </cell>
          <cell r="AI59">
            <v>4145665.5349744461</v>
          </cell>
          <cell r="AJ59"/>
          <cell r="AK59"/>
          <cell r="AL59"/>
          <cell r="AM59"/>
          <cell r="AN59"/>
          <cell r="AO59"/>
          <cell r="AP59"/>
          <cell r="AQ59"/>
          <cell r="AR59"/>
          <cell r="AS59"/>
          <cell r="AT59"/>
          <cell r="AU59"/>
          <cell r="AV59"/>
          <cell r="AW59"/>
          <cell r="AX59"/>
          <cell r="AY59"/>
          <cell r="AZ59"/>
          <cell r="BA59"/>
          <cell r="BB59"/>
          <cell r="BC59"/>
          <cell r="BD59"/>
        </row>
        <row r="60">
          <cell r="C60"/>
          <cell r="D60" t="str">
            <v>Multifamily - Low Rise</v>
          </cell>
          <cell r="E60" t="str">
            <v>Existing</v>
          </cell>
          <cell r="F60">
            <v>1000209.5008814464</v>
          </cell>
          <cell r="G60">
            <v>997938.20733232133</v>
          </cell>
          <cell r="H60">
            <v>995672.07147704111</v>
          </cell>
          <cell r="I60">
            <v>993411.08160342288</v>
          </cell>
          <cell r="J60">
            <v>991155.22602587962</v>
          </cell>
          <cell r="K60">
            <v>988904.49308536039</v>
          </cell>
          <cell r="L60">
            <v>986658.87114928989</v>
          </cell>
          <cell r="M60">
            <v>984418.34861150815</v>
          </cell>
          <cell r="N60">
            <v>982182.91389221046</v>
          </cell>
          <cell r="O60">
            <v>979952.55543788837</v>
          </cell>
          <cell r="P60">
            <v>977727.26172126888</v>
          </cell>
          <cell r="Q60">
            <v>975507.0212412551</v>
          </cell>
          <cell r="R60">
            <v>973291.82252286782</v>
          </cell>
          <cell r="S60">
            <v>971081.65411718469</v>
          </cell>
          <cell r="T60">
            <v>968876.50460128207</v>
          </cell>
          <cell r="U60">
            <v>966676.36257817538</v>
          </cell>
          <cell r="V60">
            <v>964481.21667676105</v>
          </cell>
          <cell r="W60">
            <v>962291.0555517571</v>
          </cell>
          <cell r="X60">
            <v>960105.86788364418</v>
          </cell>
          <cell r="Y60">
            <v>957925.64237860811</v>
          </cell>
          <cell r="Z60">
            <v>955750.36776848033</v>
          </cell>
          <cell r="AA60">
            <v>953580.03281068068</v>
          </cell>
          <cell r="AB60">
            <v>951414.62628815835</v>
          </cell>
          <cell r="AC60">
            <v>949254.13700933522</v>
          </cell>
          <cell r="AD60">
            <v>947098.55380804639</v>
          </cell>
          <cell r="AE60">
            <v>944947.86554348364</v>
          </cell>
          <cell r="AF60">
            <v>942802.06110013754</v>
          </cell>
          <cell r="AG60">
            <v>940661.12938773993</v>
          </cell>
          <cell r="AH60">
            <v>938525.05934120633</v>
          </cell>
          <cell r="AI60">
            <v>936393.83992057957</v>
          </cell>
          <cell r="AJ60"/>
          <cell r="AK60"/>
          <cell r="AL60"/>
          <cell r="AM60"/>
          <cell r="AN60"/>
          <cell r="AO60"/>
          <cell r="AP60"/>
          <cell r="AQ60"/>
          <cell r="AR60"/>
          <cell r="AS60"/>
          <cell r="AT60"/>
          <cell r="AU60"/>
          <cell r="AV60"/>
          <cell r="AW60"/>
          <cell r="AX60"/>
          <cell r="AY60"/>
          <cell r="AZ60"/>
          <cell r="BA60"/>
          <cell r="BB60"/>
          <cell r="BC60"/>
          <cell r="BD60"/>
        </row>
        <row r="61">
          <cell r="D61" t="str">
            <v>Multifamily - High Rise</v>
          </cell>
          <cell r="E61" t="str">
            <v>Existing</v>
          </cell>
          <cell r="F61">
            <v>295974.19722520368</v>
          </cell>
          <cell r="G61">
            <v>295302.09374660981</v>
          </cell>
          <cell r="H61">
            <v>294631.5164925658</v>
          </cell>
          <cell r="I61">
            <v>293962.46199729381</v>
          </cell>
          <cell r="J61">
            <v>293294.92680288607</v>
          </cell>
          <cell r="K61">
            <v>292628.90745928715</v>
          </cell>
          <cell r="L61">
            <v>291964.40052427596</v>
          </cell>
          <cell r="M61">
            <v>291301.40256344818</v>
          </cell>
          <cell r="N61">
            <v>290639.91015019838</v>
          </cell>
          <cell r="O61">
            <v>289979.91986570234</v>
          </cell>
          <cell r="P61">
            <v>289321.42829889921</v>
          </cell>
          <cell r="Q61">
            <v>288664.43204647431</v>
          </cell>
          <cell r="R61">
            <v>288008.92771284096</v>
          </cell>
          <cell r="S61">
            <v>287354.91191012348</v>
          </cell>
          <cell r="T61">
            <v>286702.38125813944</v>
          </cell>
          <cell r="U61">
            <v>286051.33238438197</v>
          </cell>
          <cell r="V61">
            <v>285401.76192400273</v>
          </cell>
          <cell r="W61">
            <v>284753.66651979421</v>
          </cell>
          <cell r="X61">
            <v>284107.04282217269</v>
          </cell>
          <cell r="Y61">
            <v>283461.88748916058</v>
          </cell>
          <cell r="Z61">
            <v>282818.19718636951</v>
          </cell>
          <cell r="AA61">
            <v>282175.96858698258</v>
          </cell>
          <cell r="AB61">
            <v>281535.19837173773</v>
          </cell>
          <cell r="AC61">
            <v>280895.88322891033</v>
          </cell>
          <cell r="AD61">
            <v>280258.01985429594</v>
          </cell>
          <cell r="AE61">
            <v>279621.60495119344</v>
          </cell>
          <cell r="AF61">
            <v>278986.63523038808</v>
          </cell>
          <cell r="AG61">
            <v>278353.10741013393</v>
          </cell>
          <cell r="AH61">
            <v>277721.01821613766</v>
          </cell>
          <cell r="AI61">
            <v>277090.36438154121</v>
          </cell>
          <cell r="AJ61"/>
          <cell r="AK61"/>
          <cell r="AL61"/>
          <cell r="AM61"/>
          <cell r="AN61"/>
          <cell r="AO61"/>
          <cell r="AP61"/>
          <cell r="AQ61"/>
          <cell r="AR61"/>
          <cell r="AS61"/>
          <cell r="AT61"/>
          <cell r="AU61"/>
          <cell r="AV61"/>
          <cell r="AW61"/>
          <cell r="AX61"/>
          <cell r="AY61"/>
          <cell r="AZ61"/>
          <cell r="BA61"/>
          <cell r="BB61"/>
          <cell r="BC61"/>
          <cell r="BD6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Retro"/>
      <sheetName val="Overlap&amp;RampRate"/>
      <sheetName val="M_Input_Out"/>
      <sheetName val="M_Input"/>
      <sheetName val="Consolidation"/>
      <sheetName val="SavingsData&amp;Analysis_IrrHW"/>
      <sheetName val="SavingsData&amp;Analysis_Conversion"/>
      <sheetName val="SavingsMethodology"/>
      <sheetName val="Assumptions"/>
      <sheetName val="Inputs"/>
      <sheetName val="Parameters"/>
      <sheetName val="Acres"/>
      <sheetName val="IrrWaterMngmtSurvey"/>
      <sheetName val="Costs"/>
      <sheetName val="Plan Emails-Excerpts"/>
      <sheetName val="RTFUESSummary"/>
      <sheetName val="Upgrades"/>
      <sheetName val="IDStudyAppendixA"/>
      <sheetName val="NozzleFlowRate_HandAndWheel"/>
      <sheetName val="IDStudy_Leaks_HandAndWheel"/>
      <sheetName val="IDStudy_Leaks_Pivot"/>
      <sheetName val="IDStudy_Uniformity"/>
      <sheetName val="RTF Emails-Excerpts"/>
      <sheetName val="IDStudyTables"/>
      <sheetName val="BPAPumpTests"/>
      <sheetName val="PacifiCorp"/>
      <sheetName val="F&amp;R Sprinkler Acreage"/>
      <sheetName val="F&amp;R Water Use by Sprinklers"/>
      <sheetName val="ValidationLists"/>
    </sheetNames>
    <definedNames>
      <definedName name="MeasureOutput" refersTo="='M_Input_Out'!$A$4:$AN$127"/>
    </definedNames>
    <sheetDataSet>
      <sheetData sheetId="0"/>
      <sheetData sheetId="1">
        <row r="4">
          <cell r="C4" t="str">
            <v>Measures Described</v>
          </cell>
          <cell r="D4" t="str">
            <v>Nozzle, gasket, and other irrigation hardware replacements
Sprinkler system replacement measures
Irrigation system upgrade measures
System Pressure Reduction
System Conversion
Variable Rate Irrigation</v>
          </cell>
          <cell r="F4" t="str">
            <v>Combination of Irrigation Hardware, Irrigation Upgrades, and System Conversions (previously 3 different workbooks in 7th Plan)</v>
          </cell>
        </row>
        <row r="5">
          <cell r="C5" t="str">
            <v>Energy Savings Calculation Basis</v>
          </cell>
          <cell r="D5" t="str">
            <v>RTF</v>
          </cell>
          <cell r="E5" t="str">
            <v>AgIrrigationHardware_v4_1.xlsm</v>
          </cell>
          <cell r="F5" t="str">
            <v>New mix of measures from 7P, based on RTF work. Additional calculations and estimates for other measures.</v>
          </cell>
          <cell r="H5" t="str">
            <v xml:space="preserve"> </v>
          </cell>
        </row>
        <row r="6">
          <cell r="C6" t="str">
            <v>Applicable Stock</v>
          </cell>
          <cell r="D6" t="str">
            <v>Irrigated acres by irrigation system type from 2013 Farm &amp; Ranch Irrigation Survey</v>
          </cell>
        </row>
        <row r="7">
          <cell r="C7" t="str">
            <v>Baseline Saturation</v>
          </cell>
          <cell r="D7" t="str">
            <v>Based on 7P work, survey data, and other estimates</v>
          </cell>
        </row>
        <row r="8">
          <cell r="C8" t="str">
            <v>Baseline HVAC Loads</v>
          </cell>
          <cell r="D8" t="str">
            <v>NA</v>
          </cell>
        </row>
        <row r="9">
          <cell r="C9" t="str">
            <v>Permutations</v>
          </cell>
          <cell r="D9" t="str">
            <v>By ag region, rolled up to state</v>
          </cell>
          <cell r="E9" t="str">
            <v>Apportion of east/west region based on # irrigated acres by county</v>
          </cell>
        </row>
        <row r="10">
          <cell r="C10" t="str">
            <v>Costs</v>
          </cell>
          <cell r="D10" t="str">
            <v>RTF</v>
          </cell>
        </row>
        <row r="11">
          <cell r="C11" t="str">
            <v>Measure Life</v>
          </cell>
          <cell r="D11" t="str">
            <v>RTF</v>
          </cell>
        </row>
        <row r="12">
          <cell r="C12" t="str">
            <v>Savings Shape</v>
          </cell>
          <cell r="D12" t="str">
            <v>A-Irr-Irr-Irrigation-All-All-E</v>
          </cell>
          <cell r="E12" t="str">
            <v>Generic irrigation load shape from ELCAP</v>
          </cell>
          <cell r="F12" t="str">
            <v>same</v>
          </cell>
        </row>
        <row r="13">
          <cell r="C13" t="str">
            <v>Achievability Ramp Rate</v>
          </cell>
          <cell r="D13" t="str">
            <v>Varies based on measure</v>
          </cell>
          <cell r="E13" t="str">
            <v>Long standing programs</v>
          </cell>
          <cell r="F13" t="str">
            <v>6P used 5%/year, 7P used RetroMed</v>
          </cell>
        </row>
        <row r="16">
          <cell r="C16" t="str">
            <v>Tab Colors:</v>
          </cell>
        </row>
        <row r="17">
          <cell r="C17" t="str">
            <v>Edited for 2021PP</v>
          </cell>
        </row>
        <row r="18">
          <cell r="C18" t="str">
            <v>Flagged for Removal</v>
          </cell>
        </row>
        <row r="19">
          <cell r="C19" t="str">
            <v>Keep in Workbook</v>
          </cell>
        </row>
        <row r="20">
          <cell r="C20" t="str">
            <v>Flagged for Further Analysis</v>
          </cell>
        </row>
        <row r="26">
          <cell r="C26" t="str">
            <v>Analysis/Change Summary</v>
          </cell>
        </row>
        <row r="27">
          <cell r="C27" t="str">
            <v>Hardware and Upgrades: Updated RTF savings from the most recent UES workbook were converted according to 7th Plan methodology to state-specific impacts per acre with FRIS 2013 data. While the measures were updated and some of the FRIS 2013 tables were added/adjusted for correctness, no significant changes were made to the original methodology. Correct nozzle/acre calculations were added to fix savings additivity of LESA/MESA conversions.</v>
          </cell>
        </row>
        <row r="28">
          <cell r="C28" t="str">
            <v xml:space="preserve">System Conversions: AEG adapted the analysis in the 7th Plan "Ag-ConvertP_Irr-7P_v3" workbook to reflect the latest assumptions made by the RTF for hardware and upgrades. In order to make the pressure reduction measures additive to the three (3) system upgrade measures from the RTF Irrigation Hardware UES analysis (high P to medium P, high P to low P, medium P to low P), AEG made the following adjustments:
1. A High to Medium pressure system retrofit option was added to match the system upgrade measures in the RTF analysis. All High P to Low P measures were removed since the Low P/LESA measure should be incremental to Medium P/MESA.
2. The pre- and post-retrofit pump discharge rates in the new analysis was set equal to the efficient case flow rates from the RTF system upgrade measures (calculated as efficient case GPM/nozzle after upgrade x # nozzles/package x package/acre x acres/pump). Since the RTF upgrade measure calculates savings based on a reduction in flow rate due to higher application efficiencies but not a difference pressure, this calculation keeps flow rate constant and reduces pressure.
3. The system lift and pressure per state and system type was adjusted for consistency across both analyses based on expert feedback per state for both lift and the relative proportion of well to surface pumps.  
4. The elevation change values for ID, OR, and WA were adjusted down to 5 ft. Unclear why there would be an additional elevation change past the pumping lift. Pump lift verified with experts. Tom Eckman defined the elevation change for the wheel/hand line conversions as "the approximate difference in system height between center pivot and hand/side roll systems," but it is not clear why such high values were present for the pivot pressure reduction measures. According to Tom, one or more of the values for Elevation Change, Friction Loss and Mainline Friction Loss were changed to achieve “rough calibration,” though it is unclear what those changes were. 
5. The 7th Plan had an increase in pump efficiency for the pressure reduction measures; AEG changed this increase from a 14% increase (6th/7th Plan) to a 5% addition to take into account some increase in system efficiency for the pump retrofit (VFD, impeller trimming, etc) yet leave room to not double-count other efficiency increases that happen from pump/motor upgrades in separate measure in Irr_Motors workbook. While pump efficiency improves with reduced flow due to reduction in head pressure, AEG found that the original project data evaluated by Dick Stroh/Tom Eckman had a maximum efficiency gain from flow reduction of 4.4%. As such, 5% is more reasonable efficiency increase assumption that 14%. The VFD addition is assumed as the main source of the project costs, which were estimated as $150/HP for all conversion measures. No pump efficiency changes are evaluated for the wheel- and hand-line conversion measures, consistent with the 7th Plan.
6. The efficient case system pressures for medium and low pressure measures were changed to be consistent with MESA and LEPA/LESA/MDI estimates at 40 and 15 psi, respectively (based on Peters, Neibling, Stroh report on LEPA-LESA Trials in the PNW). 
7. The leakage rates were adjusted using the 25th percentile for uniformity from the Idaho Study in pivots as well as hand/wheel systems as a proxy for leakage/extra water waste.
8. O&amp;M costs were applied to other conversion measures, not just Medium to Low Pressure. </v>
          </cell>
        </row>
        <row r="29">
          <cell r="C29" t="str">
            <v>Variable Rate Irrigation: Very little quantifiable data exists for this measure; NWPCC asked AEG to include an estimate for this measure. A rough 10% savings estimate (from Tom Osborn, BPA based on one project in 2017) was applied to the median post-retrofit annual electricity consumption per pump from the system conversion analysis. Although a graduate thesis from Canada indicated slightly higher savings (12-21% for wheat and potatoes grown in Alberta), the more conservative and region-specific 10% savings estimate was used. AEG compiled an average cost range based on discussions and other sources to result in an average project cost of approximately $32,000. Although this measure will tend to be very site-specific, costly, and difficult to quantify, it is still promising and should be investigated further.</v>
          </cell>
        </row>
        <row r="30">
          <cell r="C30" t="str">
            <v xml:space="preserve">Further Adjustments: </v>
          </cell>
        </row>
        <row r="31">
          <cell r="C31" t="str">
            <v>- Addition of correct nozzle/acre calculations to fix savings additivity of LESA/MESA conversions</v>
          </cell>
        </row>
        <row r="32">
          <cell r="C32" t="str">
            <v>- Assigned separate ramp rates for each measure in "Overlap&amp;RampRate" sheet</v>
          </cell>
        </row>
        <row r="33">
          <cell r="C33" t="str">
            <v>- Added a $150/HP cost for all pressure conversion measures as a project cost estimate</v>
          </cell>
        </row>
        <row r="34">
          <cell r="C34" t="str">
            <v>- AEG accounted for the number of farms already at MESA + those that add MESA by capturing this manually in the applicable acres calculation of the "SC-Retro" sheet. AEG added the number of cumulative High P to MESA upgrades multiplied by the assumed feasibility (30%) to the already applicable MESA baseline. This reflects an estimate of all MESA systems that could be upgraded to LESA and grows based on the number of High P to MESA upgrades made.
- AEG also added a second Medium to Low Pressure measure to account for the pivots that reduce from high to medium pressure and then go to low pressure (at no additional cost). This portion of the analysis is still under review, and will be reviewed at CRAC.</v>
          </cell>
        </row>
        <row r="35">
          <cell r="C35" t="str">
            <v>- Added a periodic nozzle replacement cost to the MESA and LESA system upgrades (hardware measure) while removing this from the medium and low pressure conversions, since the hardware replacement cost should go with the hardware upgrade measures (the measure where the additional nozzles are actually being added).</v>
          </cell>
        </row>
        <row r="36">
          <cell r="C36" t="str">
            <v xml:space="preserve"> </v>
          </cell>
        </row>
        <row r="39">
          <cell r="C39" t="str">
            <v>Measure Descriptions</v>
          </cell>
        </row>
        <row r="40">
          <cell r="C40" t="str">
            <v>Wheel and Hand - Rebuilt or New Impact Sprinkler: This measure estimates energy savings resulting from improved maintenance practices regarding the repair and replacement of impact sprinkler heads.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1">
          <cell r="C41" t="str">
            <v>Wheel and Hand - Gaskets: This measure estimates energy savings resulting from improved maintenance practices regarding the replacement of gaskets.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2">
          <cell r="C42" t="str">
            <v>Wheel and Hand - Drains: This measure estimates energy savings resulting from improved maintenance practices regarding the replacement of drains. A drain is located adjacent to each sprinkler and automatically empties the lateral pipeline when water pressure drops off.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3">
          <cell r="C43" t="str">
            <v>Wheel and Hand - Cut and Press Repair: This measure estimates energy savings resulting from improved maintenance practices regarding the repair of pipes.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4">
          <cell r="C44" t="str">
            <v>Wheel and Hand - Hub Gasket: This measure estimates energy savings resulting from improved maintenance practices regarding the replacement of hub gaskets on Thunderbird wheel line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5">
          <cell r="C45" t="str">
            <v>Wheel and Hand - Levelers: This measure estimates energy savings resulting from improved maintenance practices regarding the repair and replacement of levelers that keep sprinklers upright in a linear movement system.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6">
          <cell r="C46" t="str">
            <v>Pivot and Linear - Base Boot Gasket: This measure estimates energy savings resulting from improved maintenance practices regarding the replacement of base boot gaskets in center pivot/linear move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7">
          <cell r="C47" t="str">
            <v>Pivot and Linear - Tower Gasket: This measure estimates energy savings resulting from improved maintenance practices regarding the replacement of tower gaskets in center pivot/linear move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8">
          <cell r="C48" t="str">
            <v>Wheel and Hand - Nozzle Replacement: 'This measure estimates energy savings resulting from improved maintenance practices regarding the replacement of sprinkler nozzles in wheel and hand line systems.  The baseline for this measure is the typical leakage rates and uniformity of distribution observed in the population of irrigation systems. It is assumed that typical maintenance practice is to replace hardware components well past the point at which these components start to leak and/or operate outside of their design parameters. The efficient case for these measures is the leakage rates and uniformity of well-maintained systems where components are replaced more frequently than in the baseline.</v>
          </cell>
        </row>
        <row r="49">
          <cell r="C49" t="str">
            <v xml:space="preserve">Sprinkler Package Replacement, High Pressure: High-pressure impact sprinklers on center-pivot/linear move or wheel-line irrigation systems spread water over a large radius and allow for more time for the water to infiltrate the soil as the sprinkler passes. However, a large amount of water is lost to wind drift and evaporation, reducing the application efficiency as well as the irrigation uniformity. This measure covers savings stemming from high-pressure system replacement and redesign by increasing the irrigation uniformity of distribution. </v>
          </cell>
        </row>
        <row r="50">
          <cell r="C50" t="str">
            <v xml:space="preserve">Sprinkler Package Replacement, Medium Pressure and MESA Upgrades: Mid Elevation Spray Application (MESA) technology can be applied to center-pivot/linear move or wheel-line irrigation systems and competes with low-elevation spray application (LESA) as well as subsurface drip irrigation (SDI).  These sprinklers typically use 15-20 psi pressure regulators and thus need about 35-40 psi at the pivot point to operate properly. The smaller wetted radius doesn’t allow as much time for the water to infiltrate into the soil as the pivot passes. This measure covers savings stemming from MESA to MESA system replacement and redesign by increasing the irrigation uniformity of distribution. </v>
          </cell>
        </row>
        <row r="51">
          <cell r="C51" t="str">
            <v xml:space="preserve">Sprinkler Package Replacement, Low Pressure and LESA Upgrades: Low Elevation Spray Application (LESA) as well as Low Energy Precision Application (LEPA) technologies are modifications to the typical sprinkler head configuration on center-pivot/linear move or wheel-line irrigation systems. Both LESA and LEPA both apply water below the crop foliage, and LESA uses sprinkler/spray  heads positioned about a foot above the ground surface. LEPA, also known as Mobile Drip Irrigation (MDI), runs water directly on the soil surface by dragging the hoses on the ground (often with help of drag socks). Nozzle pressures can be regulated to as low 6 to 10-psig. Energy savings occur due to reduced water pressure and increased water application effectiveness (much less water is lost to wind drift and evaporation). This measure covers savings stemming from LESA to LESA system replacement and redesign by increasing the irrigation uniformity of distribution. </v>
          </cell>
        </row>
        <row r="52">
          <cell r="C52" t="str">
            <v>Pivot and Linear - Pressure Reduction: While system upgrades like mid and low elevation spray application measures improve the water application efficiency, this in turn can also reduce the required pressure for a system that properly controls the pump. These pressure reduction measures provides an impact estimate for the pressure reduction portion of a well-designed system upgrade. Since pressure is not always reduced in a system upgrade, this measure is calculated separately.</v>
          </cell>
        </row>
        <row r="53">
          <cell r="C53" t="str">
            <v>Conversion of Wheel and Hand Line Systems to Low Pressure: This measure involves conversion of wheel- and hand-line systems to more efficient low pressure sprinklers, which results from savings from both an improvement in water application efficiency and pressure reduction.</v>
          </cell>
        </row>
        <row r="54">
          <cell r="C54" t="str">
            <v>Variable Rate Irrigation: This measure involves the ability of an irrigation system to apply different amounts of water to different areas of the field. There are two primary ways of doing this: variable speed irrigation (VSI) and variable rate irrigation (VRI). Variable speed irrigation does not require additional hardware on the pivot, but instead uses controls to slow down or speed up the pivot in different areas of the field, making it ideal for fields with multiple crops.  Due to the low applicability and low interest in VSI, this measure is not included in this assessment. In variable rate irrigation (also called variable zone irrigation), the speed of the center pivot as well as the application rate along the pivot lateral can vary. The application rate along the lateral is usually varied by pulsing sprinklers on/off. Because additional hardware must be mounted on the pivot along with more sophisticated control technology, variable rate irrigation is much more expensive than variable speed irrigation. Although costs for VRI are unlikely to drop significantly, it is nevertheless a very promising advanced irrigation method.</v>
          </cell>
        </row>
        <row r="57">
          <cell r="C57" t="str">
            <v>Fields to Update</v>
          </cell>
        </row>
        <row r="58">
          <cell r="C58" t="str">
            <v>Suggested Source</v>
          </cell>
          <cell r="D58" t="str">
            <v>Data That Needs Updating</v>
          </cell>
          <cell r="E58" t="str">
            <v>Location</v>
          </cell>
          <cell r="F58" t="str">
            <v>Current Source</v>
          </cell>
          <cell r="G58" t="str">
            <v>Status</v>
          </cell>
        </row>
        <row r="59">
          <cell r="C59" t="str">
            <v>USDA 2017 Ag Census</v>
          </cell>
          <cell r="D59" t="str">
            <v>Acres Irrigated Land, by County (County Level data, Table 10)</v>
          </cell>
          <cell r="E59" t="str">
            <v>"W vs E" sheet</v>
          </cell>
          <cell r="F59" t="str">
            <v>2012 Ag Census</v>
          </cell>
          <cell r="G59" t="str">
            <v>Complete</v>
          </cell>
        </row>
        <row r="60">
          <cell r="C60" t="str">
            <v>FRIS 2017</v>
          </cell>
          <cell r="D60" t="str">
            <v>All Tables, preferably in the same format. Ensure that subsequent sheets: "Acres", "Assumptions" are properly linked.</v>
          </cell>
          <cell r="E60" t="str">
            <v>"FarmAndRanchIrrigationSurvey" sheet</v>
          </cell>
          <cell r="F60" t="str">
            <v>FRIS 2013</v>
          </cell>
          <cell r="G60" t="str">
            <v>Complete</v>
          </cell>
        </row>
        <row r="61">
          <cell r="C61" t="str">
            <v>Professional Judgment</v>
          </cell>
          <cell r="D61" t="str">
            <v>Base Case Elevation Change for pivots in ID/OR/WA, Post-Retrofit Friction Loss for wheel/hand in OR, currently set at a default 5 ft.</v>
          </cell>
          <cell r="E61" t="str">
            <v>"SavingsData&amp;Analysis_Conversion" sheet, Cells E31:E46</v>
          </cell>
          <cell r="F61" t="str">
            <v>Reduction to 5 ft for consistency with other systems</v>
          </cell>
        </row>
        <row r="62">
          <cell r="C62" t="str">
            <v>CRAC Judgment</v>
          </cell>
          <cell r="D62" t="str">
            <v xml:space="preserve">Treatment of customers that reduce pivot pressure MtoL directly after going HtoM. Since additional pressure reductions are expected to come at no cost, this measure (Medium2 to Low) is analyzed separately from the regular medium to low pressure measure where the original system pressure is already Medium. </v>
          </cell>
          <cell r="E62" t="str">
            <v>Rows 9, 14, 17, 24, 33, 38, 43, 48, 57, 62, 67, 72, 81, 86, 91, and 96 of the "SavingsData&amp;Analysis_Conversion" sheet; Rows 66, 71, 76, and 81 in the "M_Input" sheet; Rows 93, 98, 103, 108, 179, 184, 189, 194, 268, 273, 278, 283 of the "SC-Retro" sheet; Rows 61, 66, 71, and 76 of the "forRPM" sheet.</v>
          </cell>
          <cell r="F62" t="str">
            <v>AEG Judgment / NWPCC Guidance</v>
          </cell>
        </row>
        <row r="63">
          <cell r="C63" t="str">
            <v>TBD</v>
          </cell>
          <cell r="D63" t="str">
            <v>Review and update savings shape using load profiles from (Northwest) implementers, utilities, and program administrators and/or simulated savings load shapes based on engineering models, etc.</v>
          </cell>
          <cell r="E63" t="str">
            <v>"M_Input" sheet</v>
          </cell>
          <cell r="F63" t="str">
            <v>7th Plan</v>
          </cell>
        </row>
        <row r="65">
          <cell r="C65" t="str">
            <v>Achievability Ramp Rate Notes</v>
          </cell>
        </row>
        <row r="66">
          <cell r="C66" t="str">
            <v>Measure Category</v>
          </cell>
          <cell r="D66" t="str">
            <v>Measure Detail</v>
          </cell>
          <cell r="E66" t="str">
            <v>Notes on Rate Assignment</v>
          </cell>
          <cell r="F66" t="str">
            <v>7th Plan
Ramp Rate</v>
          </cell>
          <cell r="G66" t="str">
            <v>2021 Plan
Ramp Rate</v>
          </cell>
        </row>
        <row r="67">
          <cell r="C67" t="str">
            <v>Irrigation Hardware - Retro</v>
          </cell>
          <cell r="D67" t="str">
            <v>Hardware Only</v>
          </cell>
          <cell r="E67" t="str">
            <v>Maintenance measure, implementation will be required throughout planning horizon.</v>
          </cell>
          <cell r="F67" t="str">
            <v>Retro12Med</v>
          </cell>
          <cell r="G67" t="str">
            <v>RetroEven20</v>
          </cell>
        </row>
        <row r="68">
          <cell r="C68" t="str">
            <v>Irrigation Replacement - Retro</v>
          </cell>
          <cell r="D68" t="str">
            <v>Replacement Only</v>
          </cell>
          <cell r="E68" t="str">
            <v>Maintenance measure, implementation will be required throughout planning horizon.</v>
          </cell>
          <cell r="F68" t="str">
            <v>Retro12Med</v>
          </cell>
          <cell r="G68" t="str">
            <v>RetroEven20</v>
          </cell>
        </row>
        <row r="69">
          <cell r="C69" t="str">
            <v>Irrigation Efficiency (MESA) - Retro</v>
          </cell>
          <cell r="D69" t="str">
            <v>Upgrade from High Pressure to MESA</v>
          </cell>
          <cell r="E69" t="str">
            <v>New measure to 2021 Plan, MESA performs well throughout the region and is expected to become industry standard in the Northwest as new fields come online. Assume this will outperform LESA's "Retro1Slow" assumption from the 7th Plan.</v>
          </cell>
          <cell r="F69" t="str">
            <v>n/a - new</v>
          </cell>
          <cell r="G69" t="str">
            <v>Retro5Med</v>
          </cell>
        </row>
        <row r="70">
          <cell r="C70" t="str">
            <v>Irrigation Efficiency (LESA) - Retro</v>
          </cell>
          <cell r="D70" t="str">
            <v>Upgrade from MESA to LESA</v>
          </cell>
          <cell r="E70" t="str">
            <v>Model as Retro1Slow to simulate "lag" between adopting MESA and LESA. This measure is more costly and difficult to install compared to MESA. Retain 7th Plan assignment.</v>
          </cell>
          <cell r="F70" t="str">
            <v>Retro1Slow</v>
          </cell>
          <cell r="G70" t="str">
            <v>Retro1Slow</v>
          </cell>
        </row>
        <row r="71">
          <cell r="C71" t="str">
            <v>Irrigation Pressure (Medium) - Retro</v>
          </cell>
          <cell r="D71" t="str">
            <v>High to Medium Pressure Reduction</v>
          </cell>
          <cell r="E71" t="str">
            <v>Follows MESA measures, model as "Retro3Slow" to simulate "lag" in implementation after MESA has been adopted.</v>
          </cell>
          <cell r="F71" t="str">
            <v>n/a - new</v>
          </cell>
          <cell r="G71" t="str">
            <v>Retro3Slow</v>
          </cell>
        </row>
        <row r="72">
          <cell r="C72" t="str">
            <v>Irrigation Pressure (Low) - Retro</v>
          </cell>
          <cell r="D72" t="str">
            <v>Medium to Low Pressure Reduction, including Wheel/Hand Line reductions</v>
          </cell>
          <cell r="E72" t="str">
            <v>Follows LESA measures, model as "Retro1Slow". Since LESA is already on slow ramp rate, this does not require additional implementation "lag" time.</v>
          </cell>
          <cell r="F72" t="str">
            <v>Retro1Slow</v>
          </cell>
          <cell r="G72" t="str">
            <v>Retro1Slow</v>
          </cell>
        </row>
        <row r="73">
          <cell r="C73" t="str">
            <v>Variable Rate Irrigation - Retro</v>
          </cell>
          <cell r="D73" t="str">
            <v>Variable Rate Irrigation (VRI)</v>
          </cell>
          <cell r="E73" t="str">
            <v>As an emerging technology with a cost limitation, "Retro1Slow" is appropriate.</v>
          </cell>
          <cell r="F73" t="str">
            <v>n/a - new</v>
          </cell>
          <cell r="G73" t="str">
            <v>Retro1Slow</v>
          </cell>
        </row>
      </sheetData>
      <sheetData sheetId="2">
        <row r="3">
          <cell r="A3" t="str">
            <v>RetroEven20</v>
          </cell>
          <cell r="L3">
            <v>4.240158273848312E-3</v>
          </cell>
          <cell r="M3">
            <v>4.2101193199706247E-3</v>
          </cell>
          <cell r="N3">
            <v>4.1685335541290589E-3</v>
          </cell>
          <cell r="O3">
            <v>4.1214637101679727E-3</v>
          </cell>
          <cell r="P3">
            <v>4.0742871948232671E-3</v>
          </cell>
          <cell r="Q3">
            <v>4.0026478625857093E-3</v>
          </cell>
          <cell r="R3">
            <v>3.9324756271858817E-3</v>
          </cell>
          <cell r="S3">
            <v>3.8947081123771694E-3</v>
          </cell>
          <cell r="T3">
            <v>3.8485763920912057E-3</v>
          </cell>
          <cell r="U3">
            <v>3.7966873395934358E-3</v>
          </cell>
          <cell r="V3">
            <v>3.7433034264731596E-3</v>
          </cell>
          <cell r="W3">
            <v>3.678840301974733E-3</v>
          </cell>
          <cell r="X3">
            <v>3.6264938776540464E-3</v>
          </cell>
          <cell r="Y3">
            <v>3.5878174642068202E-3</v>
          </cell>
          <cell r="Z3">
            <v>3.5686546077028564E-3</v>
          </cell>
          <cell r="AA3">
            <v>3.5495941017429367E-3</v>
          </cell>
          <cell r="AB3">
            <v>3.530635399663579E-3</v>
          </cell>
          <cell r="AC3">
            <v>3.5117779577210784E-3</v>
          </cell>
          <cell r="AD3">
            <v>3.4930212350759177E-3</v>
          </cell>
          <cell r="AE3">
            <v>3.4743646937772494E-3</v>
          </cell>
          <cell r="AF3">
            <v>6.9487293875544975E-2</v>
          </cell>
        </row>
        <row r="4">
          <cell r="A4" t="str">
            <v>RetroEven20</v>
          </cell>
          <cell r="B4" t="str">
            <v>Retro</v>
          </cell>
          <cell r="C4" t="str">
            <v>Irrigation Hardware</v>
          </cell>
          <cell r="D4" t="str">
            <v>Agriculture</v>
          </cell>
          <cell r="E4" t="str">
            <v>Irrigation</v>
          </cell>
          <cell r="F4">
            <v>0</v>
          </cell>
          <cell r="G4">
            <v>8.7010888738798305E-3</v>
          </cell>
          <cell r="H4">
            <v>28.474938349150136</v>
          </cell>
          <cell r="I4">
            <v>30.928134493295598</v>
          </cell>
          <cell r="J4" t="str">
            <v>Wheel and Hand_Gaskets</v>
          </cell>
          <cell r="K4" t="str">
            <v>Idaho</v>
          </cell>
          <cell r="L4">
            <v>2.0774398360565691E-2</v>
          </cell>
          <cell r="M4">
            <v>2.0627224327455038E-2</v>
          </cell>
          <cell r="N4">
            <v>2.0423477389268741E-2</v>
          </cell>
          <cell r="O4">
            <v>2.0192861542863136E-2</v>
          </cell>
          <cell r="P4">
            <v>1.9961723066481505E-2</v>
          </cell>
          <cell r="Q4">
            <v>1.9610730502037158E-2</v>
          </cell>
          <cell r="R4">
            <v>1.9266925889591797E-2</v>
          </cell>
          <cell r="S4">
            <v>1.9081886240821171E-2</v>
          </cell>
          <cell r="T4">
            <v>1.8855866674478659E-2</v>
          </cell>
          <cell r="U4">
            <v>1.8601639408060457E-2</v>
          </cell>
          <cell r="V4">
            <v>1.8340088162663217E-2</v>
          </cell>
          <cell r="W4">
            <v>1.8024254992907118E-2</v>
          </cell>
          <cell r="X4">
            <v>1.7767786860975295E-2</v>
          </cell>
          <cell r="Y4">
            <v>1.7578294118436373E-2</v>
          </cell>
          <cell r="Z4">
            <v>1.7484406864935718E-2</v>
          </cell>
          <cell r="AA4">
            <v>1.7391021071719574E-2</v>
          </cell>
          <cell r="AB4">
            <v>1.7298134060443362E-2</v>
          </cell>
          <cell r="AC4">
            <v>1.7205743167067775E-2</v>
          </cell>
          <cell r="AD4">
            <v>1.7113845741782381E-2</v>
          </cell>
          <cell r="AE4">
            <v>1.7022439148929633E-2</v>
          </cell>
          <cell r="AF4">
            <v>0.34044878297859266</v>
          </cell>
          <cell r="AG4">
            <v>0</v>
          </cell>
          <cell r="AH4">
            <v>1.0338309786753079E-4</v>
          </cell>
          <cell r="AI4">
            <v>9.6513885976832973E-3</v>
          </cell>
          <cell r="AJ4">
            <v>0.17208118644852646</v>
          </cell>
          <cell r="AK4">
            <v>0.64944180626929171</v>
          </cell>
          <cell r="AL4">
            <v>0.95803990256753901</v>
          </cell>
          <cell r="AM4">
            <v>0.96085142928897016</v>
          </cell>
          <cell r="AN4">
            <v>0.93882081441669996</v>
          </cell>
        </row>
        <row r="5">
          <cell r="A5" t="str">
            <v>RetroEven20</v>
          </cell>
          <cell r="B5" t="str">
            <v>Retro</v>
          </cell>
          <cell r="C5" t="str">
            <v>Irrigation Hardware</v>
          </cell>
          <cell r="D5" t="str">
            <v>Agriculture</v>
          </cell>
          <cell r="E5" t="str">
            <v>Irrigation</v>
          </cell>
          <cell r="F5">
            <v>0</v>
          </cell>
          <cell r="G5">
            <v>5.6572349905099767E-3</v>
          </cell>
          <cell r="H5">
            <v>18.51370787224203</v>
          </cell>
          <cell r="I5">
            <v>72.134757615534753</v>
          </cell>
          <cell r="J5" t="str">
            <v>Wheel and Hand_Drains</v>
          </cell>
          <cell r="K5" t="str">
            <v>Idaho</v>
          </cell>
          <cell r="L5">
            <v>1.3507005274361763E-2</v>
          </cell>
          <cell r="M5">
            <v>1.3411316320728908E-2</v>
          </cell>
          <cell r="N5">
            <v>1.327884504907267E-2</v>
          </cell>
          <cell r="O5">
            <v>1.3128904271020357E-2</v>
          </cell>
          <cell r="P5">
            <v>1.2978623691751168E-2</v>
          </cell>
          <cell r="Q5">
            <v>1.2750416918350179E-2</v>
          </cell>
          <cell r="R5">
            <v>1.252688357538395E-2</v>
          </cell>
          <cell r="S5">
            <v>1.2406575325367181E-2</v>
          </cell>
          <cell r="T5">
            <v>1.2259622936098851E-2</v>
          </cell>
          <cell r="U5">
            <v>1.2094330590741912E-2</v>
          </cell>
          <cell r="V5">
            <v>1.1924276373537603E-2</v>
          </cell>
          <cell r="W5">
            <v>1.1718929377890706E-2</v>
          </cell>
          <cell r="X5">
            <v>1.1552180076631301E-2</v>
          </cell>
          <cell r="Y5">
            <v>1.1428976534054352E-2</v>
          </cell>
          <cell r="Z5">
            <v>1.1367933340108678E-2</v>
          </cell>
          <cell r="AA5">
            <v>1.1307216183364671E-2</v>
          </cell>
          <cell r="AB5">
            <v>1.124682332242825E-2</v>
          </cell>
          <cell r="AC5">
            <v>1.1186753025206267E-2</v>
          </cell>
          <cell r="AD5">
            <v>1.1127003568856847E-2</v>
          </cell>
          <cell r="AE5">
            <v>1.1067573239739968E-2</v>
          </cell>
          <cell r="AF5">
            <v>0.22135146479479934</v>
          </cell>
          <cell r="AG5">
            <v>0</v>
          </cell>
          <cell r="AH5">
            <v>6.7217159502787772E-5</v>
          </cell>
          <cell r="AI5">
            <v>6.2750966083945604E-3</v>
          </cell>
          <cell r="AJ5">
            <v>0.11188297502712305</v>
          </cell>
          <cell r="AK5">
            <v>0.42225116465088769</v>
          </cell>
          <cell r="AL5">
            <v>0.62289409264396212</v>
          </cell>
          <cell r="AM5">
            <v>0.62472207849444361</v>
          </cell>
          <cell r="AN5">
            <v>0.61039831199528782</v>
          </cell>
        </row>
        <row r="6">
          <cell r="A6" t="str">
            <v>RetroEven20</v>
          </cell>
          <cell r="B6" t="str">
            <v>Retro</v>
          </cell>
          <cell r="C6" t="str">
            <v>Irrigation Hardware</v>
          </cell>
          <cell r="D6" t="str">
            <v>Agriculture</v>
          </cell>
          <cell r="E6" t="str">
            <v>Irrigation</v>
          </cell>
          <cell r="F6">
            <v>0</v>
          </cell>
          <cell r="G6">
            <v>2.5014602695253459E-2</v>
          </cell>
          <cell r="H6">
            <v>81.862084148350505</v>
          </cell>
          <cell r="I6">
            <v>29.373541168903749</v>
          </cell>
          <cell r="J6" t="str">
            <v>Wheel and Hand_Cut and press repair</v>
          </cell>
          <cell r="K6" t="str">
            <v>Idaho</v>
          </cell>
          <cell r="L6">
            <v>5.9723941308366009E-2</v>
          </cell>
          <cell r="M6">
            <v>5.9300833348122937E-2</v>
          </cell>
          <cell r="N6">
            <v>5.8715084968468466E-2</v>
          </cell>
          <cell r="O6">
            <v>5.8052091651576453E-2</v>
          </cell>
          <cell r="P6">
            <v>5.7387595835239086E-2</v>
          </cell>
          <cell r="Q6">
            <v>5.637853367349973E-2</v>
          </cell>
          <cell r="R6">
            <v>5.5390136024679772E-2</v>
          </cell>
          <cell r="S6">
            <v>5.4858168892294591E-2</v>
          </cell>
          <cell r="T6">
            <v>5.420838933764785E-2</v>
          </cell>
          <cell r="U6">
            <v>5.3477515977321394E-2</v>
          </cell>
          <cell r="V6">
            <v>5.2725587042576079E-2</v>
          </cell>
          <cell r="W6">
            <v>5.1817603987357783E-2</v>
          </cell>
          <cell r="X6">
            <v>5.1080288403382169E-2</v>
          </cell>
          <cell r="Y6">
            <v>5.0535519152435371E-2</v>
          </cell>
          <cell r="Z6">
            <v>5.0265604389063905E-2</v>
          </cell>
          <cell r="AA6">
            <v>4.9997131264775348E-2</v>
          </cell>
          <cell r="AB6">
            <v>4.9730092079645419E-2</v>
          </cell>
          <cell r="AC6">
            <v>4.9464479174875793E-2</v>
          </cell>
          <cell r="AD6">
            <v>4.9200284932574508E-2</v>
          </cell>
          <cell r="AE6">
            <v>4.8937501775537427E-2</v>
          </cell>
          <cell r="AF6">
            <v>0.97875003551074846</v>
          </cell>
          <cell r="AG6">
            <v>0</v>
          </cell>
          <cell r="AH6">
            <v>2.9721419422850314E-4</v>
          </cell>
          <cell r="AI6">
            <v>2.7746602146921297E-2</v>
          </cell>
          <cell r="AJ6">
            <v>0.49471308392903707</v>
          </cell>
          <cell r="AK6">
            <v>1.867068477634132</v>
          </cell>
          <cell r="AL6">
            <v>2.7542515513050141</v>
          </cell>
          <cell r="AM6">
            <v>2.7623343585172027</v>
          </cell>
          <cell r="AN6">
            <v>2.69899894312841</v>
          </cell>
        </row>
        <row r="7">
          <cell r="A7" t="str">
            <v>RetroEven20</v>
          </cell>
          <cell r="B7" t="str">
            <v>Retro</v>
          </cell>
          <cell r="C7" t="str">
            <v>Irrigation Hardware</v>
          </cell>
          <cell r="D7" t="str">
            <v>Agriculture</v>
          </cell>
          <cell r="E7" t="str">
            <v>Irrigation</v>
          </cell>
          <cell r="F7">
            <v>0</v>
          </cell>
          <cell r="G7">
            <v>2.8629866023590276E-2</v>
          </cell>
          <cell r="H7">
            <v>93.693293078920959</v>
          </cell>
          <cell r="I7">
            <v>18.205296106396005</v>
          </cell>
          <cell r="J7" t="str">
            <v>Wheel and Hand_Hub gasket</v>
          </cell>
          <cell r="K7" t="str">
            <v>Idaho</v>
          </cell>
          <cell r="L7">
            <v>1.7088902619106363E-2</v>
          </cell>
          <cell r="M7">
            <v>1.696783809168962E-2</v>
          </cell>
          <cell r="N7">
            <v>1.6800237012458565E-2</v>
          </cell>
          <cell r="O7">
            <v>1.661053372126102E-2</v>
          </cell>
          <cell r="P7">
            <v>1.6420400517600495E-2</v>
          </cell>
          <cell r="Q7">
            <v>1.613167601883448E-2</v>
          </cell>
          <cell r="R7">
            <v>1.5848864288737358E-2</v>
          </cell>
          <cell r="S7">
            <v>1.5696651719996152E-2</v>
          </cell>
          <cell r="T7">
            <v>1.5510729302788078E-2</v>
          </cell>
          <cell r="U7">
            <v>1.5301603391002875E-2</v>
          </cell>
          <cell r="V7">
            <v>1.5086452815524176E-2</v>
          </cell>
          <cell r="W7">
            <v>1.4826650236014063E-2</v>
          </cell>
          <cell r="X7">
            <v>1.4615681000928705E-2</v>
          </cell>
          <cell r="Y7">
            <v>1.4459805342434457E-2</v>
          </cell>
          <cell r="Z7">
            <v>1.4382574218605925E-2</v>
          </cell>
          <cell r="AA7">
            <v>1.4305755593171845E-2</v>
          </cell>
          <cell r="AB7">
            <v>1.422934726294111E-2</v>
          </cell>
          <cell r="AC7">
            <v>1.4153347036490042E-2</v>
          </cell>
          <cell r="AD7">
            <v>1.407775273409957E-2</v>
          </cell>
          <cell r="AE7">
            <v>1.4002562187692698E-2</v>
          </cell>
          <cell r="AF7">
            <v>0.28005124375385398</v>
          </cell>
          <cell r="AG7">
            <v>0</v>
          </cell>
          <cell r="AH7">
            <v>3.4016940683555258E-4</v>
          </cell>
          <cell r="AI7">
            <v>3.1756710740281059E-2</v>
          </cell>
          <cell r="AJ7">
            <v>0.56621204364333366</v>
          </cell>
          <cell r="AK7">
            <v>2.1369086298411122</v>
          </cell>
          <cell r="AL7">
            <v>3.1523128258235666</v>
          </cell>
          <cell r="AM7">
            <v>3.1615638097547798</v>
          </cell>
          <cell r="AN7">
            <v>3.0890747728821832</v>
          </cell>
        </row>
        <row r="8">
          <cell r="A8" t="str">
            <v>RetroEven20</v>
          </cell>
          <cell r="B8" t="str">
            <v>Retro</v>
          </cell>
          <cell r="C8" t="str">
            <v>Irrigation Hardware</v>
          </cell>
          <cell r="D8" t="str">
            <v>Agriculture</v>
          </cell>
          <cell r="E8" t="str">
            <v>Irrigation</v>
          </cell>
          <cell r="F8">
            <v>0</v>
          </cell>
          <cell r="G8">
            <v>2.4462511663217055E-3</v>
          </cell>
          <cell r="H8">
            <v>8.0055326588667608</v>
          </cell>
          <cell r="I8">
            <v>220.11693389269195</v>
          </cell>
          <cell r="J8" t="str">
            <v>Wheel and Hand_Levelers</v>
          </cell>
          <cell r="K8" t="str">
            <v>Idaho</v>
          </cell>
          <cell r="L8">
            <v>5.8405789155564734E-3</v>
          </cell>
          <cell r="M8">
            <v>5.7992019505159285E-3</v>
          </cell>
          <cell r="N8">
            <v>5.7419199031311539E-3</v>
          </cell>
          <cell r="O8">
            <v>5.6770838473892676E-3</v>
          </cell>
          <cell r="P8">
            <v>5.6121008578317476E-3</v>
          </cell>
          <cell r="Q8">
            <v>5.5134217174864809E-3</v>
          </cell>
          <cell r="R8">
            <v>5.4167634203041619E-3</v>
          </cell>
          <cell r="S8">
            <v>5.3647407984022365E-3</v>
          </cell>
          <cell r="T8">
            <v>5.3011969551211204E-3</v>
          </cell>
          <cell r="U8">
            <v>5.2297227113798301E-3</v>
          </cell>
          <cell r="V8">
            <v>5.1561893814276909E-3</v>
          </cell>
          <cell r="W8">
            <v>5.0673950625697069E-3</v>
          </cell>
          <cell r="X8">
            <v>4.9952908149339947E-3</v>
          </cell>
          <cell r="Y8">
            <v>4.9420162364111984E-3</v>
          </cell>
          <cell r="Z8">
            <v>4.9156204821891982E-3</v>
          </cell>
          <cell r="AA8">
            <v>4.8893657100699695E-3</v>
          </cell>
          <cell r="AB8">
            <v>4.8632511670553963E-3</v>
          </cell>
          <cell r="AC8">
            <v>4.8372761041691843E-3</v>
          </cell>
          <cell r="AD8">
            <v>4.8114397764353993E-3</v>
          </cell>
          <cell r="AE8">
            <v>4.7857414428570831E-3</v>
          </cell>
          <cell r="AF8">
            <v>9.5714828857141665E-2</v>
          </cell>
          <cell r="AG8">
            <v>0</v>
          </cell>
          <cell r="AH8">
            <v>2.9065445417480172E-5</v>
          </cell>
          <cell r="AI8">
            <v>2.7134213839122828E-3</v>
          </cell>
          <cell r="AJ8">
            <v>4.8379439533758811E-2</v>
          </cell>
          <cell r="AK8">
            <v>0.18258608768076254</v>
          </cell>
          <cell r="AL8">
            <v>0.26934631550241339</v>
          </cell>
          <cell r="AM8">
            <v>0.27013675686224042</v>
          </cell>
          <cell r="AN8">
            <v>0.2639430013326472</v>
          </cell>
        </row>
        <row r="9">
          <cell r="A9" t="str">
            <v>RetroEven20</v>
          </cell>
          <cell r="B9" t="str">
            <v>Retro</v>
          </cell>
          <cell r="C9" t="str">
            <v>Irrigation Hardware</v>
          </cell>
          <cell r="D9" t="str">
            <v>Agriculture</v>
          </cell>
          <cell r="E9" t="str">
            <v>Irrigation</v>
          </cell>
          <cell r="F9">
            <v>0</v>
          </cell>
          <cell r="G9">
            <v>5.3913042210758499E-3</v>
          </cell>
          <cell r="H9">
            <v>17.64343032715102</v>
          </cell>
          <cell r="I9">
            <v>20.972799403510773</v>
          </cell>
          <cell r="J9" t="str">
            <v>Pivot and Linear_Base boot gasket</v>
          </cell>
          <cell r="K9" t="str">
            <v>Idaho</v>
          </cell>
          <cell r="L9">
            <v>5.1461942172126227E-2</v>
          </cell>
          <cell r="M9">
            <v>5.1097365472973499E-2</v>
          </cell>
          <cell r="N9">
            <v>5.0592647455695347E-2</v>
          </cell>
          <cell r="O9">
            <v>5.0021370293020499E-2</v>
          </cell>
          <cell r="P9">
            <v>4.944879848136776E-2</v>
          </cell>
          <cell r="Q9">
            <v>4.8579326415761841E-2</v>
          </cell>
          <cell r="R9">
            <v>4.772766020733106E-2</v>
          </cell>
          <cell r="S9">
            <v>4.7269283529493791E-2</v>
          </cell>
          <cell r="T9">
            <v>4.6709392183857217E-2</v>
          </cell>
          <cell r="U9">
            <v>4.6079625263250462E-2</v>
          </cell>
          <cell r="V9">
            <v>4.5431715522036002E-2</v>
          </cell>
          <cell r="W9">
            <v>4.4649339636297698E-2</v>
          </cell>
          <cell r="X9">
            <v>4.4014021686511869E-2</v>
          </cell>
          <cell r="Y9">
            <v>4.3544613889986386E-2</v>
          </cell>
          <cell r="Z9">
            <v>4.3312038181824268E-2</v>
          </cell>
          <cell r="AA9">
            <v>4.3080704681485241E-2</v>
          </cell>
          <cell r="AB9">
            <v>4.2850606754225327E-2</v>
          </cell>
          <cell r="AC9">
            <v>4.2621737800737317E-2</v>
          </cell>
          <cell r="AD9">
            <v>4.2394091256961523E-2</v>
          </cell>
          <cell r="AE9">
            <v>4.2167660593897496E-2</v>
          </cell>
          <cell r="AF9">
            <v>0.84335321187794976</v>
          </cell>
          <cell r="AG9">
            <v>0</v>
          </cell>
          <cell r="AH9">
            <v>6.405746912829593E-5</v>
          </cell>
          <cell r="AI9">
            <v>5.980121895103851E-3</v>
          </cell>
          <cell r="AJ9">
            <v>0.1066236697860551</v>
          </cell>
          <cell r="AK9">
            <v>0.40240232024219103</v>
          </cell>
          <cell r="AL9">
            <v>0.59361358624628657</v>
          </cell>
          <cell r="AM9">
            <v>0.5953556436026276</v>
          </cell>
          <cell r="AN9">
            <v>0.58170519724179115</v>
          </cell>
        </row>
        <row r="10">
          <cell r="A10" t="str">
            <v>RetroEven20</v>
          </cell>
          <cell r="B10" t="str">
            <v>Retro</v>
          </cell>
          <cell r="C10" t="str">
            <v>Irrigation Hardware</v>
          </cell>
          <cell r="D10" t="str">
            <v>Agriculture</v>
          </cell>
          <cell r="E10" t="str">
            <v>Irrigation</v>
          </cell>
          <cell r="F10">
            <v>0</v>
          </cell>
          <cell r="G10">
            <v>1.6473429564398427E-4</v>
          </cell>
          <cell r="H10">
            <v>0.53910481555183665</v>
          </cell>
          <cell r="I10">
            <v>843.44690755474187</v>
          </cell>
          <cell r="J10" t="str">
            <v>Pivot and Linear_Tower gasket</v>
          </cell>
          <cell r="K10" t="str">
            <v>Idaho</v>
          </cell>
          <cell r="L10">
            <v>1.57244823303719E-3</v>
          </cell>
          <cell r="M10">
            <v>1.5613083894519678E-3</v>
          </cell>
          <cell r="N10">
            <v>1.5458864500351357E-3</v>
          </cell>
          <cell r="O10">
            <v>1.5284307589534039E-3</v>
          </cell>
          <cell r="P10">
            <v>1.5109355091529038E-3</v>
          </cell>
          <cell r="Q10">
            <v>1.4843683071482782E-3</v>
          </cell>
          <cell r="R10">
            <v>1.4583451730017824E-3</v>
          </cell>
          <cell r="S10">
            <v>1.4443392189567546E-3</v>
          </cell>
          <cell r="T10">
            <v>1.4272314278400814E-3</v>
          </cell>
          <cell r="U10">
            <v>1.4079885497104306E-3</v>
          </cell>
          <cell r="V10">
            <v>1.3881913076177663E-3</v>
          </cell>
          <cell r="W10">
            <v>1.3642853777757629E-3</v>
          </cell>
          <cell r="X10">
            <v>1.3448728848656402E-3</v>
          </cell>
          <cell r="Y10">
            <v>1.3305298688606952E-3</v>
          </cell>
          <cell r="Z10">
            <v>1.323423388889075E-3</v>
          </cell>
          <cell r="AA10">
            <v>1.3163548652676046E-3</v>
          </cell>
          <cell r="AB10">
            <v>1.3093240952679957E-3</v>
          </cell>
          <cell r="AC10">
            <v>1.302330877244751E-3</v>
          </cell>
          <cell r="AD10">
            <v>1.2953750106293798E-3</v>
          </cell>
          <cell r="AE10">
            <v>1.2884562959246456E-3</v>
          </cell>
          <cell r="AF10">
            <v>2.5769125918492904E-2</v>
          </cell>
          <cell r="AG10">
            <v>0</v>
          </cell>
          <cell r="AH10">
            <v>1.9573115566979309E-6</v>
          </cell>
          <cell r="AI10">
            <v>1.8272594679483986E-4</v>
          </cell>
          <cell r="AJ10">
            <v>3.2579454656850161E-3</v>
          </cell>
          <cell r="AK10">
            <v>1.2295626451844724E-2</v>
          </cell>
          <cell r="AL10">
            <v>1.8138192913080973E-2</v>
          </cell>
          <cell r="AM10">
            <v>1.8191422443413614E-2</v>
          </cell>
          <cell r="AN10">
            <v>1.7774325471276949E-2</v>
          </cell>
        </row>
        <row r="11">
          <cell r="A11" t="str">
            <v>RetroEven20</v>
          </cell>
          <cell r="B11" t="str">
            <v>Retro</v>
          </cell>
          <cell r="C11" t="str">
            <v>Irrigation Hardware</v>
          </cell>
          <cell r="D11" t="str">
            <v>Agriculture</v>
          </cell>
          <cell r="E11" t="str">
            <v>Irrigation</v>
          </cell>
          <cell r="F11">
            <v>0</v>
          </cell>
          <cell r="G11">
            <v>1.393076534247069E-2</v>
          </cell>
          <cell r="H11">
            <v>45.589430246383756</v>
          </cell>
          <cell r="I11">
            <v>15.875424632779584</v>
          </cell>
          <cell r="J11" t="str">
            <v>Wheel and Hand_Nozzle replacement</v>
          </cell>
          <cell r="K11" t="str">
            <v>Idaho</v>
          </cell>
          <cell r="L11">
            <v>3.3260580702815311E-2</v>
          </cell>
          <cell r="M11">
            <v>3.3024949628419058E-2</v>
          </cell>
          <cell r="N11">
            <v>3.2698743239050858E-2</v>
          </cell>
          <cell r="O11">
            <v>3.2329518733118512E-2</v>
          </cell>
          <cell r="P11">
            <v>3.1959457477250319E-2</v>
          </cell>
          <cell r="Q11">
            <v>3.1397505390206998E-2</v>
          </cell>
          <cell r="R11">
            <v>3.0847061480363355E-2</v>
          </cell>
          <cell r="S11">
            <v>3.0550806153766815E-2</v>
          </cell>
          <cell r="T11">
            <v>3.0188940462338644E-2</v>
          </cell>
          <cell r="U11">
            <v>2.9781913199031246E-2</v>
          </cell>
          <cell r="V11">
            <v>2.9363159974294298E-2</v>
          </cell>
          <cell r="W11">
            <v>2.8857499379509564E-2</v>
          </cell>
          <cell r="X11">
            <v>2.8446884407573193E-2</v>
          </cell>
          <cell r="Y11">
            <v>2.8143499513030235E-2</v>
          </cell>
          <cell r="Z11">
            <v>2.7993182545105338E-2</v>
          </cell>
          <cell r="AA11">
            <v>2.7843668433656606E-2</v>
          </cell>
          <cell r="AB11">
            <v>2.7694952890555239E-2</v>
          </cell>
          <cell r="AC11">
            <v>2.754703165057569E-2</v>
          </cell>
          <cell r="AD11">
            <v>2.7399900471273393E-2</v>
          </cell>
          <cell r="AE11">
            <v>2.7253555132863049E-2</v>
          </cell>
          <cell r="AF11">
            <v>0.545071102657261</v>
          </cell>
          <cell r="AG11">
            <v>0</v>
          </cell>
          <cell r="AH11">
            <v>1.6552016622812212E-4</v>
          </cell>
          <cell r="AI11">
            <v>1.5452230373940687E-2</v>
          </cell>
          <cell r="AJ11">
            <v>0.27550834878433367</v>
          </cell>
          <cell r="AK11">
            <v>1.0397803697749892</v>
          </cell>
          <cell r="AL11">
            <v>1.533857344160279</v>
          </cell>
          <cell r="AM11">
            <v>1.5383587025049708</v>
          </cell>
          <cell r="AN11">
            <v>1.503086872670288</v>
          </cell>
        </row>
        <row r="12">
          <cell r="A12" t="str">
            <v>RetroEven20</v>
          </cell>
          <cell r="B12" t="str">
            <v>Retro</v>
          </cell>
          <cell r="C12" t="str">
            <v>Irrigation Hardware</v>
          </cell>
          <cell r="D12" t="str">
            <v>Agriculture</v>
          </cell>
          <cell r="E12" t="str">
            <v>Irrigation</v>
          </cell>
          <cell r="F12">
            <v>0</v>
          </cell>
          <cell r="G12">
            <v>8.6902683126694868E-3</v>
          </cell>
          <cell r="H12">
            <v>28.439527285335735</v>
          </cell>
          <cell r="I12">
            <v>48.37200015777475</v>
          </cell>
          <cell r="J12" t="str">
            <v>Pivot and Linear_Sprinkler package replacement, high pressure</v>
          </cell>
          <cell r="K12" t="str">
            <v>Idaho</v>
          </cell>
          <cell r="L12">
            <v>3.4242287827837066E-2</v>
          </cell>
          <cell r="M12">
            <v>3.3999701952901473E-2</v>
          </cell>
          <cell r="N12">
            <v>3.3663867375152187E-2</v>
          </cell>
          <cell r="O12">
            <v>3.3283744973857013E-2</v>
          </cell>
          <cell r="P12">
            <v>3.2902761125421169E-2</v>
          </cell>
          <cell r="Q12">
            <v>3.2324222666278678E-2</v>
          </cell>
          <cell r="R12">
            <v>3.1757532055481541E-2</v>
          </cell>
          <cell r="S12">
            <v>3.1452532565109152E-2</v>
          </cell>
          <cell r="T12">
            <v>3.1079986178393363E-2</v>
          </cell>
          <cell r="U12">
            <v>3.0660945247374106E-2</v>
          </cell>
          <cell r="V12">
            <v>3.0229832255740025E-2</v>
          </cell>
          <cell r="W12">
            <v>2.9709246767936178E-2</v>
          </cell>
          <cell r="X12">
            <v>2.9286512234793331E-2</v>
          </cell>
          <cell r="Y12">
            <v>2.8974172742756793E-2</v>
          </cell>
          <cell r="Z12">
            <v>2.881941907423E-2</v>
          </cell>
          <cell r="AA12">
            <v>2.8665491958997241E-2</v>
          </cell>
          <cell r="AB12">
            <v>2.8512386982362869E-2</v>
          </cell>
          <cell r="AC12">
            <v>2.8360099753210511E-2</v>
          </cell>
          <cell r="AD12">
            <v>2.8208625903877141E-2</v>
          </cell>
          <cell r="AE12">
            <v>2.8057961090027849E-2</v>
          </cell>
          <cell r="AF12">
            <v>0.56115922180055688</v>
          </cell>
          <cell r="AG12">
            <v>0</v>
          </cell>
          <cell r="AH12">
            <v>1.0325453198861548E-4</v>
          </cell>
          <cell r="AI12">
            <v>9.6393862560683816E-3</v>
          </cell>
          <cell r="AJ12">
            <v>0.17186718851814048</v>
          </cell>
          <cell r="AK12">
            <v>0.64863416886676062</v>
          </cell>
          <cell r="AL12">
            <v>0.95684849657709981</v>
          </cell>
          <cell r="AM12">
            <v>0.95965652692038517</v>
          </cell>
          <cell r="AN12">
            <v>0.93765330903488087</v>
          </cell>
        </row>
        <row r="13">
          <cell r="A13" t="str">
            <v>RetroEven20</v>
          </cell>
          <cell r="B13" t="str">
            <v>Retro</v>
          </cell>
          <cell r="C13" t="str">
            <v>Irrigation Hardware</v>
          </cell>
          <cell r="D13" t="str">
            <v>Agriculture</v>
          </cell>
          <cell r="E13" t="str">
            <v>Irrigation</v>
          </cell>
          <cell r="F13">
            <v>0</v>
          </cell>
          <cell r="G13">
            <v>8.6902683126694868E-3</v>
          </cell>
          <cell r="H13">
            <v>28.439527285335735</v>
          </cell>
          <cell r="I13">
            <v>131.74832172841332</v>
          </cell>
          <cell r="J13" t="str">
            <v>Pivot and Linear_Sprinkler package replacement, MESA</v>
          </cell>
          <cell r="K13" t="str">
            <v>Idaho</v>
          </cell>
          <cell r="L13">
            <v>0.11770132168609596</v>
          </cell>
          <cell r="M13">
            <v>0.11686747909222914</v>
          </cell>
          <cell r="N13">
            <v>0.11571311189960108</v>
          </cell>
          <cell r="O13">
            <v>0.11440651377567074</v>
          </cell>
          <cell r="P13">
            <v>0.11309695459179225</v>
          </cell>
          <cell r="Q13">
            <v>0.111108339180647</v>
          </cell>
          <cell r="R13">
            <v>0.10916044848440384</v>
          </cell>
          <cell r="S13">
            <v>0.10811207101293033</v>
          </cell>
          <cell r="T13">
            <v>0.1068315139915569</v>
          </cell>
          <cell r="U13">
            <v>0.1053911408579182</v>
          </cell>
          <cell r="V13">
            <v>0.10390927232254168</v>
          </cell>
          <cell r="W13">
            <v>0.10211985917721728</v>
          </cell>
          <cell r="X13">
            <v>0.10066678999202054</v>
          </cell>
          <cell r="Y13">
            <v>9.9593182667290947E-2</v>
          </cell>
          <cell r="Z13">
            <v>9.906124650073117E-2</v>
          </cell>
          <cell r="AA13">
            <v>9.8532151453188957E-2</v>
          </cell>
          <cell r="AB13">
            <v>9.800588234999151E-2</v>
          </cell>
          <cell r="AC13">
            <v>9.7482424097515355E-2</v>
          </cell>
          <cell r="AD13">
            <v>9.696176168275332E-2</v>
          </cell>
          <cell r="AE13">
            <v>9.6443880172884244E-2</v>
          </cell>
          <cell r="AF13">
            <v>1.9288776034576847</v>
          </cell>
          <cell r="AG13">
            <v>0</v>
          </cell>
          <cell r="AH13">
            <v>1.0325453198861548E-4</v>
          </cell>
          <cell r="AI13">
            <v>9.6393862560683816E-3</v>
          </cell>
          <cell r="AJ13">
            <v>0.17186718851814048</v>
          </cell>
          <cell r="AK13">
            <v>0.64863416886676062</v>
          </cell>
          <cell r="AL13">
            <v>0.95684849657709981</v>
          </cell>
          <cell r="AM13">
            <v>0.95965652692038517</v>
          </cell>
          <cell r="AN13">
            <v>0.93765330903488087</v>
          </cell>
        </row>
        <row r="14">
          <cell r="A14" t="str">
            <v>RetroEven20</v>
          </cell>
          <cell r="B14" t="str">
            <v>Retro</v>
          </cell>
          <cell r="C14" t="str">
            <v>Irrigation Hardware</v>
          </cell>
          <cell r="D14" t="str">
            <v>Agriculture</v>
          </cell>
          <cell r="E14" t="str">
            <v>Irrigation</v>
          </cell>
          <cell r="F14">
            <v>0</v>
          </cell>
          <cell r="G14">
            <v>8.6902683126694868E-3</v>
          </cell>
          <cell r="H14">
            <v>28.439527285335735</v>
          </cell>
          <cell r="I14">
            <v>182.42033057339253</v>
          </cell>
          <cell r="J14" t="str">
            <v>Pivot and Linear_Sprinkler package replacement, LESA/LEPA/MDI</v>
          </cell>
          <cell r="K14" t="str">
            <v>Idaho</v>
          </cell>
          <cell r="L14">
            <v>6.3996321420108082E-2</v>
          </cell>
          <cell r="M14">
            <v>6.3542946233776737E-2</v>
          </cell>
          <cell r="N14">
            <v>6.2915296069462764E-2</v>
          </cell>
          <cell r="O14">
            <v>6.2204875215150154E-2</v>
          </cell>
          <cell r="P14">
            <v>6.1492844379390725E-2</v>
          </cell>
          <cell r="Q14">
            <v>6.0411598483341732E-2</v>
          </cell>
          <cell r="R14">
            <v>5.9352495345821557E-2</v>
          </cell>
          <cell r="S14">
            <v>5.8782473695487433E-2</v>
          </cell>
          <cell r="T14">
            <v>5.8086211856090655E-2</v>
          </cell>
          <cell r="U14">
            <v>5.7303055127646545E-2</v>
          </cell>
          <cell r="V14">
            <v>5.64973366044067E-2</v>
          </cell>
          <cell r="W14">
            <v>5.5524400556101694E-2</v>
          </cell>
          <cell r="X14">
            <v>5.4734340756522656E-2</v>
          </cell>
          <cell r="Y14">
            <v>5.4150601182080024E-2</v>
          </cell>
          <cell r="Z14">
            <v>5.3861377939702783E-2</v>
          </cell>
          <cell r="AA14">
            <v>5.3573699464735419E-2</v>
          </cell>
          <cell r="AB14">
            <v>5.3287557506435948E-2</v>
          </cell>
          <cell r="AC14">
            <v>5.3002943858130314E-2</v>
          </cell>
          <cell r="AD14">
            <v>5.2719850356977092E-2</v>
          </cell>
          <cell r="AE14">
            <v>5.2438268883733298E-2</v>
          </cell>
          <cell r="AF14">
            <v>1.0487653776746662</v>
          </cell>
          <cell r="AG14">
            <v>0</v>
          </cell>
          <cell r="AH14">
            <v>1.0325453198861548E-4</v>
          </cell>
          <cell r="AI14">
            <v>9.6393862560683816E-3</v>
          </cell>
          <cell r="AJ14">
            <v>0.17186718851814048</v>
          </cell>
          <cell r="AK14">
            <v>0.64863416886676062</v>
          </cell>
          <cell r="AL14">
            <v>0.95684849657709981</v>
          </cell>
          <cell r="AM14">
            <v>0.95965652692038517</v>
          </cell>
          <cell r="AN14">
            <v>0.93765330903488087</v>
          </cell>
        </row>
        <row r="15">
          <cell r="A15" t="str">
            <v>Retro5Med</v>
          </cell>
          <cell r="B15" t="str">
            <v>Retro</v>
          </cell>
          <cell r="C15" t="str">
            <v>Irrigation Hardware</v>
          </cell>
          <cell r="D15" t="str">
            <v>Agriculture</v>
          </cell>
          <cell r="E15" t="str">
            <v>Irrigation</v>
          </cell>
          <cell r="F15">
            <v>0</v>
          </cell>
          <cell r="G15">
            <v>1.2580616136884671E-2</v>
          </cell>
          <cell r="H15">
            <v>41.170969988308833</v>
          </cell>
          <cell r="I15">
            <v>105.15008098827502</v>
          </cell>
          <cell r="J15" t="str">
            <v>Pivot and Linear_Upgrade from high pressure to MESA</v>
          </cell>
          <cell r="K15" t="str">
            <v>Idaho</v>
          </cell>
          <cell r="L15">
            <v>4.263143489334098E-2</v>
          </cell>
          <cell r="M15">
            <v>5.1973773291326054E-2</v>
          </cell>
          <cell r="N15">
            <v>6.2972468257121356E-2</v>
          </cell>
          <cell r="O15">
            <v>7.2275677352262369E-2</v>
          </cell>
          <cell r="P15">
            <v>8.1495914429256633E-2</v>
          </cell>
          <cell r="Q15">
            <v>9.3603211123234081E-2</v>
          </cell>
          <cell r="R15">
            <v>0.10088397334017817</v>
          </cell>
          <cell r="S15">
            <v>0.10207031516054998</v>
          </cell>
          <cell r="T15">
            <v>9.5049690617459062E-2</v>
          </cell>
          <cell r="U15">
            <v>8.0601682679967729E-2</v>
          </cell>
          <cell r="V15">
            <v>6.1495980019666788E-2</v>
          </cell>
          <cell r="W15">
            <v>3.9998464114783389E-2</v>
          </cell>
          <cell r="X15">
            <v>2.2894446038398984E-2</v>
          </cell>
          <cell r="Y15">
            <v>1.0905689252832061E-2</v>
          </cell>
          <cell r="Z15">
            <v>4.5893019545270976E-3</v>
          </cell>
          <cell r="AA15">
            <v>1.6599236651201621E-3</v>
          </cell>
          <cell r="AB15">
            <v>5.157161950685898E-4</v>
          </cell>
          <cell r="AC15">
            <v>1.1180236105055993E-4</v>
          </cell>
          <cell r="AD15">
            <v>1.8279027604627442E-5</v>
          </cell>
          <cell r="AE15">
            <v>2.1823867324661271E-6</v>
          </cell>
          <cell r="AF15">
            <v>0.81237178268171506</v>
          </cell>
          <cell r="AG15">
            <v>0</v>
          </cell>
          <cell r="AH15">
            <v>1.4947819613908106E-4</v>
          </cell>
          <cell r="AI15">
            <v>1.3954623024235085E-2</v>
          </cell>
          <cell r="AJ15">
            <v>0.24880648646027048</v>
          </cell>
          <cell r="AK15">
            <v>0.93900639176850464</v>
          </cell>
          <cell r="AL15">
            <v>1.3851981553943451</v>
          </cell>
          <cell r="AM15">
            <v>1.3892632487353751</v>
          </cell>
          <cell r="AN15">
            <v>1.357409912562751</v>
          </cell>
        </row>
        <row r="16">
          <cell r="A16" t="str">
            <v>Retro1Slow</v>
          </cell>
          <cell r="B16" t="str">
            <v>Retro</v>
          </cell>
          <cell r="C16" t="str">
            <v>Irrigation Hardware</v>
          </cell>
          <cell r="D16" t="str">
            <v>Agriculture</v>
          </cell>
          <cell r="E16" t="str">
            <v>Irrigation</v>
          </cell>
          <cell r="F16">
            <v>0</v>
          </cell>
          <cell r="G16">
            <v>2.1387047432703903E-2</v>
          </cell>
          <cell r="H16">
            <v>69.990648980124888</v>
          </cell>
          <cell r="I16">
            <v>76.232919454924826</v>
          </cell>
          <cell r="J16" t="str">
            <v>Pivot and Linear_Upgrade from MESA to LESA/LEPA/MDI</v>
          </cell>
          <cell r="K16" t="str">
            <v>Idaho</v>
          </cell>
          <cell r="L16">
            <v>5.989961111053474E-3</v>
          </cell>
          <cell r="M16">
            <v>1.2004878620163369E-2</v>
          </cell>
          <cell r="N16">
            <v>2.1356809447127891E-2</v>
          </cell>
          <cell r="O16">
            <v>3.4822786677394336E-2</v>
          </cell>
          <cell r="P16">
            <v>5.307063149350523E-2</v>
          </cell>
          <cell r="Q16">
            <v>7.6054333860519505E-2</v>
          </cell>
          <cell r="R16">
            <v>0.10369042855732294</v>
          </cell>
          <cell r="S16">
            <v>0.13576002878304663</v>
          </cell>
          <cell r="T16">
            <v>0.1690343257905659</v>
          </cell>
          <cell r="U16">
            <v>0.19987649232382296</v>
          </cell>
          <cell r="V16">
            <v>0.22401468732556545</v>
          </cell>
          <cell r="W16">
            <v>0.23654187061682994</v>
          </cell>
          <cell r="X16">
            <v>0.23567581359826298</v>
          </cell>
          <cell r="Y16">
            <v>0.22062953139816038</v>
          </cell>
          <cell r="Z16">
            <v>0.19328514372888717</v>
          </cell>
          <cell r="AA16">
            <v>0.15918525562470801</v>
          </cell>
          <cell r="AB16">
            <v>0.12120273747212564</v>
          </cell>
          <cell r="AC16">
            <v>8.3540316655398628E-2</v>
          </cell>
          <cell r="AD16">
            <v>5.3137390623725349E-2</v>
          </cell>
          <cell r="AE16">
            <v>3.4501891270741838E-2</v>
          </cell>
          <cell r="AF16">
            <v>1.8988134917255548</v>
          </cell>
          <cell r="AG16">
            <v>0</v>
          </cell>
          <cell r="AH16">
            <v>2.5411293343643733E-4</v>
          </cell>
          <cell r="AI16">
            <v>2.3722859141199603E-2</v>
          </cell>
          <cell r="AJ16">
            <v>0.42297102698245903</v>
          </cell>
          <cell r="AK16">
            <v>1.5963108660064549</v>
          </cell>
          <cell r="AL16">
            <v>2.3548368641703825</v>
          </cell>
          <cell r="AM16">
            <v>2.3617475228501332</v>
          </cell>
          <cell r="AN16">
            <v>2.3075968513566725</v>
          </cell>
        </row>
        <row r="17">
          <cell r="A17" t="str">
            <v>RetroEven20</v>
          </cell>
          <cell r="B17" t="str">
            <v>Retro</v>
          </cell>
          <cell r="C17" t="str">
            <v>Irrigation Hardware</v>
          </cell>
          <cell r="D17" t="str">
            <v>Agriculture</v>
          </cell>
          <cell r="E17" t="str">
            <v>Irrigation</v>
          </cell>
          <cell r="F17">
            <v>0</v>
          </cell>
          <cell r="G17">
            <v>2.4365746923332306E-3</v>
          </cell>
          <cell r="H17">
            <v>7.9738657026670454</v>
          </cell>
          <cell r="I17">
            <v>542.56053406664694</v>
          </cell>
          <cell r="J17" t="str">
            <v>Wheel and Hand_Rebuilt or new impact sprinkler</v>
          </cell>
          <cell r="K17" t="str">
            <v>Washington</v>
          </cell>
          <cell r="L17">
            <v>2.0360515108380772E-3</v>
          </cell>
          <cell r="M17">
            <v>2.0571944367794998E-3</v>
          </cell>
          <cell r="N17">
            <v>2.0742949871954902E-3</v>
          </cell>
          <cell r="O17">
            <v>2.0940661093450932E-3</v>
          </cell>
          <cell r="P17">
            <v>2.1287498818816034E-3</v>
          </cell>
          <cell r="Q17">
            <v>2.1421262390405424E-3</v>
          </cell>
          <cell r="R17">
            <v>2.1483660410102782E-3</v>
          </cell>
          <cell r="S17">
            <v>2.15802328566695E-3</v>
          </cell>
          <cell r="T17">
            <v>2.1573558015071338E-3</v>
          </cell>
          <cell r="U17">
            <v>2.1832143029829379E-3</v>
          </cell>
          <cell r="V17">
            <v>2.1917207566809166E-3</v>
          </cell>
          <cell r="W17">
            <v>2.1990059239475669E-3</v>
          </cell>
          <cell r="X17">
            <v>2.210038782962147E-3</v>
          </cell>
          <cell r="Y17">
            <v>2.2182892936378562E-3</v>
          </cell>
          <cell r="Z17">
            <v>2.2393147271248868E-3</v>
          </cell>
          <cell r="AA17">
            <v>2.2605394442917273E-3</v>
          </cell>
          <cell r="AB17">
            <v>2.2819653339928945E-3</v>
          </cell>
          <cell r="AC17">
            <v>2.3035943029858859E-3</v>
          </cell>
          <cell r="AD17">
            <v>2.3254282761008631E-3</v>
          </cell>
          <cell r="AE17">
            <v>2.3474691964119549E-3</v>
          </cell>
          <cell r="AF17">
            <v>4.6949383928239094E-2</v>
          </cell>
          <cell r="AG17">
            <v>0</v>
          </cell>
          <cell r="AH17">
            <v>2.8950473156897224E-5</v>
          </cell>
          <cell r="AI17">
            <v>2.7026880823598181E-3</v>
          </cell>
          <cell r="AJ17">
            <v>4.81880681837231E-2</v>
          </cell>
          <cell r="AK17">
            <v>0.18186384396661567</v>
          </cell>
          <cell r="AL17">
            <v>0.26828088009180112</v>
          </cell>
          <cell r="AM17">
            <v>0.26906819475500637</v>
          </cell>
          <cell r="AN17">
            <v>0.26289893945462028</v>
          </cell>
        </row>
        <row r="18">
          <cell r="A18" t="str">
            <v>RetroEven20</v>
          </cell>
          <cell r="B18" t="str">
            <v>Retro</v>
          </cell>
          <cell r="C18" t="str">
            <v>Irrigation Hardware</v>
          </cell>
          <cell r="D18" t="str">
            <v>Agriculture</v>
          </cell>
          <cell r="E18" t="str">
            <v>Irrigation</v>
          </cell>
          <cell r="F18">
            <v>0</v>
          </cell>
          <cell r="G18">
            <v>1.1937849963289868E-2</v>
          </cell>
          <cell r="H18">
            <v>39.067471514574713</v>
          </cell>
          <cell r="I18">
            <v>21.745308477934003</v>
          </cell>
          <cell r="J18" t="str">
            <v>Wheel and Hand_Gaskets</v>
          </cell>
          <cell r="K18" t="str">
            <v>Washington</v>
          </cell>
          <cell r="L18">
            <v>9.9755109212923219E-3</v>
          </cell>
          <cell r="M18">
            <v>1.0079099404940223E-2</v>
          </cell>
          <cell r="N18">
            <v>1.016288251481086E-2</v>
          </cell>
          <cell r="O18">
            <v>1.0259749928960116E-2</v>
          </cell>
          <cell r="P18">
            <v>1.0429680969450914E-2</v>
          </cell>
          <cell r="Q18">
            <v>1.0495217620275223E-2</v>
          </cell>
          <cell r="R18">
            <v>1.0525789151675321E-2</v>
          </cell>
          <cell r="S18">
            <v>1.0573104236303298E-2</v>
          </cell>
          <cell r="T18">
            <v>1.0569833938135206E-2</v>
          </cell>
          <cell r="U18">
            <v>1.0696526098184708E-2</v>
          </cell>
          <cell r="V18">
            <v>1.0738202952288821E-2</v>
          </cell>
          <cell r="W18">
            <v>1.0773896187575387E-2</v>
          </cell>
          <cell r="X18">
            <v>1.082795101133951E-2</v>
          </cell>
          <cell r="Y18">
            <v>1.0868373888125123E-2</v>
          </cell>
          <cell r="Z18">
            <v>1.0971386724616892E-2</v>
          </cell>
          <cell r="AA18">
            <v>1.1075375939414314E-2</v>
          </cell>
          <cell r="AB18">
            <v>1.1180350786845566E-2</v>
          </cell>
          <cell r="AC18">
            <v>1.128632060895339E-2</v>
          </cell>
          <cell r="AD18">
            <v>1.1393294836326454E-2</v>
          </cell>
          <cell r="AE18">
            <v>1.1501282988938627E-2</v>
          </cell>
          <cell r="AF18">
            <v>0.23002565977877251</v>
          </cell>
          <cell r="AG18">
            <v>0</v>
          </cell>
          <cell r="AH18">
            <v>1.4184108781920487E-4</v>
          </cell>
          <cell r="AI18">
            <v>1.3241656381929865E-2</v>
          </cell>
          <cell r="AJ18">
            <v>0.23609451818085064</v>
          </cell>
          <cell r="AK18">
            <v>0.89103087619351273</v>
          </cell>
          <cell r="AL18">
            <v>1.3144259047886699</v>
          </cell>
          <cell r="AM18">
            <v>1.3182833052421903</v>
          </cell>
          <cell r="AN18">
            <v>1.2880574129709723</v>
          </cell>
        </row>
        <row r="19">
          <cell r="A19" t="str">
            <v>RetroEven20</v>
          </cell>
          <cell r="B19" t="str">
            <v>Retro</v>
          </cell>
          <cell r="C19" t="str">
            <v>Irrigation Hardware</v>
          </cell>
          <cell r="D19" t="str">
            <v>Agriculture</v>
          </cell>
          <cell r="E19" t="str">
            <v>Irrigation</v>
          </cell>
          <cell r="F19">
            <v>0</v>
          </cell>
          <cell r="G19">
            <v>7.7616978176741243E-3</v>
          </cell>
          <cell r="H19">
            <v>25.400713640160003</v>
          </cell>
          <cell r="I19">
            <v>51.779189832033595</v>
          </cell>
          <cell r="J19" t="str">
            <v>Wheel and Hand_Drains</v>
          </cell>
          <cell r="K19" t="str">
            <v>Washington</v>
          </cell>
          <cell r="L19">
            <v>6.4858330089651644E-3</v>
          </cell>
          <cell r="M19">
            <v>6.5531837052746796E-3</v>
          </cell>
          <cell r="N19">
            <v>6.6076574323729936E-3</v>
          </cell>
          <cell r="O19">
            <v>6.670638253820577E-3</v>
          </cell>
          <cell r="P19">
            <v>6.7811232565797384E-3</v>
          </cell>
          <cell r="Q19">
            <v>6.8237335826639954E-3</v>
          </cell>
          <cell r="R19">
            <v>6.8436104440151406E-3</v>
          </cell>
          <cell r="S19">
            <v>6.874373553807051E-3</v>
          </cell>
          <cell r="T19">
            <v>6.8722472859922869E-3</v>
          </cell>
          <cell r="U19">
            <v>6.9546194271396912E-3</v>
          </cell>
          <cell r="V19">
            <v>6.9817166974640932E-3</v>
          </cell>
          <cell r="W19">
            <v>7.004923565307246E-3</v>
          </cell>
          <cell r="X19">
            <v>7.0400686885023715E-3</v>
          </cell>
          <cell r="Y19">
            <v>7.0663506534705874E-3</v>
          </cell>
          <cell r="Z19">
            <v>7.133327078090541E-3</v>
          </cell>
          <cell r="AA19">
            <v>7.2009383199839148E-3</v>
          </cell>
          <cell r="AB19">
            <v>7.2691903960883522E-3</v>
          </cell>
          <cell r="AC19">
            <v>7.338089380371361E-3</v>
          </cell>
          <cell r="AD19">
            <v>7.4076414043708367E-3</v>
          </cell>
          <cell r="AE19">
            <v>7.4778526577407509E-3</v>
          </cell>
          <cell r="AF19">
            <v>0.14955705315481502</v>
          </cell>
          <cell r="AG19">
            <v>0</v>
          </cell>
          <cell r="AH19">
            <v>9.2221603150342263E-5</v>
          </cell>
          <cell r="AI19">
            <v>8.6094008349969151E-3</v>
          </cell>
          <cell r="AJ19">
            <v>0.15350287632733223</v>
          </cell>
          <cell r="AK19">
            <v>0.57932646401978594</v>
          </cell>
          <cell r="AL19">
            <v>0.85460754726062993</v>
          </cell>
          <cell r="AM19">
            <v>0.85711553460961265</v>
          </cell>
          <cell r="AN19">
            <v>0.83746339935911129</v>
          </cell>
        </row>
        <row r="20">
          <cell r="A20" t="str">
            <v>RetroEven20</v>
          </cell>
          <cell r="B20" t="str">
            <v>Retro</v>
          </cell>
          <cell r="C20" t="str">
            <v>Irrigation Hardware</v>
          </cell>
          <cell r="D20" t="str">
            <v>Agriculture</v>
          </cell>
          <cell r="E20" t="str">
            <v>Irrigation</v>
          </cell>
          <cell r="F20">
            <v>0</v>
          </cell>
          <cell r="G20">
            <v>3.4319908484521287E-2</v>
          </cell>
          <cell r="H20">
            <v>112.31436575471476</v>
          </cell>
          <cell r="I20">
            <v>20.612176216392399</v>
          </cell>
          <cell r="J20" t="str">
            <v>Wheel and Hand_Cut and press repair</v>
          </cell>
          <cell r="K20" t="str">
            <v>Washington</v>
          </cell>
          <cell r="L20">
            <v>2.8678415540309483E-2</v>
          </cell>
          <cell r="M20">
            <v>2.8976220194395327E-2</v>
          </cell>
          <cell r="N20">
            <v>2.9217086738383663E-2</v>
          </cell>
          <cell r="O20">
            <v>2.949556911158803E-2</v>
          </cell>
          <cell r="P20">
            <v>2.9984100779874848E-2</v>
          </cell>
          <cell r="Q20">
            <v>3.0172510909470117E-2</v>
          </cell>
          <cell r="R20">
            <v>3.0260400450979635E-2</v>
          </cell>
          <cell r="S20">
            <v>3.0396425730185108E-2</v>
          </cell>
          <cell r="T20">
            <v>3.0387024009256199E-2</v>
          </cell>
          <cell r="U20">
            <v>3.0751249003872154E-2</v>
          </cell>
          <cell r="V20">
            <v>3.0871065036338165E-2</v>
          </cell>
          <cell r="W20">
            <v>3.0973678871519403E-2</v>
          </cell>
          <cell r="X20">
            <v>3.1129080104608811E-2</v>
          </cell>
          <cell r="Y20">
            <v>3.1245291100410355E-2</v>
          </cell>
          <cell r="Z20">
            <v>3.154144083692071E-2</v>
          </cell>
          <cell r="AA20">
            <v>3.184039754572502E-2</v>
          </cell>
          <cell r="AB20">
            <v>3.2142187831923623E-2</v>
          </cell>
          <cell r="AC20">
            <v>3.2446838552785857E-2</v>
          </cell>
          <cell r="AD20">
            <v>3.2754376820140166E-2</v>
          </cell>
          <cell r="AE20">
            <v>3.3064830002786885E-2</v>
          </cell>
          <cell r="AF20">
            <v>0.66129660005573765</v>
          </cell>
          <cell r="AG20">
            <v>0</v>
          </cell>
          <cell r="AH20">
            <v>4.0777637248496019E-4</v>
          </cell>
          <cell r="AI20">
            <v>3.8068197925824061E-2</v>
          </cell>
          <cell r="AJ20">
            <v>0.67874385107709656</v>
          </cell>
          <cell r="AK20">
            <v>2.5616085159288451</v>
          </cell>
          <cell r="AL20">
            <v>3.7788192095521551</v>
          </cell>
          <cell r="AM20">
            <v>3.7899087802001419</v>
          </cell>
          <cell r="AN20">
            <v>3.7030129103574851</v>
          </cell>
        </row>
        <row r="21">
          <cell r="A21" t="str">
            <v>RetroEven20</v>
          </cell>
          <cell r="B21" t="str">
            <v>Retro</v>
          </cell>
          <cell r="C21" t="str">
            <v>Irrigation Hardware</v>
          </cell>
          <cell r="D21" t="str">
            <v>Agriculture</v>
          </cell>
          <cell r="E21" t="str">
            <v>Irrigation</v>
          </cell>
          <cell r="F21">
            <v>0</v>
          </cell>
          <cell r="G21">
            <v>3.9280031500966747E-2</v>
          </cell>
          <cell r="H21">
            <v>128.54672461746318</v>
          </cell>
          <cell r="I21">
            <v>12.472075906797334</v>
          </cell>
          <cell r="J21" t="str">
            <v>Wheel and Hand_Hub gasket</v>
          </cell>
          <cell r="K21" t="str">
            <v>Washington</v>
          </cell>
          <cell r="L21">
            <v>8.2057988756673965E-3</v>
          </cell>
          <cell r="M21">
            <v>8.2910101765578271E-3</v>
          </cell>
          <cell r="N21">
            <v>8.3599296889718677E-3</v>
          </cell>
          <cell r="O21">
            <v>8.4396122760981192E-3</v>
          </cell>
          <cell r="P21">
            <v>8.5793965891024851E-3</v>
          </cell>
          <cell r="Q21">
            <v>8.6333066674826563E-3</v>
          </cell>
          <cell r="R21">
            <v>8.6584546363405596E-3</v>
          </cell>
          <cell r="S21">
            <v>8.6973757574045091E-3</v>
          </cell>
          <cell r="T21">
            <v>8.694685628623881E-3</v>
          </cell>
          <cell r="U21">
            <v>8.7989018830786879E-3</v>
          </cell>
          <cell r="V21">
            <v>8.8331850275960178E-3</v>
          </cell>
          <cell r="W21">
            <v>8.8625460811094028E-3</v>
          </cell>
          <cell r="X21">
            <v>8.9070112734757692E-3</v>
          </cell>
          <cell r="Y21">
            <v>8.940262903341727E-3</v>
          </cell>
          <cell r="Z21">
            <v>9.0250006801366189E-3</v>
          </cell>
          <cell r="AA21">
            <v>9.1105416202046461E-3</v>
          </cell>
          <cell r="AB21">
            <v>9.1968933361038386E-3</v>
          </cell>
          <cell r="AC21">
            <v>9.2840635125457285E-3</v>
          </cell>
          <cell r="AD21">
            <v>9.372059907079228E-3</v>
          </cell>
          <cell r="AE21">
            <v>9.4608903507810097E-3</v>
          </cell>
          <cell r="AF21">
            <v>0.18921780701562019</v>
          </cell>
          <cell r="AG21">
            <v>0</v>
          </cell>
          <cell r="AH21">
            <v>4.6671070710410748E-4</v>
          </cell>
          <cell r="AI21">
            <v>4.3570046650497754E-2</v>
          </cell>
          <cell r="AJ21">
            <v>0.7768400624791969</v>
          </cell>
          <cell r="AK21">
            <v>2.9318278410972636</v>
          </cell>
          <cell r="AL21">
            <v>4.3249572665559901</v>
          </cell>
          <cell r="AM21">
            <v>4.3376495697590007</v>
          </cell>
          <cell r="AN21">
            <v>4.2381949774991501</v>
          </cell>
        </row>
        <row r="22">
          <cell r="A22" t="str">
            <v>RetroEven20</v>
          </cell>
          <cell r="B22" t="str">
            <v>Retro</v>
          </cell>
          <cell r="C22" t="str">
            <v>Irrigation Hardware</v>
          </cell>
          <cell r="D22" t="str">
            <v>Agriculture</v>
          </cell>
          <cell r="E22" t="str">
            <v>Irrigation</v>
          </cell>
          <cell r="F22">
            <v>0</v>
          </cell>
          <cell r="G22">
            <v>3.3562442378605095E-3</v>
          </cell>
          <cell r="H22">
            <v>10.983550351342876</v>
          </cell>
          <cell r="I22">
            <v>159.63755793089663</v>
          </cell>
          <cell r="J22" t="str">
            <v>Wheel and Hand_Levelers</v>
          </cell>
          <cell r="K22" t="str">
            <v>Washington</v>
          </cell>
          <cell r="L22">
            <v>2.804546141244629E-3</v>
          </cell>
          <cell r="M22">
            <v>2.8336693294586791E-3</v>
          </cell>
          <cell r="N22">
            <v>2.8572243733399534E-3</v>
          </cell>
          <cell r="O22">
            <v>2.8844579791881273E-3</v>
          </cell>
          <cell r="P22">
            <v>2.9322329200053357E-3</v>
          </cell>
          <cell r="Q22">
            <v>2.9506580976859198E-3</v>
          </cell>
          <cell r="R22">
            <v>2.9592530730306985E-3</v>
          </cell>
          <cell r="S22">
            <v>2.9725553829637987E-3</v>
          </cell>
          <cell r="T22">
            <v>2.9716359611737363E-3</v>
          </cell>
          <cell r="U22">
            <v>3.0072545887704816E-3</v>
          </cell>
          <cell r="V22">
            <v>3.0189717490522092E-3</v>
          </cell>
          <cell r="W22">
            <v>3.0290066561443172E-3</v>
          </cell>
          <cell r="X22">
            <v>3.0442037972831975E-3</v>
          </cell>
          <cell r="Y22">
            <v>3.0555684104846248E-3</v>
          </cell>
          <cell r="Z22">
            <v>3.0845297594682647E-3</v>
          </cell>
          <cell r="AA22">
            <v>3.1137656104830401E-3</v>
          </cell>
          <cell r="AB22">
            <v>3.1432785653195353E-3</v>
          </cell>
          <cell r="AC22">
            <v>3.1730712504286786E-3</v>
          </cell>
          <cell r="AD22">
            <v>3.2031463171554742E-3</v>
          </cell>
          <cell r="AE22">
            <v>3.2335064419749633E-3</v>
          </cell>
          <cell r="AF22">
            <v>6.4670128839499255E-2</v>
          </cell>
          <cell r="AG22">
            <v>0</v>
          </cell>
          <cell r="AH22">
            <v>3.9877644228147145E-5</v>
          </cell>
          <cell r="AI22">
            <v>3.7228004262279597E-3</v>
          </cell>
          <cell r="AJ22">
            <v>6.6376346550812551E-2</v>
          </cell>
          <cell r="AK22">
            <v>0.25050718958409013</v>
          </cell>
          <cell r="AL22">
            <v>0.36954178370539814</v>
          </cell>
          <cell r="AM22">
            <v>0.37062626525651998</v>
          </cell>
          <cell r="AN22">
            <v>0.36212846397057463</v>
          </cell>
        </row>
        <row r="23">
          <cell r="A23" t="str">
            <v>RetroEven20</v>
          </cell>
          <cell r="B23" t="str">
            <v>Retro</v>
          </cell>
          <cell r="C23" t="str">
            <v>Irrigation Hardware</v>
          </cell>
          <cell r="D23" t="str">
            <v>Agriculture</v>
          </cell>
          <cell r="E23" t="str">
            <v>Irrigation</v>
          </cell>
          <cell r="F23">
            <v>0</v>
          </cell>
          <cell r="G23">
            <v>6.9870153310940524E-3</v>
          </cell>
          <cell r="H23">
            <v>22.865509556478727</v>
          </cell>
          <cell r="I23">
            <v>15.511673981124044</v>
          </cell>
          <cell r="J23" t="str">
            <v>Pivot and Linear_Base boot gasket</v>
          </cell>
          <cell r="K23" t="str">
            <v>Washington</v>
          </cell>
          <cell r="L23">
            <v>3.498572723398187E-2</v>
          </cell>
          <cell r="M23">
            <v>3.5349028769319953E-2</v>
          </cell>
          <cell r="N23">
            <v>3.5642869661468367E-2</v>
          </cell>
          <cell r="O23">
            <v>3.59825993210343E-2</v>
          </cell>
          <cell r="P23">
            <v>3.6578574913473189E-2</v>
          </cell>
          <cell r="Q23">
            <v>3.6808422528062448E-2</v>
          </cell>
          <cell r="R23">
            <v>3.6915641824109328E-2</v>
          </cell>
          <cell r="S23">
            <v>3.7081583464382985E-2</v>
          </cell>
          <cell r="T23">
            <v>3.7070114000754967E-2</v>
          </cell>
          <cell r="U23">
            <v>3.7514443859059776E-2</v>
          </cell>
          <cell r="V23">
            <v>3.7660611314657935E-2</v>
          </cell>
          <cell r="W23">
            <v>3.7785793253075614E-2</v>
          </cell>
          <cell r="X23">
            <v>3.7975372246554125E-2</v>
          </cell>
          <cell r="Y23">
            <v>3.8117141801255895E-2</v>
          </cell>
          <cell r="Z23">
            <v>3.8478424449085717E-2</v>
          </cell>
          <cell r="AA23">
            <v>3.8843131413258659E-2</v>
          </cell>
          <cell r="AB23">
            <v>3.9211295150197639E-2</v>
          </cell>
          <cell r="AC23">
            <v>3.9582948423954732E-2</v>
          </cell>
          <cell r="AD23">
            <v>3.9958124309126875E-2</v>
          </cell>
          <cell r="AE23">
            <v>4.0336856193799259E-2</v>
          </cell>
          <cell r="AF23">
            <v>0.80673712387598506</v>
          </cell>
          <cell r="AG23">
            <v>0</v>
          </cell>
          <cell r="AH23">
            <v>8.3017114322881546E-5</v>
          </cell>
          <cell r="AI23">
            <v>7.7501104833894675E-3</v>
          </cell>
          <cell r="AJ23">
            <v>0.13818200288909196</v>
          </cell>
          <cell r="AK23">
            <v>0.52150482805419329</v>
          </cell>
          <cell r="AL23">
            <v>0.76931055228429746</v>
          </cell>
          <cell r="AM23">
            <v>0.77156822147848192</v>
          </cell>
          <cell r="AN23">
            <v>0.75387753401428825</v>
          </cell>
        </row>
        <row r="24">
          <cell r="A24" t="str">
            <v>RetroEven20</v>
          </cell>
          <cell r="B24" t="str">
            <v>Retro</v>
          </cell>
          <cell r="C24" t="str">
            <v>Irrigation Hardware</v>
          </cell>
          <cell r="D24" t="str">
            <v>Agriculture</v>
          </cell>
          <cell r="E24" t="str">
            <v>Irrigation</v>
          </cell>
          <cell r="F24">
            <v>0</v>
          </cell>
          <cell r="G24">
            <v>2.1349213511676266E-4</v>
          </cell>
          <cell r="H24">
            <v>0.69866834755907203</v>
          </cell>
          <cell r="I24">
            <v>650.14120461094467</v>
          </cell>
          <cell r="J24" t="str">
            <v>Pivot and Linear_Tower gasket</v>
          </cell>
          <cell r="K24" t="str">
            <v>Washington</v>
          </cell>
          <cell r="L24">
            <v>1.0690083321494457E-3</v>
          </cell>
          <cell r="M24">
            <v>1.080109212395887E-3</v>
          </cell>
          <cell r="N24">
            <v>1.089087684100422E-3</v>
          </cell>
          <cell r="O24">
            <v>1.099468312587159E-3</v>
          </cell>
          <cell r="P24">
            <v>1.1176786779116806E-3</v>
          </cell>
          <cell r="Q24">
            <v>1.1247017994685743E-3</v>
          </cell>
          <cell r="R24">
            <v>1.1279779446255623E-3</v>
          </cell>
          <cell r="S24">
            <v>1.1330483836339245E-3</v>
          </cell>
          <cell r="T24">
            <v>1.1326979278008459E-3</v>
          </cell>
          <cell r="U24">
            <v>1.1462746734712706E-3</v>
          </cell>
          <cell r="V24">
            <v>1.1507409012812143E-3</v>
          </cell>
          <cell r="W24">
            <v>1.1545659049550881E-3</v>
          </cell>
          <cell r="X24">
            <v>1.1603585964224867E-3</v>
          </cell>
          <cell r="Y24">
            <v>1.1646904439272633E-3</v>
          </cell>
          <cell r="Z24">
            <v>1.1757296359442854E-3</v>
          </cell>
          <cell r="AA24">
            <v>1.1868734598495698E-3</v>
          </cell>
          <cell r="AB24">
            <v>1.19812290736715E-3</v>
          </cell>
          <cell r="AC24">
            <v>1.2094789796208388E-3</v>
          </cell>
          <cell r="AD24">
            <v>1.2209426872233208E-3</v>
          </cell>
          <cell r="AE24">
            <v>1.232515050366088E-3</v>
          </cell>
          <cell r="AF24">
            <v>2.4650301007321757E-2</v>
          </cell>
          <cell r="AG24">
            <v>0</v>
          </cell>
          <cell r="AH24">
            <v>2.536634048754713E-6</v>
          </cell>
          <cell r="AI24">
            <v>2.3680893143690032E-4</v>
          </cell>
          <cell r="AJ24">
            <v>4.222227866055586E-3</v>
          </cell>
          <cell r="AK24">
            <v>1.5934869746100346E-2</v>
          </cell>
          <cell r="AL24">
            <v>2.3506711319797969E-2</v>
          </cell>
          <cell r="AM24">
            <v>2.3575695656286939E-2</v>
          </cell>
          <cell r="AN24">
            <v>2.3035146872658802E-2</v>
          </cell>
        </row>
        <row r="25">
          <cell r="A25" t="str">
            <v>RetroEven20</v>
          </cell>
          <cell r="B25" t="str">
            <v>Retro</v>
          </cell>
          <cell r="C25" t="str">
            <v>Irrigation Hardware</v>
          </cell>
          <cell r="D25" t="str">
            <v>Agriculture</v>
          </cell>
          <cell r="E25" t="str">
            <v>Irrigation</v>
          </cell>
          <cell r="F25">
            <v>0</v>
          </cell>
          <cell r="G25">
            <v>1.9112939649593368E-2</v>
          </cell>
          <cell r="H25">
            <v>62.548467908076994</v>
          </cell>
          <cell r="I25">
            <v>10.773991238894952</v>
          </cell>
          <cell r="J25" t="str">
            <v>Wheel and Hand_Nozzle replacement</v>
          </cell>
          <cell r="K25" t="str">
            <v>Washington</v>
          </cell>
          <cell r="L25">
            <v>1.5971162210852301E-2</v>
          </cell>
          <cell r="M25">
            <v>1.6137011207316785E-2</v>
          </cell>
          <cell r="N25">
            <v>1.6271151067303053E-2</v>
          </cell>
          <cell r="O25">
            <v>1.6426239382731727E-2</v>
          </cell>
          <cell r="P25">
            <v>1.6698305268253895E-2</v>
          </cell>
          <cell r="Q25">
            <v>1.6803231871946631E-2</v>
          </cell>
          <cell r="R25">
            <v>1.6852178025269258E-2</v>
          </cell>
          <cell r="S25">
            <v>1.6927931227042683E-2</v>
          </cell>
          <cell r="T25">
            <v>1.6922695358631272E-2</v>
          </cell>
          <cell r="U25">
            <v>1.7125534196156374E-2</v>
          </cell>
          <cell r="V25">
            <v>1.7192260382171972E-2</v>
          </cell>
          <cell r="W25">
            <v>1.7249406572987635E-2</v>
          </cell>
          <cell r="X25">
            <v>1.7335950346577526E-2</v>
          </cell>
          <cell r="Y25">
            <v>1.740066886849246E-2</v>
          </cell>
          <cell r="Z25">
            <v>1.756559623255342E-2</v>
          </cell>
          <cell r="AA25">
            <v>1.773208681442064E-2</v>
          </cell>
          <cell r="AB25">
            <v>1.7900155430616075E-2</v>
          </cell>
          <cell r="AC25">
            <v>1.8069817038095921E-2</v>
          </cell>
          <cell r="AD25">
            <v>1.8241086735581693E-2</v>
          </cell>
          <cell r="AE25">
            <v>1.8413979764903936E-2</v>
          </cell>
          <cell r="AF25">
            <v>0.36827959529807863</v>
          </cell>
          <cell r="AG25">
            <v>0</v>
          </cell>
          <cell r="AH25">
            <v>2.2709283159511498E-4</v>
          </cell>
          <cell r="AI25">
            <v>2.1200381983920658E-2</v>
          </cell>
          <cell r="AJ25">
            <v>0.37799606222784737</v>
          </cell>
          <cell r="AK25">
            <v>1.4265734127150707</v>
          </cell>
          <cell r="AL25">
            <v>2.1044445247127785</v>
          </cell>
          <cell r="AM25">
            <v>2.1106203656137081</v>
          </cell>
          <cell r="AN25">
            <v>2.0622275933296366</v>
          </cell>
        </row>
        <row r="26">
          <cell r="A26" t="str">
            <v>RetroEven20</v>
          </cell>
          <cell r="B26" t="str">
            <v>Retro</v>
          </cell>
          <cell r="C26" t="str">
            <v>Irrigation Hardware</v>
          </cell>
          <cell r="D26" t="str">
            <v>Agriculture</v>
          </cell>
          <cell r="E26" t="str">
            <v>Irrigation</v>
          </cell>
          <cell r="F26">
            <v>0</v>
          </cell>
          <cell r="G26">
            <v>1.1262402461834343E-2</v>
          </cell>
          <cell r="H26">
            <v>36.857021047878419</v>
          </cell>
          <cell r="I26">
            <v>36.653127775310246</v>
          </cell>
          <cell r="J26" t="str">
            <v>Pivot and Linear_Sprinkler package replacement, high pressure</v>
          </cell>
          <cell r="K26" t="str">
            <v>Washington</v>
          </cell>
          <cell r="L26">
            <v>1.630624651403894E-2</v>
          </cell>
          <cell r="M26">
            <v>1.6475575119230756E-2</v>
          </cell>
          <cell r="N26">
            <v>1.6612529311757111E-2</v>
          </cell>
          <cell r="O26">
            <v>1.6770871470545567E-2</v>
          </cell>
          <cell r="P26">
            <v>1.7048645457110569E-2</v>
          </cell>
          <cell r="Q26">
            <v>1.7155773482178904E-2</v>
          </cell>
          <cell r="R26">
            <v>1.7205746554360867E-2</v>
          </cell>
          <cell r="S26">
            <v>1.7283089102513423E-2</v>
          </cell>
          <cell r="T26">
            <v>1.7277743382527338E-2</v>
          </cell>
          <cell r="U26">
            <v>1.7484837897230713E-2</v>
          </cell>
          <cell r="V26">
            <v>1.7552964037567117E-2</v>
          </cell>
          <cell r="W26">
            <v>1.7611309188813862E-2</v>
          </cell>
          <cell r="X26">
            <v>1.7699668701276459E-2</v>
          </cell>
          <cell r="Y26">
            <v>1.7765745055547788E-2</v>
          </cell>
          <cell r="Z26">
            <v>1.7934132691950429E-2</v>
          </cell>
          <cell r="AA26">
            <v>1.8104116343381129E-2</v>
          </cell>
          <cell r="AB26">
            <v>1.8275711137221106E-2</v>
          </cell>
          <cell r="AC26">
            <v>1.8448932344232248E-2</v>
          </cell>
          <cell r="AD26">
            <v>1.8623795379916049E-2</v>
          </cell>
          <cell r="AE26">
            <v>1.8800315805885537E-2</v>
          </cell>
          <cell r="AF26">
            <v>0.37600631611771068</v>
          </cell>
          <cell r="AG26">
            <v>0</v>
          </cell>
          <cell r="AH26">
            <v>1.3381567213163718E-4</v>
          </cell>
          <cell r="AI26">
            <v>1.2492439081845596E-2</v>
          </cell>
          <cell r="AJ26">
            <v>0.22273621221260786</v>
          </cell>
          <cell r="AK26">
            <v>0.84061605435412201</v>
          </cell>
          <cell r="AL26">
            <v>1.2400552521193799</v>
          </cell>
          <cell r="AM26">
            <v>1.24369439957873</v>
          </cell>
          <cell r="AN26">
            <v>1.2151786982947201</v>
          </cell>
        </row>
        <row r="27">
          <cell r="A27" t="str">
            <v>RetroEven20</v>
          </cell>
          <cell r="B27" t="str">
            <v>Retro</v>
          </cell>
          <cell r="C27" t="str">
            <v>Irrigation Hardware</v>
          </cell>
          <cell r="D27" t="str">
            <v>Agriculture</v>
          </cell>
          <cell r="E27" t="str">
            <v>Irrigation</v>
          </cell>
          <cell r="F27">
            <v>0</v>
          </cell>
          <cell r="G27">
            <v>1.1262402461834343E-2</v>
          </cell>
          <cell r="H27">
            <v>36.857021047878419</v>
          </cell>
          <cell r="I27">
            <v>100.98728953512128</v>
          </cell>
          <cell r="J27" t="str">
            <v>Pivot and Linear_Sprinkler package replacement, MESA</v>
          </cell>
          <cell r="K27" t="str">
            <v>Washington</v>
          </cell>
          <cell r="L27">
            <v>7.5912537605703767E-2</v>
          </cell>
          <cell r="M27">
            <v>7.6700834538310433E-2</v>
          </cell>
          <cell r="N27">
            <v>7.73384147614148E-2</v>
          </cell>
          <cell r="O27">
            <v>7.8075565096609845E-2</v>
          </cell>
          <cell r="P27">
            <v>7.9368721567833769E-2</v>
          </cell>
          <cell r="Q27">
            <v>7.9867448250557679E-2</v>
          </cell>
          <cell r="R27">
            <v>8.0100094231839725E-2</v>
          </cell>
          <cell r="S27">
            <v>8.046015680602546E-2</v>
          </cell>
          <cell r="T27">
            <v>8.0435270197747835E-2</v>
          </cell>
          <cell r="U27">
            <v>8.1399383558956998E-2</v>
          </cell>
          <cell r="V27">
            <v>8.1716539820869641E-2</v>
          </cell>
          <cell r="W27">
            <v>8.198816140369776E-2</v>
          </cell>
          <cell r="X27">
            <v>8.2399512649176804E-2</v>
          </cell>
          <cell r="Y27">
            <v>8.2707126282035345E-2</v>
          </cell>
          <cell r="Z27">
            <v>8.3491042603289642E-2</v>
          </cell>
          <cell r="AA27">
            <v>8.4282389055735207E-2</v>
          </cell>
          <cell r="AB27">
            <v>8.5081236063788562E-2</v>
          </cell>
          <cell r="AC27">
            <v>8.5887654719364354E-2</v>
          </cell>
          <cell r="AD27">
            <v>8.6701716788201919E-2</v>
          </cell>
          <cell r="AE27">
            <v>8.7523494716252162E-2</v>
          </cell>
          <cell r="AF27">
            <v>1.750469894325043</v>
          </cell>
          <cell r="AG27">
            <v>0</v>
          </cell>
          <cell r="AH27">
            <v>1.3381567213163718E-4</v>
          </cell>
          <cell r="AI27">
            <v>1.2492439081845596E-2</v>
          </cell>
          <cell r="AJ27">
            <v>0.22273621221260786</v>
          </cell>
          <cell r="AK27">
            <v>0.84061605435412201</v>
          </cell>
          <cell r="AL27">
            <v>1.2400552521193799</v>
          </cell>
          <cell r="AM27">
            <v>1.24369439957873</v>
          </cell>
          <cell r="AN27">
            <v>1.2151786982947201</v>
          </cell>
        </row>
        <row r="28">
          <cell r="A28" t="str">
            <v>RetroEven20</v>
          </cell>
          <cell r="B28" t="str">
            <v>Retro</v>
          </cell>
          <cell r="C28" t="str">
            <v>Irrigation Hardware</v>
          </cell>
          <cell r="D28" t="str">
            <v>Agriculture</v>
          </cell>
          <cell r="E28" t="str">
            <v>Irrigation</v>
          </cell>
          <cell r="F28">
            <v>0</v>
          </cell>
          <cell r="G28">
            <v>1.1262402461834343E-2</v>
          </cell>
          <cell r="H28">
            <v>36.857021047878419</v>
          </cell>
          <cell r="I28">
            <v>140.08643011431926</v>
          </cell>
          <cell r="J28" t="str">
            <v>Pivot and Linear_Sprinkler package replacement, LESA/LEPA/MDI</v>
          </cell>
          <cell r="K28" t="str">
            <v>Washington</v>
          </cell>
          <cell r="L28">
            <v>5.2841918038541914E-2</v>
          </cell>
          <cell r="M28">
            <v>5.3390643232253593E-2</v>
          </cell>
          <cell r="N28">
            <v>5.3834456111586784E-2</v>
          </cell>
          <cell r="O28">
            <v>5.4347578697433965E-2</v>
          </cell>
          <cell r="P28">
            <v>5.5247731299608215E-2</v>
          </cell>
          <cell r="Q28">
            <v>5.5594889691664783E-2</v>
          </cell>
          <cell r="R28">
            <v>5.5756832109381815E-2</v>
          </cell>
          <cell r="S28">
            <v>5.6007467875672401E-2</v>
          </cell>
          <cell r="T28">
            <v>5.5990144569716099E-2</v>
          </cell>
          <cell r="U28">
            <v>5.666125372796204E-2</v>
          </cell>
          <cell r="V28">
            <v>5.6882022862099625E-2</v>
          </cell>
          <cell r="W28">
            <v>5.7071095785624498E-2</v>
          </cell>
          <cell r="X28">
            <v>5.7357433055912559E-2</v>
          </cell>
          <cell r="Y28">
            <v>5.7571559666453206E-2</v>
          </cell>
          <cell r="Z28">
            <v>5.8117235562732059E-2</v>
          </cell>
          <cell r="AA28">
            <v>5.8668083495090971E-2</v>
          </cell>
          <cell r="AB28">
            <v>5.9224152485224661E-2</v>
          </cell>
          <cell r="AC28">
            <v>5.9785492019466292E-2</v>
          </cell>
          <cell r="AD28">
            <v>6.0352152053191319E-2</v>
          </cell>
          <cell r="AE28">
            <v>6.0924183015263277E-2</v>
          </cell>
          <cell r="AF28">
            <v>1.2184836603052653</v>
          </cell>
          <cell r="AG28">
            <v>0</v>
          </cell>
          <cell r="AH28">
            <v>1.3381567213163718E-4</v>
          </cell>
          <cell r="AI28">
            <v>1.2492439081845596E-2</v>
          </cell>
          <cell r="AJ28">
            <v>0.22273621221260786</v>
          </cell>
          <cell r="AK28">
            <v>0.84061605435412201</v>
          </cell>
          <cell r="AL28">
            <v>1.2400552521193799</v>
          </cell>
          <cell r="AM28">
            <v>1.24369439957873</v>
          </cell>
          <cell r="AN28">
            <v>1.2151786982947201</v>
          </cell>
        </row>
        <row r="29">
          <cell r="A29" t="str">
            <v>Retro5Med</v>
          </cell>
          <cell r="B29" t="str">
            <v>Retro</v>
          </cell>
          <cell r="C29" t="str">
            <v>Irrigation Hardware</v>
          </cell>
          <cell r="D29" t="str">
            <v>Agriculture</v>
          </cell>
          <cell r="E29" t="str">
            <v>Irrigation</v>
          </cell>
          <cell r="F29">
            <v>0</v>
          </cell>
          <cell r="G29">
            <v>1.6304210302100428E-2</v>
          </cell>
          <cell r="H29">
            <v>53.356699364096173</v>
          </cell>
          <cell r="I29">
            <v>80.46438200019486</v>
          </cell>
          <cell r="J29" t="str">
            <v>Pivot and Linear_Upgrade from high pressure to MESA</v>
          </cell>
          <cell r="K29" t="str">
            <v>Washington</v>
          </cell>
          <cell r="L29">
            <v>2.0301175263555085E-2</v>
          </cell>
          <cell r="M29">
            <v>2.5185450368868205E-2</v>
          </cell>
          <cell r="N29">
            <v>3.1075810841843094E-2</v>
          </cell>
          <cell r="O29">
            <v>3.641796006649755E-2</v>
          </cell>
          <cell r="P29">
            <v>4.2227305666269754E-2</v>
          </cell>
          <cell r="Q29">
            <v>4.967901328405383E-2</v>
          </cell>
          <cell r="R29">
            <v>5.4657398240377325E-2</v>
          </cell>
          <cell r="S29">
            <v>5.6087386540006258E-2</v>
          </cell>
          <cell r="T29">
            <v>5.2839282284454593E-2</v>
          </cell>
          <cell r="U29">
            <v>4.5964250108171761E-2</v>
          </cell>
          <cell r="V29">
            <v>3.5707665084221366E-2</v>
          </cell>
          <cell r="W29">
            <v>2.3710642148066157E-2</v>
          </cell>
          <cell r="X29">
            <v>1.3836543823661384E-2</v>
          </cell>
          <cell r="Y29">
            <v>6.686910326690049E-3</v>
          </cell>
          <cell r="Z29">
            <v>2.8558920637478339E-3</v>
          </cell>
          <cell r="AA29">
            <v>1.0483493950654062E-3</v>
          </cell>
          <cell r="AB29">
            <v>3.3056089676709497E-4</v>
          </cell>
          <cell r="AC29">
            <v>7.2730145976080551E-5</v>
          </cell>
          <cell r="AD29">
            <v>1.2068112463628671E-5</v>
          </cell>
          <cell r="AE29">
            <v>1.4623143730682636E-6</v>
          </cell>
          <cell r="AF29">
            <v>0.5443319996489201</v>
          </cell>
          <cell r="AG29">
            <v>0</v>
          </cell>
          <cell r="AH29">
            <v>1.9372055540943457E-4</v>
          </cell>
          <cell r="AI29">
            <v>1.8084893935091634E-2</v>
          </cell>
          <cell r="AJ29">
            <v>0.32244790204523988</v>
          </cell>
          <cell r="AK29">
            <v>1.2169322646705718</v>
          </cell>
          <cell r="AL29">
            <v>1.7951872777849169</v>
          </cell>
          <cell r="AM29">
            <v>1.8004555520895038</v>
          </cell>
          <cell r="AN29">
            <v>1.7591743075040878</v>
          </cell>
        </row>
        <row r="30">
          <cell r="A30" t="str">
            <v>Retro1Slow</v>
          </cell>
          <cell r="B30" t="str">
            <v>Retro</v>
          </cell>
          <cell r="C30" t="str">
            <v>Irrigation Hardware</v>
          </cell>
          <cell r="D30" t="str">
            <v>Agriculture</v>
          </cell>
          <cell r="E30" t="str">
            <v>Irrigation</v>
          </cell>
          <cell r="F30">
            <v>0</v>
          </cell>
          <cell r="G30">
            <v>2.7717157513570689E-2</v>
          </cell>
          <cell r="H30">
            <v>90.70638891896337</v>
          </cell>
          <cell r="I30">
            <v>58.151356931940796</v>
          </cell>
          <cell r="J30" t="str">
            <v>Pivot and Linear_Upgrade from MESA to LESA/LEPA/MDI</v>
          </cell>
          <cell r="K30" t="str">
            <v>Washington</v>
          </cell>
          <cell r="L30">
            <v>3.8552821592944537E-3</v>
          </cell>
          <cell r="M30">
            <v>7.8419794806846108E-3</v>
          </cell>
          <cell r="N30">
            <v>1.416065052162214E-2</v>
          </cell>
          <cell r="O30">
            <v>2.3482834166462019E-2</v>
          </cell>
          <cell r="P30">
            <v>3.6627153581821018E-2</v>
          </cell>
          <cell r="Q30">
            <v>5.3467050636960167E-2</v>
          </cell>
          <cell r="R30">
            <v>7.3967715020330754E-2</v>
          </cell>
          <cell r="S30">
            <v>9.7671121869427627E-2</v>
          </cell>
          <cell r="T30">
            <v>0.12237583059418961</v>
          </cell>
          <cell r="U30">
            <v>0.14753079322693008</v>
          </cell>
          <cell r="V30">
            <v>0.16753743236823793</v>
          </cell>
          <cell r="W30">
            <v>0.17977211000874324</v>
          </cell>
          <cell r="X30">
            <v>0.18192117694895182</v>
          </cell>
          <cell r="Y30">
            <v>0.17232888623784112</v>
          </cell>
          <cell r="Z30">
            <v>0.15288650450692295</v>
          </cell>
          <cell r="AA30">
            <v>0.12752580988608167</v>
          </cell>
          <cell r="AB30">
            <v>9.8345040231801115E-2</v>
          </cell>
          <cell r="AC30">
            <v>6.8657734557562383E-2</v>
          </cell>
          <cell r="AD30">
            <v>4.4233416033628806E-2</v>
          </cell>
          <cell r="AE30">
            <v>2.9090580359876023E-2</v>
          </cell>
          <cell r="AF30">
            <v>1.7231865029930167</v>
          </cell>
          <cell r="AG30">
            <v>0</v>
          </cell>
          <cell r="AH30">
            <v>3.2932494419603834E-4</v>
          </cell>
          <cell r="AI30">
            <v>3.0744319689655731E-2</v>
          </cell>
          <cell r="AJ30">
            <v>0.54816143347690705</v>
          </cell>
          <cell r="AK30">
            <v>2.068784849939969</v>
          </cell>
          <cell r="AL30">
            <v>3.0518183722343544</v>
          </cell>
          <cell r="AM30">
            <v>3.0607744385521523</v>
          </cell>
          <cell r="AN30">
            <v>2.9905963227569452</v>
          </cell>
        </row>
        <row r="31">
          <cell r="A31" t="str">
            <v>RetroEven20</v>
          </cell>
          <cell r="B31" t="str">
            <v>Retro</v>
          </cell>
          <cell r="C31" t="str">
            <v>Irrigation Hardware</v>
          </cell>
          <cell r="D31" t="str">
            <v>Agriculture</v>
          </cell>
          <cell r="E31" t="str">
            <v>Irrigation</v>
          </cell>
          <cell r="F31">
            <v>0</v>
          </cell>
          <cell r="G31">
            <v>2.4365746923332306E-3</v>
          </cell>
          <cell r="H31">
            <v>7.9738657026670454</v>
          </cell>
          <cell r="I31">
            <v>542.56053406664694</v>
          </cell>
          <cell r="J31" t="str">
            <v>Wheel and Hand_Rebuilt or new impact sprinkler</v>
          </cell>
          <cell r="K31" t="str">
            <v>Oregon</v>
          </cell>
          <cell r="L31">
            <v>4.9178639220763846E-3</v>
          </cell>
          <cell r="M31">
            <v>4.9908646232777716E-3</v>
          </cell>
          <cell r="N31">
            <v>5.0447320526374444E-3</v>
          </cell>
          <cell r="O31">
            <v>5.0829869190112346E-3</v>
          </cell>
          <cell r="P31">
            <v>5.1518567719282104E-3</v>
          </cell>
          <cell r="Q31">
            <v>5.1628918295360347E-3</v>
          </cell>
          <cell r="R31">
            <v>5.1707185463208431E-3</v>
          </cell>
          <cell r="S31">
            <v>5.1813828493476634E-3</v>
          </cell>
          <cell r="T31">
            <v>5.2033537074313886E-3</v>
          </cell>
          <cell r="U31">
            <v>5.2631356941226616E-3</v>
          </cell>
          <cell r="V31">
            <v>5.2870041150225484E-3</v>
          </cell>
          <cell r="W31">
            <v>5.3053783617377972E-3</v>
          </cell>
          <cell r="X31">
            <v>5.3267624350122177E-3</v>
          </cell>
          <cell r="Y31">
            <v>5.3470575991629039E-3</v>
          </cell>
          <cell r="Z31">
            <v>5.4191036803013931E-3</v>
          </cell>
          <cell r="AA31">
            <v>5.492120508006783E-3</v>
          </cell>
          <cell r="AB31">
            <v>5.5661211620869197E-3</v>
          </cell>
          <cell r="AC31">
            <v>5.6411188985865512E-3</v>
          </cell>
          <cell r="AD31">
            <v>5.7171271521619478E-3</v>
          </cell>
          <cell r="AE31">
            <v>5.7941595384875038E-3</v>
          </cell>
          <cell r="AF31">
            <v>0.11588319076975007</v>
          </cell>
          <cell r="AG31">
            <v>0</v>
          </cell>
          <cell r="AH31">
            <v>2.8950473156897224E-5</v>
          </cell>
          <cell r="AI31">
            <v>2.7026880823598181E-3</v>
          </cell>
          <cell r="AJ31">
            <v>4.81880681837231E-2</v>
          </cell>
          <cell r="AK31">
            <v>0.18186384396661567</v>
          </cell>
          <cell r="AL31">
            <v>0.26828088009180112</v>
          </cell>
          <cell r="AM31">
            <v>0.26906819475500637</v>
          </cell>
          <cell r="AN31">
            <v>0.26289893945462028</v>
          </cell>
        </row>
        <row r="32">
          <cell r="A32" t="str">
            <v>RetroEven20</v>
          </cell>
          <cell r="B32" t="str">
            <v>Retro</v>
          </cell>
          <cell r="C32" t="str">
            <v>Irrigation Hardware</v>
          </cell>
          <cell r="D32" t="str">
            <v>Agriculture</v>
          </cell>
          <cell r="E32" t="str">
            <v>Irrigation</v>
          </cell>
          <cell r="F32">
            <v>0</v>
          </cell>
          <cell r="G32">
            <v>1.1937849963289868E-2</v>
          </cell>
          <cell r="H32">
            <v>39.067471514574713</v>
          </cell>
          <cell r="I32">
            <v>21.745308477934003</v>
          </cell>
          <cell r="J32" t="str">
            <v>Wheel and Hand_Gaskets</v>
          </cell>
          <cell r="K32" t="str">
            <v>Oregon</v>
          </cell>
          <cell r="L32">
            <v>2.4094776091352025E-2</v>
          </cell>
          <cell r="M32">
            <v>2.4452438600488E-2</v>
          </cell>
          <cell r="N32">
            <v>2.4716358804382135E-2</v>
          </cell>
          <cell r="O32">
            <v>2.4903786202595282E-2</v>
          </cell>
          <cell r="P32">
            <v>2.5241209871035921E-2</v>
          </cell>
          <cell r="Q32">
            <v>2.5295275466674327E-2</v>
          </cell>
          <cell r="R32">
            <v>2.5333621990988233E-2</v>
          </cell>
          <cell r="S32">
            <v>2.5385871097037729E-2</v>
          </cell>
          <cell r="T32">
            <v>2.5493515984015152E-2</v>
          </cell>
          <cell r="U32">
            <v>2.5786414202926058E-2</v>
          </cell>
          <cell r="V32">
            <v>2.5903356083862471E-2</v>
          </cell>
          <cell r="W32">
            <v>2.5993379591520701E-2</v>
          </cell>
          <cell r="X32">
            <v>2.6098149561904652E-2</v>
          </cell>
          <cell r="Y32">
            <v>2.6197584488062902E-2</v>
          </cell>
          <cell r="Z32">
            <v>2.6550569894084129E-2</v>
          </cell>
          <cell r="AA32">
            <v>2.690831141404864E-2</v>
          </cell>
          <cell r="AB32">
            <v>2.7270873131681864E-2</v>
          </cell>
          <cell r="AC32">
            <v>2.7638319994171271E-2</v>
          </cell>
          <cell r="AD32">
            <v>2.801071782380065E-2</v>
          </cell>
          <cell r="AE32">
            <v>2.8388133329741116E-2</v>
          </cell>
          <cell r="AF32">
            <v>0.56776266659482233</v>
          </cell>
          <cell r="AG32">
            <v>0</v>
          </cell>
          <cell r="AH32">
            <v>1.4184108781920487E-4</v>
          </cell>
          <cell r="AI32">
            <v>1.3241656381929865E-2</v>
          </cell>
          <cell r="AJ32">
            <v>0.23609451818085064</v>
          </cell>
          <cell r="AK32">
            <v>0.89103087619351273</v>
          </cell>
          <cell r="AL32">
            <v>1.3144259047886699</v>
          </cell>
          <cell r="AM32">
            <v>1.3182833052421903</v>
          </cell>
          <cell r="AN32">
            <v>1.2880574129709723</v>
          </cell>
        </row>
        <row r="33">
          <cell r="A33" t="str">
            <v>RetroEven20</v>
          </cell>
          <cell r="B33" t="str">
            <v>Retro</v>
          </cell>
          <cell r="C33" t="str">
            <v>Irrigation Hardware</v>
          </cell>
          <cell r="D33" t="str">
            <v>Agriculture</v>
          </cell>
          <cell r="E33" t="str">
            <v>Irrigation</v>
          </cell>
          <cell r="F33">
            <v>0</v>
          </cell>
          <cell r="G33">
            <v>7.7616978176741243E-3</v>
          </cell>
          <cell r="H33">
            <v>25.400713640160003</v>
          </cell>
          <cell r="I33">
            <v>51.779189832033595</v>
          </cell>
          <cell r="J33" t="str">
            <v>Wheel and Hand_Drains</v>
          </cell>
          <cell r="K33" t="str">
            <v>Oregon</v>
          </cell>
          <cell r="L33">
            <v>1.5665833594884212E-2</v>
          </cell>
          <cell r="M33">
            <v>1.5898377003049101E-2</v>
          </cell>
          <cell r="N33">
            <v>1.606997145907799E-2</v>
          </cell>
          <cell r="O33">
            <v>1.6191832165332203E-2</v>
          </cell>
          <cell r="P33">
            <v>1.6411216774706666E-2</v>
          </cell>
          <cell r="Q33">
            <v>1.6446368901510765E-2</v>
          </cell>
          <cell r="R33">
            <v>1.647130087292923E-2</v>
          </cell>
          <cell r="S33">
            <v>1.6505271962668742E-2</v>
          </cell>
          <cell r="T33">
            <v>1.6575260033125795E-2</v>
          </cell>
          <cell r="U33">
            <v>1.6765695285161326E-2</v>
          </cell>
          <cell r="V33">
            <v>1.6841728033507971E-2</v>
          </cell>
          <cell r="W33">
            <v>1.6900259114488121E-2</v>
          </cell>
          <cell r="X33">
            <v>1.6968377984551627E-2</v>
          </cell>
          <cell r="Y33">
            <v>1.7033028139456938E-2</v>
          </cell>
          <cell r="Z33">
            <v>1.7262530609668147E-2</v>
          </cell>
          <cell r="AA33">
            <v>1.7495125388739631E-2</v>
          </cell>
          <cell r="AB33">
            <v>1.7730854142340959E-2</v>
          </cell>
          <cell r="AC33">
            <v>1.7969759097543569E-2</v>
          </cell>
          <cell r="AD33">
            <v>1.8211883050385104E-2</v>
          </cell>
          <cell r="AE33">
            <v>1.8457269373535645E-2</v>
          </cell>
          <cell r="AF33">
            <v>0.36914538747071279</v>
          </cell>
          <cell r="AG33">
            <v>0</v>
          </cell>
          <cell r="AH33">
            <v>9.2221603150342263E-5</v>
          </cell>
          <cell r="AI33">
            <v>8.6094008349969151E-3</v>
          </cell>
          <cell r="AJ33">
            <v>0.15350287632733223</v>
          </cell>
          <cell r="AK33">
            <v>0.57932646401978594</v>
          </cell>
          <cell r="AL33">
            <v>0.85460754726062993</v>
          </cell>
          <cell r="AM33">
            <v>0.85711553460961265</v>
          </cell>
          <cell r="AN33">
            <v>0.83746339935911129</v>
          </cell>
        </row>
        <row r="34">
          <cell r="A34" t="str">
            <v>RetroEven20</v>
          </cell>
          <cell r="B34" t="str">
            <v>Retro</v>
          </cell>
          <cell r="C34" t="str">
            <v>Irrigation Hardware</v>
          </cell>
          <cell r="D34" t="str">
            <v>Agriculture</v>
          </cell>
          <cell r="E34" t="str">
            <v>Irrigation</v>
          </cell>
          <cell r="F34">
            <v>0</v>
          </cell>
          <cell r="G34">
            <v>3.4319908484521287E-2</v>
          </cell>
          <cell r="H34">
            <v>112.31436575471476</v>
          </cell>
          <cell r="I34">
            <v>20.612176216392399</v>
          </cell>
          <cell r="J34" t="str">
            <v>Wheel and Hand_Cut and press repair</v>
          </cell>
          <cell r="K34" t="str">
            <v>Oregon</v>
          </cell>
          <cell r="L34">
            <v>6.9269635064365065E-2</v>
          </cell>
          <cell r="M34">
            <v>7.0297872529204858E-2</v>
          </cell>
          <cell r="N34">
            <v>7.1056611939795233E-2</v>
          </cell>
          <cell r="O34">
            <v>7.1595443569774458E-2</v>
          </cell>
          <cell r="P34">
            <v>7.2565496758330628E-2</v>
          </cell>
          <cell r="Q34">
            <v>7.2720928959286155E-2</v>
          </cell>
          <cell r="R34">
            <v>7.2831170687000929E-2</v>
          </cell>
          <cell r="S34">
            <v>7.2981380694961406E-2</v>
          </cell>
          <cell r="T34">
            <v>7.3290847029456499E-2</v>
          </cell>
          <cell r="U34">
            <v>7.4132894810188643E-2</v>
          </cell>
          <cell r="V34">
            <v>7.4469088904107333E-2</v>
          </cell>
          <cell r="W34">
            <v>7.4727895854587278E-2</v>
          </cell>
          <cell r="X34">
            <v>7.5029097143475998E-2</v>
          </cell>
          <cell r="Y34">
            <v>7.531496081041858E-2</v>
          </cell>
          <cell r="Z34">
            <v>7.6329752156286831E-2</v>
          </cell>
          <cell r="AA34">
            <v>7.7358216767925481E-2</v>
          </cell>
          <cell r="AB34">
            <v>7.8400538878475284E-2</v>
          </cell>
          <cell r="AC34">
            <v>7.9456905203428296E-2</v>
          </cell>
          <cell r="AD34">
            <v>8.052750497407514E-2</v>
          </cell>
          <cell r="AE34">
            <v>8.1612529971402767E-2</v>
          </cell>
          <cell r="AF34">
            <v>1.6322505994280552</v>
          </cell>
          <cell r="AG34">
            <v>0</v>
          </cell>
          <cell r="AH34">
            <v>4.0777637248496019E-4</v>
          </cell>
          <cell r="AI34">
            <v>3.8068197925824061E-2</v>
          </cell>
          <cell r="AJ34">
            <v>0.67874385107709656</v>
          </cell>
          <cell r="AK34">
            <v>2.5616085159288451</v>
          </cell>
          <cell r="AL34">
            <v>3.7788192095521551</v>
          </cell>
          <cell r="AM34">
            <v>3.7899087802001419</v>
          </cell>
          <cell r="AN34">
            <v>3.7030129103574851</v>
          </cell>
        </row>
        <row r="35">
          <cell r="A35" t="str">
            <v>RetroEven20</v>
          </cell>
          <cell r="B35" t="str">
            <v>Retro</v>
          </cell>
          <cell r="C35" t="str">
            <v>Irrigation Hardware</v>
          </cell>
          <cell r="D35" t="str">
            <v>Agriculture</v>
          </cell>
          <cell r="E35" t="str">
            <v>Irrigation</v>
          </cell>
          <cell r="F35">
            <v>0</v>
          </cell>
          <cell r="G35">
            <v>3.9280031500966747E-2</v>
          </cell>
          <cell r="H35">
            <v>128.54672461746318</v>
          </cell>
          <cell r="I35">
            <v>12.472075906797334</v>
          </cell>
          <cell r="J35" t="str">
            <v>Wheel and Hand_Hub gasket</v>
          </cell>
          <cell r="K35" t="str">
            <v>Oregon</v>
          </cell>
          <cell r="L35">
            <v>1.98202265648224E-2</v>
          </cell>
          <cell r="M35">
            <v>2.0114437722375436E-2</v>
          </cell>
          <cell r="N35">
            <v>2.0331536989718013E-2</v>
          </cell>
          <cell r="O35">
            <v>2.0485713707648706E-2</v>
          </cell>
          <cell r="P35">
            <v>2.0763276509289656E-2</v>
          </cell>
          <cell r="Q35">
            <v>2.0807750562538897E-2</v>
          </cell>
          <cell r="R35">
            <v>2.0839294196602711E-2</v>
          </cell>
          <cell r="S35">
            <v>2.0882274015787752E-2</v>
          </cell>
          <cell r="T35">
            <v>2.0970822091119438E-2</v>
          </cell>
          <cell r="U35">
            <v>2.1211758509753799E-2</v>
          </cell>
          <cell r="V35">
            <v>2.1307954239744756E-2</v>
          </cell>
          <cell r="W35">
            <v>2.1382007068091496E-2</v>
          </cell>
          <cell r="X35">
            <v>2.1468190253290092E-2</v>
          </cell>
          <cell r="Y35">
            <v>2.1549984861276524E-2</v>
          </cell>
          <cell r="Z35">
            <v>2.1840348660254826E-2</v>
          </cell>
          <cell r="AA35">
            <v>2.2134624811668634E-2</v>
          </cell>
          <cell r="AB35">
            <v>2.2432866030428111E-2</v>
          </cell>
          <cell r="AC35">
            <v>2.2735125741722432E-2</v>
          </cell>
          <cell r="AD35">
            <v>2.3041458090590015E-2</v>
          </cell>
          <cell r="AE35">
            <v>2.3351917951617819E-2</v>
          </cell>
          <cell r="AF35">
            <v>0.4670383590323563</v>
          </cell>
          <cell r="AG35">
            <v>0</v>
          </cell>
          <cell r="AH35">
            <v>4.6671070710410748E-4</v>
          </cell>
          <cell r="AI35">
            <v>4.3570046650497754E-2</v>
          </cell>
          <cell r="AJ35">
            <v>0.7768400624791969</v>
          </cell>
          <cell r="AK35">
            <v>2.9318278410972636</v>
          </cell>
          <cell r="AL35">
            <v>4.3249572665559901</v>
          </cell>
          <cell r="AM35">
            <v>4.3376495697590007</v>
          </cell>
          <cell r="AN35">
            <v>4.2381949774991501</v>
          </cell>
        </row>
        <row r="36">
          <cell r="A36" t="str">
            <v>RetroEven20</v>
          </cell>
          <cell r="B36" t="str">
            <v>Retro</v>
          </cell>
          <cell r="C36" t="str">
            <v>Irrigation Hardware</v>
          </cell>
          <cell r="D36" t="str">
            <v>Agriculture</v>
          </cell>
          <cell r="E36" t="str">
            <v>Irrigation</v>
          </cell>
          <cell r="F36">
            <v>0</v>
          </cell>
          <cell r="G36">
            <v>3.3562442378605095E-3</v>
          </cell>
          <cell r="H36">
            <v>10.983550351342876</v>
          </cell>
          <cell r="I36">
            <v>159.63755793089663</v>
          </cell>
          <cell r="J36" t="str">
            <v>Wheel and Hand_Levelers</v>
          </cell>
          <cell r="K36" t="str">
            <v>Oregon</v>
          </cell>
          <cell r="L36">
            <v>6.7740802295067183E-3</v>
          </cell>
          <cell r="M36">
            <v>6.8746345788307352E-3</v>
          </cell>
          <cell r="N36">
            <v>6.9488339251366892E-3</v>
          </cell>
          <cell r="O36">
            <v>7.0015278463372776E-3</v>
          </cell>
          <cell r="P36">
            <v>7.0963921850920909E-3</v>
          </cell>
          <cell r="Q36">
            <v>7.1115923546691828E-3</v>
          </cell>
          <cell r="R36">
            <v>7.1223732156840483E-3</v>
          </cell>
          <cell r="S36">
            <v>7.1370626917330203E-3</v>
          </cell>
          <cell r="T36">
            <v>7.1673263097851905E-3</v>
          </cell>
          <cell r="U36">
            <v>7.2496726252877543E-3</v>
          </cell>
          <cell r="V36">
            <v>7.2825500291137648E-3</v>
          </cell>
          <cell r="W36">
            <v>7.3078595178222875E-3</v>
          </cell>
          <cell r="X36">
            <v>7.3373148728890095E-3</v>
          </cell>
          <cell r="Y36">
            <v>7.365270317042435E-3</v>
          </cell>
          <cell r="Z36">
            <v>7.4645097310617669E-3</v>
          </cell>
          <cell r="AA36">
            <v>7.5650862937356594E-3</v>
          </cell>
          <cell r="AB36">
            <v>7.6670180217618313E-3</v>
          </cell>
          <cell r="AC36">
            <v>7.7703231745944066E-3</v>
          </cell>
          <cell r="AD36">
            <v>7.8750202577148026E-3</v>
          </cell>
          <cell r="AE36">
            <v>7.9811280259466967E-3</v>
          </cell>
          <cell r="AF36">
            <v>0.15962256051893392</v>
          </cell>
          <cell r="AG36">
            <v>0</v>
          </cell>
          <cell r="AH36">
            <v>3.9877644228147145E-5</v>
          </cell>
          <cell r="AI36">
            <v>3.7228004262279597E-3</v>
          </cell>
          <cell r="AJ36">
            <v>6.6376346550812551E-2</v>
          </cell>
          <cell r="AK36">
            <v>0.25050718958409013</v>
          </cell>
          <cell r="AL36">
            <v>0.36954178370539814</v>
          </cell>
          <cell r="AM36">
            <v>0.37062626525651998</v>
          </cell>
          <cell r="AN36">
            <v>0.36212846397057463</v>
          </cell>
        </row>
        <row r="37">
          <cell r="A37" t="str">
            <v>RetroEven20</v>
          </cell>
          <cell r="B37" t="str">
            <v>Retro</v>
          </cell>
          <cell r="C37" t="str">
            <v>Irrigation Hardware</v>
          </cell>
          <cell r="D37" t="str">
            <v>Agriculture</v>
          </cell>
          <cell r="E37" t="str">
            <v>Irrigation</v>
          </cell>
          <cell r="F37">
            <v>0</v>
          </cell>
          <cell r="G37">
            <v>6.9870153310940524E-3</v>
          </cell>
          <cell r="H37">
            <v>22.865509556478727</v>
          </cell>
          <cell r="I37">
            <v>15.511673981124044</v>
          </cell>
          <cell r="J37" t="str">
            <v>Pivot and Linear_Base boot gasket</v>
          </cell>
          <cell r="K37" t="str">
            <v>Oregon</v>
          </cell>
          <cell r="L37">
            <v>1.6034039213128869E-2</v>
          </cell>
          <cell r="M37">
            <v>1.6272048260185776E-2</v>
          </cell>
          <cell r="N37">
            <v>1.6447675827021491E-2</v>
          </cell>
          <cell r="O37">
            <v>1.6572400715153694E-2</v>
          </cell>
          <cell r="P37">
            <v>1.679694168248631E-2</v>
          </cell>
          <cell r="Q37">
            <v>1.6832920015601369E-2</v>
          </cell>
          <cell r="R37">
            <v>1.6858437981495937E-2</v>
          </cell>
          <cell r="S37">
            <v>1.689320751876295E-2</v>
          </cell>
          <cell r="T37">
            <v>1.696484057035658E-2</v>
          </cell>
          <cell r="U37">
            <v>1.7159751762295762E-2</v>
          </cell>
          <cell r="V37">
            <v>1.7237571564292779E-2</v>
          </cell>
          <cell r="W37">
            <v>1.72974783443526E-2</v>
          </cell>
          <cell r="X37">
            <v>1.7367198262359957E-2</v>
          </cell>
          <cell r="Y37">
            <v>1.743336793744352E-2</v>
          </cell>
          <cell r="Z37">
            <v>1.7668264573143657E-2</v>
          </cell>
          <cell r="AA37">
            <v>1.7906326198515388E-2</v>
          </cell>
          <cell r="AB37">
            <v>1.8147595458527184E-2</v>
          </cell>
          <cell r="AC37">
            <v>1.8392115572744429E-2</v>
          </cell>
          <cell r="AD37">
            <v>1.8639930343071546E-2</v>
          </cell>
          <cell r="AE37">
            <v>1.8891084161598386E-2</v>
          </cell>
          <cell r="AF37">
            <v>0.37782168323196769</v>
          </cell>
          <cell r="AG37">
            <v>0</v>
          </cell>
          <cell r="AH37">
            <v>8.3017114322881546E-5</v>
          </cell>
          <cell r="AI37">
            <v>7.7501104833894675E-3</v>
          </cell>
          <cell r="AJ37">
            <v>0.13818200288909196</v>
          </cell>
          <cell r="AK37">
            <v>0.52150482805419329</v>
          </cell>
          <cell r="AL37">
            <v>0.76931055228429746</v>
          </cell>
          <cell r="AM37">
            <v>0.77156822147848192</v>
          </cell>
          <cell r="AN37">
            <v>0.75387753401428825</v>
          </cell>
        </row>
        <row r="38">
          <cell r="A38" t="str">
            <v>RetroEven20</v>
          </cell>
          <cell r="B38" t="str">
            <v>Retro</v>
          </cell>
          <cell r="C38" t="str">
            <v>Irrigation Hardware</v>
          </cell>
          <cell r="D38" t="str">
            <v>Agriculture</v>
          </cell>
          <cell r="E38" t="str">
            <v>Irrigation</v>
          </cell>
          <cell r="F38">
            <v>0</v>
          </cell>
          <cell r="G38">
            <v>2.1349213511676266E-4</v>
          </cell>
          <cell r="H38">
            <v>0.69866834755907203</v>
          </cell>
          <cell r="I38">
            <v>650.14120461094467</v>
          </cell>
          <cell r="J38" t="str">
            <v>Pivot and Linear_Tower gasket</v>
          </cell>
          <cell r="K38" t="str">
            <v>Oregon</v>
          </cell>
          <cell r="L38">
            <v>4.8992897595671533E-4</v>
          </cell>
          <cell r="M38">
            <v>4.9720147461678745E-4</v>
          </cell>
          <cell r="N38">
            <v>5.0256787249232328E-4</v>
          </cell>
          <cell r="O38">
            <v>5.0637891074080713E-4</v>
          </cell>
          <cell r="P38">
            <v>5.132398847426372E-4</v>
          </cell>
          <cell r="Q38">
            <v>5.1433922269893064E-4</v>
          </cell>
          <cell r="R38">
            <v>5.1511893832348679E-4</v>
          </cell>
          <cell r="S38">
            <v>5.1618134085108997E-4</v>
          </cell>
          <cell r="T38">
            <v>5.1837012853867307E-4</v>
          </cell>
          <cell r="U38">
            <v>5.2432574829237041E-4</v>
          </cell>
          <cell r="V38">
            <v>5.2670357557561256E-4</v>
          </cell>
          <cell r="W38">
            <v>5.2853406052188502E-4</v>
          </cell>
          <cell r="X38">
            <v>5.3066439134988742E-4</v>
          </cell>
          <cell r="Y38">
            <v>5.3268624253299639E-4</v>
          </cell>
          <cell r="Z38">
            <v>5.3986363973494472E-4</v>
          </cell>
          <cell r="AA38">
            <v>5.4713774495463677E-4</v>
          </cell>
          <cell r="AB38">
            <v>5.5450986123277489E-4</v>
          </cell>
          <cell r="AC38">
            <v>5.6198130916719079E-4</v>
          </cell>
          <cell r="AD38">
            <v>5.6955342714940817E-4</v>
          </cell>
          <cell r="AE38">
            <v>5.7722757160439482E-4</v>
          </cell>
          <cell r="AF38">
            <v>1.1544551432087899E-2</v>
          </cell>
          <cell r="AG38">
            <v>0</v>
          </cell>
          <cell r="AH38">
            <v>2.536634048754713E-6</v>
          </cell>
          <cell r="AI38">
            <v>2.3680893143690032E-4</v>
          </cell>
          <cell r="AJ38">
            <v>4.222227866055586E-3</v>
          </cell>
          <cell r="AK38">
            <v>1.5934869746100346E-2</v>
          </cell>
          <cell r="AL38">
            <v>2.3506711319797969E-2</v>
          </cell>
          <cell r="AM38">
            <v>2.3575695656286939E-2</v>
          </cell>
          <cell r="AN38">
            <v>2.3035146872658802E-2</v>
          </cell>
        </row>
        <row r="39">
          <cell r="A39" t="str">
            <v>RetroEven20</v>
          </cell>
          <cell r="B39" t="str">
            <v>Retro</v>
          </cell>
          <cell r="C39" t="str">
            <v>Irrigation Hardware</v>
          </cell>
          <cell r="D39" t="str">
            <v>Agriculture</v>
          </cell>
          <cell r="E39" t="str">
            <v>Irrigation</v>
          </cell>
          <cell r="F39">
            <v>0</v>
          </cell>
          <cell r="G39">
            <v>1.9112939649593368E-2</v>
          </cell>
          <cell r="H39">
            <v>62.548467908076994</v>
          </cell>
          <cell r="I39">
            <v>10.773991238894952</v>
          </cell>
          <cell r="J39" t="str">
            <v>Wheel and Hand_Nozzle replacement</v>
          </cell>
          <cell r="K39" t="str">
            <v>Oregon</v>
          </cell>
          <cell r="L39">
            <v>3.8576628347703278E-2</v>
          </cell>
          <cell r="M39">
            <v>3.9149259263074082E-2</v>
          </cell>
          <cell r="N39">
            <v>3.9571805278047358E-2</v>
          </cell>
          <cell r="O39">
            <v>3.9871883479879681E-2</v>
          </cell>
          <cell r="P39">
            <v>4.0412111262192428E-2</v>
          </cell>
          <cell r="Q39">
            <v>4.0498672281951746E-2</v>
          </cell>
          <cell r="R39">
            <v>4.0560066486706972E-2</v>
          </cell>
          <cell r="S39">
            <v>4.0643719239400307E-2</v>
          </cell>
          <cell r="T39">
            <v>4.0816062687735938E-2</v>
          </cell>
          <cell r="U39">
            <v>4.1285003577320949E-2</v>
          </cell>
          <cell r="V39">
            <v>4.1472231857096691E-2</v>
          </cell>
          <cell r="W39">
            <v>4.1616362824918152E-2</v>
          </cell>
          <cell r="X39">
            <v>4.1784103425377694E-2</v>
          </cell>
          <cell r="Y39">
            <v>4.1943302422564686E-2</v>
          </cell>
          <cell r="Z39">
            <v>4.2508445122734086E-2</v>
          </cell>
          <cell r="AA39">
            <v>4.3081202537365824E-2</v>
          </cell>
          <cell r="AB39">
            <v>4.3661677266876246E-2</v>
          </cell>
          <cell r="AC39">
            <v>4.424997329411641E-2</v>
          </cell>
          <cell r="AD39">
            <v>4.4846196002998939E-2</v>
          </cell>
          <cell r="AE39">
            <v>4.5450452197375917E-2</v>
          </cell>
          <cell r="AF39">
            <v>0.90900904394751825</v>
          </cell>
          <cell r="AG39">
            <v>0</v>
          </cell>
          <cell r="AH39">
            <v>2.2709283159511498E-4</v>
          </cell>
          <cell r="AI39">
            <v>2.1200381983920658E-2</v>
          </cell>
          <cell r="AJ39">
            <v>0.37799606222784737</v>
          </cell>
          <cell r="AK39">
            <v>1.4265734127150707</v>
          </cell>
          <cell r="AL39">
            <v>2.1044445247127785</v>
          </cell>
          <cell r="AM39">
            <v>2.1106203656137081</v>
          </cell>
          <cell r="AN39">
            <v>2.0622275933296366</v>
          </cell>
        </row>
        <row r="40">
          <cell r="A40" t="str">
            <v>RetroEven20</v>
          </cell>
          <cell r="B40" t="str">
            <v>Retro</v>
          </cell>
          <cell r="C40" t="str">
            <v>Irrigation Hardware</v>
          </cell>
          <cell r="D40" t="str">
            <v>Agriculture</v>
          </cell>
          <cell r="E40" t="str">
            <v>Irrigation</v>
          </cell>
          <cell r="F40">
            <v>0</v>
          </cell>
          <cell r="G40">
            <v>1.1262402461834343E-2</v>
          </cell>
          <cell r="H40">
            <v>36.857021047878419</v>
          </cell>
          <cell r="I40">
            <v>36.653127775310246</v>
          </cell>
          <cell r="J40" t="str">
            <v>Pivot and Linear_Sprinkler package replacement, high pressure</v>
          </cell>
          <cell r="K40" t="str">
            <v>Oregon</v>
          </cell>
          <cell r="L40">
            <v>4.6302475936748997E-3</v>
          </cell>
          <cell r="M40">
            <v>4.6989789222415491E-3</v>
          </cell>
          <cell r="N40">
            <v>4.7496959691387649E-3</v>
          </cell>
          <cell r="O40">
            <v>4.7857135381037096E-3</v>
          </cell>
          <cell r="P40">
            <v>4.8505556068958325E-3</v>
          </cell>
          <cell r="Q40">
            <v>4.8609452902511046E-3</v>
          </cell>
          <cell r="R40">
            <v>4.8683142693716017E-3</v>
          </cell>
          <cell r="S40">
            <v>4.8783548813548855E-3</v>
          </cell>
          <cell r="T40">
            <v>4.8990407958871022E-3</v>
          </cell>
          <cell r="U40">
            <v>4.9553264931752666E-3</v>
          </cell>
          <cell r="V40">
            <v>4.9777989934696324E-3</v>
          </cell>
          <cell r="W40">
            <v>4.995098640834205E-3</v>
          </cell>
          <cell r="X40">
            <v>5.0152320880768944E-3</v>
          </cell>
          <cell r="Y40">
            <v>5.0343403099514577E-3</v>
          </cell>
          <cell r="Z40">
            <v>5.1021728484500744E-3</v>
          </cell>
          <cell r="AA40">
            <v>5.1709193603783491E-3</v>
          </cell>
          <cell r="AB40">
            <v>5.2405921605847118E-3</v>
          </cell>
          <cell r="AC40">
            <v>5.311203729847465E-3</v>
          </cell>
          <cell r="AD40">
            <v>5.3827667171105053E-3</v>
          </cell>
          <cell r="AE40">
            <v>5.4552939417491942E-3</v>
          </cell>
          <cell r="AF40">
            <v>0.10910587883498388</v>
          </cell>
          <cell r="AG40">
            <v>0</v>
          </cell>
          <cell r="AH40">
            <v>1.3381567213163718E-4</v>
          </cell>
          <cell r="AI40">
            <v>1.2492439081845596E-2</v>
          </cell>
          <cell r="AJ40">
            <v>0.22273621221260786</v>
          </cell>
          <cell r="AK40">
            <v>0.84061605435412201</v>
          </cell>
          <cell r="AL40">
            <v>1.2400552521193799</v>
          </cell>
          <cell r="AM40">
            <v>1.24369439957873</v>
          </cell>
          <cell r="AN40">
            <v>1.2151786982947201</v>
          </cell>
        </row>
        <row r="41">
          <cell r="A41" t="str">
            <v>RetroEven20</v>
          </cell>
          <cell r="B41" t="str">
            <v>Retro</v>
          </cell>
          <cell r="C41" t="str">
            <v>Irrigation Hardware</v>
          </cell>
          <cell r="D41" t="str">
            <v>Agriculture</v>
          </cell>
          <cell r="E41" t="str">
            <v>Irrigation</v>
          </cell>
          <cell r="F41">
            <v>0</v>
          </cell>
          <cell r="G41">
            <v>1.1262402461834343E-2</v>
          </cell>
          <cell r="H41">
            <v>36.857021047878419</v>
          </cell>
          <cell r="I41">
            <v>100.98728953512128</v>
          </cell>
          <cell r="J41" t="str">
            <v>Pivot and Linear_Sprinkler package replacement, MESA</v>
          </cell>
          <cell r="K41" t="str">
            <v>Oregon</v>
          </cell>
          <cell r="L41">
            <v>2.5634612631134469E-2</v>
          </cell>
          <cell r="M41">
            <v>2.6015132451680596E-2</v>
          </cell>
          <cell r="N41">
            <v>2.6295919132025988E-2</v>
          </cell>
          <cell r="O41">
            <v>2.6495324543864596E-2</v>
          </cell>
          <cell r="P41">
            <v>2.6854312110308802E-2</v>
          </cell>
          <cell r="Q41">
            <v>2.6911832902185323E-2</v>
          </cell>
          <cell r="R41">
            <v>2.695263005642367E-2</v>
          </cell>
          <cell r="S41">
            <v>2.7008218271430271E-2</v>
          </cell>
          <cell r="T41">
            <v>2.7122742472399243E-2</v>
          </cell>
          <cell r="U41">
            <v>2.7434359079819202E-2</v>
          </cell>
          <cell r="V41">
            <v>2.7558774422248418E-2</v>
          </cell>
          <cell r="W41">
            <v>2.7654551105865038E-2</v>
          </cell>
          <cell r="X41">
            <v>2.7766016661551686E-2</v>
          </cell>
          <cell r="Y41">
            <v>2.7871806223754219E-2</v>
          </cell>
          <cell r="Z41">
            <v>2.8247350039288809E-2</v>
          </cell>
          <cell r="AA41">
            <v>2.8627953920046797E-2</v>
          </cell>
          <cell r="AB41">
            <v>2.9013686045183344E-2</v>
          </cell>
          <cell r="AC41">
            <v>2.9404615512497317E-2</v>
          </cell>
          <cell r="AD41">
            <v>2.9800812350809121E-2</v>
          </cell>
          <cell r="AE41">
            <v>3.0202347532505208E-2</v>
          </cell>
          <cell r="AF41">
            <v>0.60404695065010405</v>
          </cell>
          <cell r="AG41">
            <v>0</v>
          </cell>
          <cell r="AH41">
            <v>1.3381567213163718E-4</v>
          </cell>
          <cell r="AI41">
            <v>1.2492439081845596E-2</v>
          </cell>
          <cell r="AJ41">
            <v>0.22273621221260786</v>
          </cell>
          <cell r="AK41">
            <v>0.84061605435412201</v>
          </cell>
          <cell r="AL41">
            <v>1.2400552521193799</v>
          </cell>
          <cell r="AM41">
            <v>1.24369439957873</v>
          </cell>
          <cell r="AN41">
            <v>1.2151786982947201</v>
          </cell>
        </row>
        <row r="42">
          <cell r="A42" t="str">
            <v>RetroEven20</v>
          </cell>
          <cell r="B42" t="str">
            <v>Retro</v>
          </cell>
          <cell r="C42" t="str">
            <v>Irrigation Hardware</v>
          </cell>
          <cell r="D42" t="str">
            <v>Agriculture</v>
          </cell>
          <cell r="E42" t="str">
            <v>Irrigation</v>
          </cell>
          <cell r="F42">
            <v>0</v>
          </cell>
          <cell r="G42">
            <v>1.1262402461834343E-2</v>
          </cell>
          <cell r="H42">
            <v>36.857021047878419</v>
          </cell>
          <cell r="I42">
            <v>140.08643011431926</v>
          </cell>
          <cell r="J42" t="str">
            <v>Pivot and Linear_Sprinkler package replacement, LESA/LEPA/MDI</v>
          </cell>
          <cell r="K42" t="str">
            <v>Oregon</v>
          </cell>
          <cell r="L42">
            <v>3.5506057359067235E-2</v>
          </cell>
          <cell r="M42">
            <v>3.6033108762924343E-2</v>
          </cell>
          <cell r="N42">
            <v>3.6422021524020513E-2</v>
          </cell>
          <cell r="O42">
            <v>3.6698214501551654E-2</v>
          </cell>
          <cell r="P42">
            <v>3.7195441953698859E-2</v>
          </cell>
          <cell r="Q42">
            <v>3.7275113004909773E-2</v>
          </cell>
          <cell r="R42">
            <v>3.7331620435676012E-2</v>
          </cell>
          <cell r="S42">
            <v>3.7408614708182221E-2</v>
          </cell>
          <cell r="T42">
            <v>3.7567240192683087E-2</v>
          </cell>
          <cell r="U42">
            <v>3.7998854951068493E-2</v>
          </cell>
          <cell r="V42">
            <v>3.8171180484058022E-2</v>
          </cell>
          <cell r="W42">
            <v>3.8303839107423465E-2</v>
          </cell>
          <cell r="X42">
            <v>3.8458228115391686E-2</v>
          </cell>
          <cell r="Y42">
            <v>3.8604755403227185E-2</v>
          </cell>
          <cell r="Z42">
            <v>3.9124914628844626E-2</v>
          </cell>
          <cell r="AA42">
            <v>3.9652082463043282E-2</v>
          </cell>
          <cell r="AB42">
            <v>4.0186353339588497E-2</v>
          </cell>
          <cell r="AC42">
            <v>4.0727822964643071E-2</v>
          </cell>
          <cell r="AD42">
            <v>4.1276588333911589E-2</v>
          </cell>
          <cell r="AE42">
            <v>4.1832747750015616E-2</v>
          </cell>
          <cell r="AF42">
            <v>0.83665495500031217</v>
          </cell>
          <cell r="AG42">
            <v>0</v>
          </cell>
          <cell r="AH42">
            <v>1.3381567213163718E-4</v>
          </cell>
          <cell r="AI42">
            <v>1.2492439081845596E-2</v>
          </cell>
          <cell r="AJ42">
            <v>0.22273621221260786</v>
          </cell>
          <cell r="AK42">
            <v>0.84061605435412201</v>
          </cell>
          <cell r="AL42">
            <v>1.2400552521193799</v>
          </cell>
          <cell r="AM42">
            <v>1.24369439957873</v>
          </cell>
          <cell r="AN42">
            <v>1.2151786982947201</v>
          </cell>
        </row>
        <row r="43">
          <cell r="A43" t="str">
            <v>Retro5Med</v>
          </cell>
          <cell r="B43" t="str">
            <v>Retro</v>
          </cell>
          <cell r="C43" t="str">
            <v>Irrigation Hardware</v>
          </cell>
          <cell r="D43" t="str">
            <v>Agriculture</v>
          </cell>
          <cell r="E43" t="str">
            <v>Irrigation</v>
          </cell>
          <cell r="F43">
            <v>0</v>
          </cell>
          <cell r="G43">
            <v>1.6304210302100428E-2</v>
          </cell>
          <cell r="H43">
            <v>53.356699364096173</v>
          </cell>
          <cell r="I43">
            <v>80.46438200019486</v>
          </cell>
          <cell r="J43" t="str">
            <v>Pivot and Linear_Upgrade from high pressure to MESA</v>
          </cell>
          <cell r="K43" t="str">
            <v>Oregon</v>
          </cell>
          <cell r="L43">
            <v>5.764629391069186E-3</v>
          </cell>
          <cell r="M43">
            <v>7.1831119444404502E-3</v>
          </cell>
          <cell r="N43">
            <v>8.8848995070702538E-3</v>
          </cell>
          <cell r="O43">
            <v>1.0392180562975119E-2</v>
          </cell>
          <cell r="P43">
            <v>1.201420340278125E-2</v>
          </cell>
          <cell r="Q43">
            <v>1.4076133955621158E-2</v>
          </cell>
          <cell r="R43">
            <v>1.5465146539248182E-2</v>
          </cell>
          <cell r="S43">
            <v>1.5831323572247685E-2</v>
          </cell>
          <cell r="T43">
            <v>1.498238478288315E-2</v>
          </cell>
          <cell r="U43">
            <v>1.3026592962353513E-2</v>
          </cell>
          <cell r="V43">
            <v>1.0126243005738183E-2</v>
          </cell>
          <cell r="W43">
            <v>6.7250534924648787E-3</v>
          </cell>
          <cell r="X43">
            <v>3.9206088963407671E-3</v>
          </cell>
          <cell r="Y43">
            <v>1.8948927895469222E-3</v>
          </cell>
          <cell r="Z43">
            <v>8.1248729425864108E-4</v>
          </cell>
          <cell r="AA43">
            <v>2.9943080792046122E-4</v>
          </cell>
          <cell r="AB43">
            <v>9.4788915801221113E-5</v>
          </cell>
          <cell r="AC43">
            <v>2.0938047545134776E-5</v>
          </cell>
          <cell r="AD43">
            <v>3.4880019234757985E-6</v>
          </cell>
          <cell r="AE43">
            <v>4.2432025199463494E-7</v>
          </cell>
          <cell r="AF43">
            <v>0.15794899887029368</v>
          </cell>
          <cell r="AG43">
            <v>0</v>
          </cell>
          <cell r="AH43">
            <v>1.9372055540943457E-4</v>
          </cell>
          <cell r="AI43">
            <v>1.8084893935091634E-2</v>
          </cell>
          <cell r="AJ43">
            <v>0.32244790204523988</v>
          </cell>
          <cell r="AK43">
            <v>1.2169322646705718</v>
          </cell>
          <cell r="AL43">
            <v>1.7951872777849169</v>
          </cell>
          <cell r="AM43">
            <v>1.8004555520895038</v>
          </cell>
          <cell r="AN43">
            <v>1.7591743075040878</v>
          </cell>
        </row>
        <row r="44">
          <cell r="A44" t="str">
            <v>Retro1Slow</v>
          </cell>
          <cell r="B44" t="str">
            <v>Retro</v>
          </cell>
          <cell r="C44" t="str">
            <v>Irrigation Hardware</v>
          </cell>
          <cell r="D44" t="str">
            <v>Agriculture</v>
          </cell>
          <cell r="E44" t="str">
            <v>Irrigation</v>
          </cell>
          <cell r="F44">
            <v>0</v>
          </cell>
          <cell r="G44">
            <v>2.7717157513570689E-2</v>
          </cell>
          <cell r="H44">
            <v>90.70638891896337</v>
          </cell>
          <cell r="I44">
            <v>58.151356931940796</v>
          </cell>
          <cell r="J44" t="str">
            <v>Pivot and Linear_Upgrade from MESA to LESA/LEPA/MDI</v>
          </cell>
          <cell r="K44" t="str">
            <v>Oregon</v>
          </cell>
          <cell r="L44">
            <v>1.3006627917555432E-3</v>
          </cell>
          <cell r="M44">
            <v>2.6543048600813531E-3</v>
          </cell>
          <cell r="N44">
            <v>4.7982093186791606E-3</v>
          </cell>
          <cell r="O44">
            <v>7.9297648203967754E-3</v>
          </cell>
          <cell r="P44">
            <v>1.2312139419275163E-2</v>
          </cell>
          <cell r="Q44">
            <v>1.7866452407682781E-2</v>
          </cell>
          <cell r="R44">
            <v>2.4631951799960822E-2</v>
          </cell>
          <cell r="S44">
            <v>3.2383517482085206E-2</v>
          </cell>
          <cell r="T44">
            <v>4.0667013494748244E-2</v>
          </cell>
          <cell r="U44">
            <v>4.8931364702178903E-2</v>
          </cell>
          <cell r="V44">
            <v>5.5532974146054612E-2</v>
          </cell>
          <cell r="W44">
            <v>5.9550949541047539E-2</v>
          </cell>
          <cell r="X44">
            <v>6.0185901184695398E-2</v>
          </cell>
          <cell r="Y44">
            <v>5.7006970800105958E-2</v>
          </cell>
          <cell r="Z44">
            <v>5.0758801827805844E-2</v>
          </cell>
          <cell r="AA44">
            <v>4.2495348354119569E-2</v>
          </cell>
          <cell r="AB44">
            <v>3.2893488369106598E-2</v>
          </cell>
          <cell r="AC44">
            <v>2.3049823929932878E-2</v>
          </cell>
          <cell r="AD44">
            <v>1.4905721106330327E-2</v>
          </cell>
          <cell r="AE44">
            <v>9.839708237041684E-3</v>
          </cell>
          <cell r="AF44">
            <v>0.59463207902567161</v>
          </cell>
          <cell r="AG44">
            <v>0</v>
          </cell>
          <cell r="AH44">
            <v>3.2932494419603834E-4</v>
          </cell>
          <cell r="AI44">
            <v>3.0744319689655731E-2</v>
          </cell>
          <cell r="AJ44">
            <v>0.54816143347690705</v>
          </cell>
          <cell r="AK44">
            <v>2.068784849939969</v>
          </cell>
          <cell r="AL44">
            <v>3.0518183722343544</v>
          </cell>
          <cell r="AM44">
            <v>3.0607744385521523</v>
          </cell>
          <cell r="AN44">
            <v>2.9905963227569452</v>
          </cell>
        </row>
        <row r="45">
          <cell r="A45" t="str">
            <v>RetroEven20</v>
          </cell>
          <cell r="B45" t="str">
            <v>Retro</v>
          </cell>
          <cell r="C45" t="str">
            <v>Irrigation Hardware</v>
          </cell>
          <cell r="D45" t="str">
            <v>Agriculture</v>
          </cell>
          <cell r="E45" t="str">
            <v>Irrigation</v>
          </cell>
          <cell r="F45">
            <v>0</v>
          </cell>
          <cell r="G45">
            <v>8.139814516738965E-4</v>
          </cell>
          <cell r="H45">
            <v>2.6638127698413903</v>
          </cell>
          <cell r="I45">
            <v>1629.9618610322404</v>
          </cell>
          <cell r="J45" t="str">
            <v>Wheel and Hand_Rebuilt or new impact sprinkler</v>
          </cell>
          <cell r="K45" t="str">
            <v>Montana</v>
          </cell>
          <cell r="L45">
            <v>1.8342056855248255E-4</v>
          </cell>
          <cell r="M45">
            <v>1.8071876996506199E-4</v>
          </cell>
          <cell r="N45">
            <v>1.7942614475853136E-4</v>
          </cell>
          <cell r="O45">
            <v>1.7781819455062151E-4</v>
          </cell>
          <cell r="P45">
            <v>1.756576770101266E-4</v>
          </cell>
          <cell r="Q45">
            <v>1.7382100676834552E-4</v>
          </cell>
          <cell r="R45">
            <v>1.7168536512277322E-4</v>
          </cell>
          <cell r="S45">
            <v>1.6951379162897942E-4</v>
          </cell>
          <cell r="T45">
            <v>1.679749411291877E-4</v>
          </cell>
          <cell r="U45">
            <v>1.663464913412028E-4</v>
          </cell>
          <cell r="V45">
            <v>1.6468210970499637E-4</v>
          </cell>
          <cell r="W45">
            <v>1.6304605894911842E-4</v>
          </cell>
          <cell r="X45">
            <v>1.624174819376035E-4</v>
          </cell>
          <cell r="Y45">
            <v>1.6184234203369991E-4</v>
          </cell>
          <cell r="Z45">
            <v>1.619568172168157E-4</v>
          </cell>
          <cell r="AA45">
            <v>1.6207137337112467E-4</v>
          </cell>
          <cell r="AB45">
            <v>1.6218601055389991E-4</v>
          </cell>
          <cell r="AC45">
            <v>1.6230072882245479E-4</v>
          </cell>
          <cell r="AD45">
            <v>1.6241552823414339E-4</v>
          </cell>
          <cell r="AE45">
            <v>1.6253040884636028E-4</v>
          </cell>
          <cell r="AF45">
            <v>3.2506081769272054E-3</v>
          </cell>
          <cell r="AG45">
            <v>0</v>
          </cell>
          <cell r="AH45">
            <v>9.6714244964646291E-6</v>
          </cell>
          <cell r="AI45">
            <v>9.0288139970556532E-4</v>
          </cell>
          <cell r="AJ45">
            <v>1.6098087949845314E-2</v>
          </cell>
          <cell r="AK45">
            <v>6.0754876993812032E-2</v>
          </cell>
          <cell r="AL45">
            <v>8.9624036940300522E-2</v>
          </cell>
          <cell r="AM45">
            <v>8.9887053516191445E-2</v>
          </cell>
          <cell r="AN45">
            <v>8.7826103198946501E-2</v>
          </cell>
        </row>
        <row r="46">
          <cell r="A46" t="str">
            <v>RetroEven20</v>
          </cell>
          <cell r="B46" t="str">
            <v>Retro</v>
          </cell>
          <cell r="C46" t="str">
            <v>Irrigation Hardware</v>
          </cell>
          <cell r="D46" t="str">
            <v>Agriculture</v>
          </cell>
          <cell r="E46" t="str">
            <v>Irrigation</v>
          </cell>
          <cell r="F46">
            <v>0</v>
          </cell>
          <cell r="G46">
            <v>3.9880527666807603E-3</v>
          </cell>
          <cell r="H46">
            <v>13.051189145451847</v>
          </cell>
          <cell r="I46">
            <v>70.951891650679499</v>
          </cell>
          <cell r="J46" t="str">
            <v>Wheel and Hand_Gaskets</v>
          </cell>
          <cell r="K46" t="str">
            <v>Montana</v>
          </cell>
          <cell r="L46">
            <v>8.9865795390991479E-4</v>
          </cell>
          <cell r="M46">
            <v>8.8542065555450536E-4</v>
          </cell>
          <cell r="N46">
            <v>8.7908751673348572E-4</v>
          </cell>
          <cell r="O46">
            <v>8.7120946218795193E-4</v>
          </cell>
          <cell r="P46">
            <v>8.6062413750135833E-4</v>
          </cell>
          <cell r="Q46">
            <v>8.5162548301832017E-4</v>
          </cell>
          <cell r="R46">
            <v>8.4116203627054896E-4</v>
          </cell>
          <cell r="S46">
            <v>8.3052254361114556E-4</v>
          </cell>
          <cell r="T46">
            <v>8.2298303889567315E-4</v>
          </cell>
          <cell r="U46">
            <v>8.1500454790055428E-4</v>
          </cell>
          <cell r="V46">
            <v>8.0685001099380311E-4</v>
          </cell>
          <cell r="W46">
            <v>7.9883427951737735E-4</v>
          </cell>
          <cell r="X46">
            <v>7.9575460456325034E-4</v>
          </cell>
          <cell r="Y46">
            <v>7.9293674147770416E-4</v>
          </cell>
          <cell r="Z46">
            <v>7.9349760569617301E-4</v>
          </cell>
          <cell r="AA46">
            <v>7.9405886662809334E-4</v>
          </cell>
          <cell r="AB46">
            <v>7.9462052455407065E-4</v>
          </cell>
          <cell r="AC46">
            <v>7.9518257975490876E-4</v>
          </cell>
          <cell r="AD46">
            <v>7.9574503251161042E-4</v>
          </cell>
          <cell r="AE46">
            <v>7.9630788310537692E-4</v>
          </cell>
          <cell r="AF46">
            <v>1.5926157662107539E-2</v>
          </cell>
          <cell r="AG46">
            <v>0</v>
          </cell>
          <cell r="AH46">
            <v>4.7384557893245597E-5</v>
          </cell>
          <cell r="AI46">
            <v>4.4236126716102773E-3</v>
          </cell>
          <cell r="AJ46">
            <v>7.8871605802107531E-2</v>
          </cell>
          <cell r="AK46">
            <v>0.29766483595696341</v>
          </cell>
          <cell r="AL46">
            <v>0.43910753463220026</v>
          </cell>
          <cell r="AM46">
            <v>0.44039616839775803</v>
          </cell>
          <cell r="AN46">
            <v>0.43029866728421534</v>
          </cell>
        </row>
        <row r="47">
          <cell r="A47" t="str">
            <v>RetroEven20</v>
          </cell>
          <cell r="B47" t="str">
            <v>Retro</v>
          </cell>
          <cell r="C47" t="str">
            <v>Irrigation Hardware</v>
          </cell>
          <cell r="D47" t="str">
            <v>Agriculture</v>
          </cell>
          <cell r="E47" t="str">
            <v>Irrigation</v>
          </cell>
          <cell r="F47">
            <v>0</v>
          </cell>
          <cell r="G47">
            <v>2.5929342847415804E-3</v>
          </cell>
          <cell r="H47">
            <v>8.4855637003155504</v>
          </cell>
          <cell r="I47">
            <v>160.85540857904277</v>
          </cell>
          <cell r="J47" t="str">
            <v>Wheel and Hand_Drains</v>
          </cell>
          <cell r="K47" t="str">
            <v>Montana</v>
          </cell>
          <cell r="L47">
            <v>5.8428540324658752E-4</v>
          </cell>
          <cell r="M47">
            <v>5.7567883589375324E-4</v>
          </cell>
          <cell r="N47">
            <v>5.715611840622013E-4</v>
          </cell>
          <cell r="O47">
            <v>5.6643906584479843E-4</v>
          </cell>
          <cell r="P47">
            <v>5.59556746853359E-4</v>
          </cell>
          <cell r="Q47">
            <v>5.5370604198792838E-4</v>
          </cell>
          <cell r="R47">
            <v>5.4690296504884242E-4</v>
          </cell>
          <cell r="S47">
            <v>5.3998542736746801E-4</v>
          </cell>
          <cell r="T47">
            <v>5.3508342596215812E-4</v>
          </cell>
          <cell r="U47">
            <v>5.2989600642383442E-4</v>
          </cell>
          <cell r="V47">
            <v>5.2459412614322225E-4</v>
          </cell>
          <cell r="W47">
            <v>5.1938249375556821E-4</v>
          </cell>
          <cell r="X47">
            <v>5.1738016448822947E-4</v>
          </cell>
          <cell r="Y47">
            <v>5.1554805888890916E-4</v>
          </cell>
          <cell r="Z47">
            <v>5.1591271907427657E-4</v>
          </cell>
          <cell r="AA47">
            <v>5.1627763719301893E-4</v>
          </cell>
          <cell r="AB47">
            <v>5.1664281342757897E-4</v>
          </cell>
          <cell r="AC47">
            <v>5.1700824796052864E-4</v>
          </cell>
          <cell r="AD47">
            <v>5.1737394097456889E-4</v>
          </cell>
          <cell r="AE47">
            <v>5.1773989265253015E-4</v>
          </cell>
          <cell r="AF47">
            <v>1.0354797853050603E-2</v>
          </cell>
          <cell r="AG47">
            <v>0</v>
          </cell>
          <cell r="AH47">
            <v>3.0808279608341004E-5</v>
          </cell>
          <cell r="AI47">
            <v>2.876124672789155E-3</v>
          </cell>
          <cell r="AJ47">
            <v>5.1280387382416574E-2</v>
          </cell>
          <cell r="AK47">
            <v>0.19353438975612547</v>
          </cell>
          <cell r="AL47">
            <v>0.28549697003728858</v>
          </cell>
          <cell r="AM47">
            <v>0.28633480816699097</v>
          </cell>
          <cell r="AN47">
            <v>0.27976966012124121</v>
          </cell>
        </row>
        <row r="48">
          <cell r="A48" t="str">
            <v>RetroEven20</v>
          </cell>
          <cell r="B48" t="str">
            <v>Retro</v>
          </cell>
          <cell r="C48" t="str">
            <v>Irrigation Hardware</v>
          </cell>
          <cell r="D48" t="str">
            <v>Agriculture</v>
          </cell>
          <cell r="E48" t="str">
            <v>Irrigation</v>
          </cell>
          <cell r="F48">
            <v>0</v>
          </cell>
          <cell r="G48">
            <v>1.146518061500303E-2</v>
          </cell>
          <cell r="H48">
            <v>37.520627119914572</v>
          </cell>
          <cell r="I48">
            <v>67.55996989882523</v>
          </cell>
          <cell r="J48" t="str">
            <v>Wheel and Hand_Cut and press repair</v>
          </cell>
          <cell r="K48" t="str">
            <v>Montana</v>
          </cell>
          <cell r="L48">
            <v>2.5835354634140442E-3</v>
          </cell>
          <cell r="M48">
            <v>2.5454797942996744E-3</v>
          </cell>
          <cell r="N48">
            <v>2.5272727682920143E-3</v>
          </cell>
          <cell r="O48">
            <v>2.5046242920697282E-3</v>
          </cell>
          <cell r="P48">
            <v>2.4741927339885015E-3</v>
          </cell>
          <cell r="Q48">
            <v>2.4483226653168903E-3</v>
          </cell>
          <cell r="R48">
            <v>2.4182414919129308E-3</v>
          </cell>
          <cell r="S48">
            <v>2.3876542073084728E-3</v>
          </cell>
          <cell r="T48">
            <v>2.365979021856375E-3</v>
          </cell>
          <cell r="U48">
            <v>2.3430418027055996E-3</v>
          </cell>
          <cell r="V48">
            <v>2.3195984723543253E-3</v>
          </cell>
          <cell r="W48">
            <v>2.2965541912188287E-3</v>
          </cell>
          <cell r="X48">
            <v>2.287700489512681E-3</v>
          </cell>
          <cell r="Y48">
            <v>2.2795994660021464E-3</v>
          </cell>
          <cell r="Z48">
            <v>2.2812118843780916E-3</v>
          </cell>
          <cell r="AA48">
            <v>2.2828254432583485E-3</v>
          </cell>
          <cell r="AB48">
            <v>2.284440143449625E-3</v>
          </cell>
          <cell r="AC48">
            <v>2.2860559857591977E-3</v>
          </cell>
          <cell r="AD48">
            <v>2.2876729709949161E-3</v>
          </cell>
          <cell r="AE48">
            <v>2.2892910999652025E-3</v>
          </cell>
          <cell r="AF48">
            <v>4.5785821999304047E-2</v>
          </cell>
          <cell r="AG48">
            <v>0</v>
          </cell>
          <cell r="AH48">
            <v>1.3622500663658263E-4</v>
          </cell>
          <cell r="AI48">
            <v>1.2717363891110171E-2</v>
          </cell>
          <cell r="AJ48">
            <v>0.22674654996330701</v>
          </cell>
          <cell r="AK48">
            <v>0.8557512416823605</v>
          </cell>
          <cell r="AL48">
            <v>1.2623822924381773</v>
          </cell>
          <cell r="AM48">
            <v>1.2660869622941402</v>
          </cell>
          <cell r="AN48">
            <v>1.2370578393612166</v>
          </cell>
        </row>
        <row r="49">
          <cell r="A49" t="str">
            <v>RetroEven20</v>
          </cell>
          <cell r="B49" t="str">
            <v>Retro</v>
          </cell>
          <cell r="C49" t="str">
            <v>Irrigation Hardware</v>
          </cell>
          <cell r="D49" t="str">
            <v>Agriculture</v>
          </cell>
          <cell r="E49" t="str">
            <v>Irrigation</v>
          </cell>
          <cell r="F49">
            <v>0</v>
          </cell>
          <cell r="G49">
            <v>1.3122198619052469E-2</v>
          </cell>
          <cell r="H49">
            <v>42.943337563705313</v>
          </cell>
          <cell r="I49">
            <v>43.19336748223941</v>
          </cell>
          <cell r="J49" t="str">
            <v>Wheel and Hand_Hub gasket</v>
          </cell>
          <cell r="K49" t="str">
            <v>Montana</v>
          </cell>
          <cell r="L49">
            <v>7.3923095127524728E-4</v>
          </cell>
          <cell r="M49">
            <v>7.2834202450059522E-4</v>
          </cell>
          <cell r="N49">
            <v>7.2313242031821277E-4</v>
          </cell>
          <cell r="O49">
            <v>7.1665197719682791E-4</v>
          </cell>
          <cell r="P49">
            <v>7.079445489661171E-4</v>
          </cell>
          <cell r="Q49">
            <v>7.0054230667276028E-4</v>
          </cell>
          <cell r="R49">
            <v>6.9193513454534564E-4</v>
          </cell>
          <cell r="S49">
            <v>6.8318314804650341E-4</v>
          </cell>
          <cell r="T49">
            <v>6.7698119410094073E-4</v>
          </cell>
          <cell r="U49">
            <v>6.7041813252406192E-4</v>
          </cell>
          <cell r="V49">
            <v>6.6371025657575519E-4</v>
          </cell>
          <cell r="W49">
            <v>6.5711656118953583E-4</v>
          </cell>
          <cell r="X49">
            <v>6.5458323798680586E-4</v>
          </cell>
          <cell r="Y49">
            <v>6.5226527974671165E-4</v>
          </cell>
          <cell r="Z49">
            <v>6.5272664348132396E-4</v>
          </cell>
          <cell r="AA49">
            <v>6.5318833355017822E-4</v>
          </cell>
          <cell r="AB49">
            <v>6.5365035018409893E-4</v>
          </cell>
          <cell r="AC49">
            <v>6.5411269361407361E-4</v>
          </cell>
          <cell r="AD49">
            <v>6.5457536407125363E-4</v>
          </cell>
          <cell r="AE49">
            <v>6.5503836178695352E-4</v>
          </cell>
          <cell r="AF49">
            <v>1.3100767235739072E-2</v>
          </cell>
          <cell r="AG49">
            <v>0</v>
          </cell>
          <cell r="AH49">
            <v>1.559130775164422E-4</v>
          </cell>
          <cell r="AI49">
            <v>1.4555355078448497E-2</v>
          </cell>
          <cell r="AJ49">
            <v>0.25951734776073848</v>
          </cell>
          <cell r="AK49">
            <v>0.97942964345125927</v>
          </cell>
          <cell r="AL49">
            <v>1.4448294999270854</v>
          </cell>
          <cell r="AM49">
            <v>1.4490695913220997</v>
          </cell>
          <cell r="AN49">
            <v>1.415845002050105</v>
          </cell>
        </row>
        <row r="50">
          <cell r="A50" t="str">
            <v>RetroEven20</v>
          </cell>
          <cell r="B50" t="str">
            <v>Retro</v>
          </cell>
          <cell r="C50" t="str">
            <v>Irrigation Hardware</v>
          </cell>
          <cell r="D50" t="str">
            <v>Agriculture</v>
          </cell>
          <cell r="E50" t="str">
            <v>Irrigation</v>
          </cell>
          <cell r="F50">
            <v>0</v>
          </cell>
          <cell r="G50">
            <v>1.1212135484711117E-3</v>
          </cell>
          <cell r="H50">
            <v>3.6692518754506973</v>
          </cell>
          <cell r="I50">
            <v>483.71899413816243</v>
          </cell>
          <cell r="J50" t="str">
            <v>Wheel and Hand_Levelers</v>
          </cell>
          <cell r="K50" t="str">
            <v>Montana</v>
          </cell>
          <cell r="L50">
            <v>2.5265148991590077E-4</v>
          </cell>
          <cell r="M50">
            <v>2.4892991471879219E-4</v>
          </cell>
          <cell r="N50">
            <v>2.4714939638919507E-4</v>
          </cell>
          <cell r="O50">
            <v>2.4493453565168315E-4</v>
          </cell>
          <cell r="P50">
            <v>2.4195854457334737E-4</v>
          </cell>
          <cell r="Q50">
            <v>2.3942863488692412E-4</v>
          </cell>
          <cell r="R50">
            <v>2.3648690895106811E-4</v>
          </cell>
          <cell r="S50">
            <v>2.3349568892051906E-4</v>
          </cell>
          <cell r="T50">
            <v>2.3137600913433976E-4</v>
          </cell>
          <cell r="U50">
            <v>2.2913291138126581E-4</v>
          </cell>
          <cell r="V50">
            <v>2.268403195334988E-4</v>
          </cell>
          <cell r="W50">
            <v>2.2458675187577817E-4</v>
          </cell>
          <cell r="X50">
            <v>2.2372092248848844E-4</v>
          </cell>
          <cell r="Y50">
            <v>2.2292869970356265E-4</v>
          </cell>
          <cell r="Z50">
            <v>2.2308638281293711E-4</v>
          </cell>
          <cell r="AA50">
            <v>2.2324417745556426E-4</v>
          </cell>
          <cell r="AB50">
            <v>2.2340208371033436E-4</v>
          </cell>
          <cell r="AC50">
            <v>2.235601016561934E-4</v>
          </cell>
          <cell r="AD50">
            <v>2.237182313721434E-4</v>
          </cell>
          <cell r="AE50">
            <v>2.2387647293724215E-4</v>
          </cell>
          <cell r="AF50">
            <v>4.4775294587448434E-3</v>
          </cell>
          <cell r="AG50">
            <v>0</v>
          </cell>
          <cell r="AH50">
            <v>1.3321841862799401E-5</v>
          </cell>
          <cell r="AI50">
            <v>1.2436682137297712E-3</v>
          </cell>
          <cell r="AJ50">
            <v>2.2174208363997455E-2</v>
          </cell>
          <cell r="AK50">
            <v>8.3686417032077937E-2</v>
          </cell>
          <cell r="AL50">
            <v>0.12345205689821846</v>
          </cell>
          <cell r="AM50">
            <v>0.12381434739974641</v>
          </cell>
          <cell r="AN50">
            <v>0.12097550455674436</v>
          </cell>
        </row>
        <row r="51">
          <cell r="A51" t="str">
            <v>RetroEven20</v>
          </cell>
          <cell r="B51" t="str">
            <v>Retro</v>
          </cell>
          <cell r="C51" t="str">
            <v>Irrigation Hardware</v>
          </cell>
          <cell r="D51" t="str">
            <v>Agriculture</v>
          </cell>
          <cell r="E51" t="str">
            <v>Irrigation</v>
          </cell>
          <cell r="F51">
            <v>0</v>
          </cell>
          <cell r="G51">
            <v>2.3341377138845799E-3</v>
          </cell>
          <cell r="H51">
            <v>7.6386333325260072</v>
          </cell>
          <cell r="I51">
            <v>52.292110122552494</v>
          </cell>
          <cell r="J51" t="str">
            <v>Pivot and Linear_Base boot gasket</v>
          </cell>
          <cell r="K51" t="str">
            <v>Montana</v>
          </cell>
          <cell r="L51">
            <v>1.5827560873447053E-3</v>
          </cell>
          <cell r="M51">
            <v>1.5594419727131415E-3</v>
          </cell>
          <cell r="N51">
            <v>1.5482877688501975E-3</v>
          </cell>
          <cell r="O51">
            <v>1.5344125911653764E-3</v>
          </cell>
          <cell r="P51">
            <v>1.5157692497123443E-3</v>
          </cell>
          <cell r="Q51">
            <v>1.4999204219142122E-3</v>
          </cell>
          <cell r="R51">
            <v>1.4814917372710866E-3</v>
          </cell>
          <cell r="S51">
            <v>1.4627529927914286E-3</v>
          </cell>
          <cell r="T51">
            <v>1.4494740840230161E-3</v>
          </cell>
          <cell r="U51">
            <v>1.4354220132263276E-3</v>
          </cell>
          <cell r="V51">
            <v>1.4210598825931064E-3</v>
          </cell>
          <cell r="W51">
            <v>1.4069422222156129E-3</v>
          </cell>
          <cell r="X51">
            <v>1.4015181626393523E-3</v>
          </cell>
          <cell r="Y51">
            <v>1.3965552176917809E-3</v>
          </cell>
          <cell r="Z51">
            <v>1.3975430365299642E-3</v>
          </cell>
          <cell r="AA51">
            <v>1.398531554077403E-3</v>
          </cell>
          <cell r="AB51">
            <v>1.3995207708283131E-3</v>
          </cell>
          <cell r="AC51">
            <v>1.4005106872772575E-3</v>
          </cell>
          <cell r="AD51">
            <v>1.4015013039191514E-3</v>
          </cell>
          <cell r="AE51">
            <v>1.402492621249259E-3</v>
          </cell>
          <cell r="AF51">
            <v>2.8049852424985176E-2</v>
          </cell>
          <cell r="AG51">
            <v>0</v>
          </cell>
          <cell r="AH51">
            <v>2.7733355124692962E-5</v>
          </cell>
          <cell r="AI51">
            <v>2.5890633280203543E-3</v>
          </cell>
          <cell r="AJ51">
            <v>4.6162174983095917E-2</v>
          </cell>
          <cell r="AK51">
            <v>0.17421803580665421</v>
          </cell>
          <cell r="AL51">
            <v>0.25700197991335733</v>
          </cell>
          <cell r="AM51">
            <v>0.25775619477648637</v>
          </cell>
          <cell r="AN51">
            <v>0.25184630352278364</v>
          </cell>
        </row>
        <row r="52">
          <cell r="A52" t="str">
            <v>RetroEven20</v>
          </cell>
          <cell r="B52" t="str">
            <v>Retro</v>
          </cell>
          <cell r="C52" t="str">
            <v>Irrigation Hardware</v>
          </cell>
          <cell r="D52" t="str">
            <v>Agriculture</v>
          </cell>
          <cell r="E52" t="str">
            <v>Irrigation</v>
          </cell>
          <cell r="F52">
            <v>0</v>
          </cell>
          <cell r="G52">
            <v>7.1320874590917688E-5</v>
          </cell>
          <cell r="H52">
            <v>0.23340268516051679</v>
          </cell>
          <cell r="I52">
            <v>1951.9941858394279</v>
          </cell>
          <cell r="J52" t="str">
            <v>Pivot and Linear_Tower gasket</v>
          </cell>
          <cell r="K52" t="str">
            <v>Montana</v>
          </cell>
          <cell r="L52">
            <v>4.8361991557754862E-5</v>
          </cell>
          <cell r="M52">
            <v>4.7649615832901524E-5</v>
          </cell>
          <cell r="N52">
            <v>4.7308792937089343E-5</v>
          </cell>
          <cell r="O52">
            <v>4.6884829174497591E-5</v>
          </cell>
          <cell r="P52">
            <v>4.6315171518988268E-5</v>
          </cell>
          <cell r="Q52">
            <v>4.5830901780712014E-5</v>
          </cell>
          <cell r="R52">
            <v>4.5267803083283188E-5</v>
          </cell>
          <cell r="S52">
            <v>4.4695230335293642E-5</v>
          </cell>
          <cell r="T52">
            <v>4.4289485900703254E-5</v>
          </cell>
          <cell r="U52">
            <v>4.3860117070804436E-5</v>
          </cell>
          <cell r="V52">
            <v>4.3421274190344904E-5</v>
          </cell>
          <cell r="W52">
            <v>4.2989901234365928E-5</v>
          </cell>
          <cell r="X52">
            <v>4.2824166080646857E-5</v>
          </cell>
          <cell r="Y52">
            <v>4.2672520540582176E-5</v>
          </cell>
          <cell r="Z52">
            <v>4.2702703893971104E-5</v>
          </cell>
          <cell r="AA52">
            <v>4.2732908596809515E-5</v>
          </cell>
          <cell r="AB52">
            <v>4.2763134664198443E-5</v>
          </cell>
          <cell r="AC52">
            <v>4.2793382111249517E-5</v>
          </cell>
          <cell r="AD52">
            <v>4.282365095308517E-5</v>
          </cell>
          <cell r="AE52">
            <v>4.2853941204838451E-5</v>
          </cell>
          <cell r="AF52">
            <v>8.5707882409676896E-4</v>
          </cell>
          <cell r="AG52">
            <v>0</v>
          </cell>
          <cell r="AH52">
            <v>8.4740807325450681E-7</v>
          </cell>
          <cell r="AI52">
            <v>7.9110268356177469E-5</v>
          </cell>
          <cell r="AJ52">
            <v>1.4105109022612636E-3</v>
          </cell>
          <cell r="AK52">
            <v>5.3233288718699881E-3</v>
          </cell>
          <cell r="AL52">
            <v>7.8528382751303603E-3</v>
          </cell>
          <cell r="AM52">
            <v>7.8758837292815242E-3</v>
          </cell>
          <cell r="AN52">
            <v>7.6953037187517193E-3</v>
          </cell>
        </row>
        <row r="53">
          <cell r="A53" t="str">
            <v>RetroEven20</v>
          </cell>
          <cell r="B53" t="str">
            <v>Retro</v>
          </cell>
          <cell r="C53" t="str">
            <v>Irrigation Hardware</v>
          </cell>
          <cell r="D53" t="str">
            <v>Agriculture</v>
          </cell>
          <cell r="E53" t="str">
            <v>Irrigation</v>
          </cell>
          <cell r="F53">
            <v>0</v>
          </cell>
          <cell r="G53">
            <v>6.3850200901634851E-3</v>
          </cell>
          <cell r="H53">
            <v>20.895436888512037</v>
          </cell>
          <cell r="I53">
            <v>38.11031538229102</v>
          </cell>
          <cell r="J53" t="str">
            <v>Wheel and Hand_Nozzle replacement</v>
          </cell>
          <cell r="K53" t="str">
            <v>Montana</v>
          </cell>
          <cell r="L53">
            <v>1.4387846464417992E-3</v>
          </cell>
          <cell r="M53">
            <v>1.4175912418196424E-3</v>
          </cell>
          <cell r="N53">
            <v>1.4074516521572769E-3</v>
          </cell>
          <cell r="O53">
            <v>1.3948385952376457E-3</v>
          </cell>
          <cell r="P53">
            <v>1.3778910986173699E-3</v>
          </cell>
          <cell r="Q53">
            <v>1.3634839197207728E-3</v>
          </cell>
          <cell r="R53">
            <v>1.3467315541916478E-3</v>
          </cell>
          <cell r="S53">
            <v>1.3296973326419718E-3</v>
          </cell>
          <cell r="T53">
            <v>1.3176263065310912E-3</v>
          </cell>
          <cell r="U53">
            <v>1.3048524471381974E-3</v>
          </cell>
          <cell r="V53">
            <v>1.2917967317247522E-3</v>
          </cell>
          <cell r="W53">
            <v>1.2789632489428953E-3</v>
          </cell>
          <cell r="X53">
            <v>1.2740325753526254E-3</v>
          </cell>
          <cell r="Y53">
            <v>1.2695210722544566E-3</v>
          </cell>
          <cell r="Z53">
            <v>1.2704190366276205E-3</v>
          </cell>
          <cell r="AA53">
            <v>1.2713176361537038E-3</v>
          </cell>
          <cell r="AB53">
            <v>1.2722168712819666E-3</v>
          </cell>
          <cell r="AC53">
            <v>1.2731167424619861E-3</v>
          </cell>
          <cell r="AD53">
            <v>1.2740172501436576E-3</v>
          </cell>
          <cell r="AE53">
            <v>1.2749183947771954E-3</v>
          </cell>
          <cell r="AF53">
            <v>2.5498367895543907E-2</v>
          </cell>
          <cell r="AG53">
            <v>0</v>
          </cell>
          <cell r="AH53">
            <v>7.5864431042546143E-5</v>
          </cell>
          <cell r="AI53">
            <v>7.082367619433848E-3</v>
          </cell>
          <cell r="AJ53">
            <v>0.12627636018192734</v>
          </cell>
          <cell r="AK53">
            <v>0.47657241990363325</v>
          </cell>
          <cell r="AL53">
            <v>0.70302741573358707</v>
          </cell>
          <cell r="AM53">
            <v>0.70509056608874077</v>
          </cell>
          <cell r="AN53">
            <v>0.68892409306484481</v>
          </cell>
        </row>
        <row r="54">
          <cell r="A54" t="str">
            <v>RetroEven20</v>
          </cell>
          <cell r="B54" t="str">
            <v>Retro</v>
          </cell>
          <cell r="C54" t="str">
            <v>Irrigation Hardware</v>
          </cell>
          <cell r="D54" t="str">
            <v>Agriculture</v>
          </cell>
          <cell r="E54" t="str">
            <v>Irrigation</v>
          </cell>
          <cell r="F54">
            <v>0</v>
          </cell>
          <cell r="G54">
            <v>3.7624074213957401E-3</v>
          </cell>
          <cell r="H54">
            <v>12.31274854463787</v>
          </cell>
          <cell r="I54">
            <v>115.57700582639693</v>
          </cell>
          <cell r="J54" t="str">
            <v>Pivot and Linear_Sprinkler package replacement, high pressure</v>
          </cell>
          <cell r="K54" t="str">
            <v>Montana</v>
          </cell>
          <cell r="L54">
            <v>9.2762967179701365E-4</v>
          </cell>
          <cell r="M54">
            <v>9.1396561788697735E-4</v>
          </cell>
          <cell r="N54">
            <v>9.0742830582021513E-4</v>
          </cell>
          <cell r="O54">
            <v>8.9929627169012499E-4</v>
          </cell>
          <cell r="P54">
            <v>8.8836968808602118E-4</v>
          </cell>
          <cell r="Q54">
            <v>8.7908092714155176E-4</v>
          </cell>
          <cell r="R54">
            <v>8.6828015068342258E-4</v>
          </cell>
          <cell r="S54">
            <v>8.5729765279221896E-4</v>
          </cell>
          <cell r="T54">
            <v>8.4951508295650268E-4</v>
          </cell>
          <cell r="U54">
            <v>8.4127937441908114E-4</v>
          </cell>
          <cell r="V54">
            <v>8.3286194444858494E-4</v>
          </cell>
          <cell r="W54">
            <v>8.2458779483878246E-4</v>
          </cell>
          <cell r="X54">
            <v>8.2140883464095729E-4</v>
          </cell>
          <cell r="Y54">
            <v>8.1850012683078177E-4</v>
          </cell>
          <cell r="Z54">
            <v>8.1907907267846189E-4</v>
          </cell>
          <cell r="AA54">
            <v>8.1965842802918742E-4</v>
          </cell>
          <cell r="AB54">
            <v>8.2023819317261011E-4</v>
          </cell>
          <cell r="AC54">
            <v>8.2081836839858677E-4</v>
          </cell>
          <cell r="AD54">
            <v>8.2139895399717909E-4</v>
          </cell>
          <cell r="AE54">
            <v>8.2197995025865423E-4</v>
          </cell>
          <cell r="AF54">
            <v>1.6439599005173083E-2</v>
          </cell>
          <cell r="AG54">
            <v>0</v>
          </cell>
          <cell r="AH54">
            <v>4.4703523926912599E-5</v>
          </cell>
          <cell r="AI54">
            <v>4.1733232027666989E-3</v>
          </cell>
          <cell r="AJ54">
            <v>7.4409024245240887E-2</v>
          </cell>
          <cell r="AK54">
            <v>0.280822861033793</v>
          </cell>
          <cell r="AL54">
            <v>0.41426268501106478</v>
          </cell>
          <cell r="AM54">
            <v>0.41547840745172621</v>
          </cell>
          <cell r="AN54">
            <v>0.40595222629270294</v>
          </cell>
        </row>
        <row r="55">
          <cell r="A55" t="str">
            <v>RetroEven20</v>
          </cell>
          <cell r="B55" t="str">
            <v>Retro</v>
          </cell>
          <cell r="C55" t="str">
            <v>Irrigation Hardware</v>
          </cell>
          <cell r="D55" t="str">
            <v>Agriculture</v>
          </cell>
          <cell r="E55" t="str">
            <v>Irrigation</v>
          </cell>
          <cell r="F55">
            <v>0</v>
          </cell>
          <cell r="G55">
            <v>3.7624074213957401E-3</v>
          </cell>
          <cell r="H55">
            <v>12.31274854463787</v>
          </cell>
          <cell r="I55">
            <v>308.15509230990551</v>
          </cell>
          <cell r="J55" t="str">
            <v>Pivot and Linear_Sprinkler package replacement, MESA</v>
          </cell>
          <cell r="K55" t="str">
            <v>Montana</v>
          </cell>
          <cell r="L55">
            <v>3.3459023067770595E-3</v>
          </cell>
          <cell r="M55">
            <v>3.2966169174805425E-3</v>
          </cell>
          <cell r="N55">
            <v>3.2730372410327982E-3</v>
          </cell>
          <cell r="O55">
            <v>3.2437055016739762E-3</v>
          </cell>
          <cell r="P55">
            <v>3.2042939968486288E-3</v>
          </cell>
          <cell r="Q55">
            <v>3.1707900160941175E-3</v>
          </cell>
          <cell r="R55">
            <v>3.1318322897891477E-3</v>
          </cell>
          <cell r="S55">
            <v>3.0922191056214103E-3</v>
          </cell>
          <cell r="T55">
            <v>3.0641478621525253E-3</v>
          </cell>
          <cell r="U55">
            <v>3.0344421756796887E-3</v>
          </cell>
          <cell r="V55">
            <v>3.0040810313440849E-3</v>
          </cell>
          <cell r="W55">
            <v>2.9742366903233552E-3</v>
          </cell>
          <cell r="X55">
            <v>2.9627703793779006E-3</v>
          </cell>
          <cell r="Y55">
            <v>2.9522788519206625E-3</v>
          </cell>
          <cell r="Z55">
            <v>2.9543670734449908E-3</v>
          </cell>
          <cell r="AA55">
            <v>2.9564567720212348E-3</v>
          </cell>
          <cell r="AB55">
            <v>2.9585479486941521E-3</v>
          </cell>
          <cell r="AC55">
            <v>2.9606406045092344E-3</v>
          </cell>
          <cell r="AD55">
            <v>2.9627347405127209E-3</v>
          </cell>
          <cell r="AE55">
            <v>2.964830357751583E-3</v>
          </cell>
          <cell r="AF55">
            <v>5.9296607155031648E-2</v>
          </cell>
          <cell r="AG55">
            <v>0</v>
          </cell>
          <cell r="AH55">
            <v>4.4703523926912599E-5</v>
          </cell>
          <cell r="AI55">
            <v>4.1733232027666989E-3</v>
          </cell>
          <cell r="AJ55">
            <v>7.4409024245240887E-2</v>
          </cell>
          <cell r="AK55">
            <v>0.280822861033793</v>
          </cell>
          <cell r="AL55">
            <v>0.41426268501106478</v>
          </cell>
          <cell r="AM55">
            <v>0.41547840745172621</v>
          </cell>
          <cell r="AN55">
            <v>0.40595222629270294</v>
          </cell>
        </row>
        <row r="56">
          <cell r="A56" t="str">
            <v>RetroEven20</v>
          </cell>
          <cell r="B56" t="str">
            <v>Retro</v>
          </cell>
          <cell r="C56" t="str">
            <v>Irrigation Hardware</v>
          </cell>
          <cell r="D56" t="str">
            <v>Agriculture</v>
          </cell>
          <cell r="E56" t="str">
            <v>Irrigation</v>
          </cell>
          <cell r="F56">
            <v>0</v>
          </cell>
          <cell r="G56">
            <v>3.7624074213957401E-3</v>
          </cell>
          <cell r="H56">
            <v>12.31274854463787</v>
          </cell>
          <cell r="I56">
            <v>425.19458532456952</v>
          </cell>
          <cell r="J56" t="str">
            <v>Pivot and Linear_Sprinkler package replacement, LESA/LEPA/MDI</v>
          </cell>
          <cell r="K56" t="str">
            <v>Montana</v>
          </cell>
          <cell r="L56">
            <v>2.3365051592519723E-3</v>
          </cell>
          <cell r="M56">
            <v>2.3020882648513777E-3</v>
          </cell>
          <cell r="N56">
            <v>2.2856221428244265E-3</v>
          </cell>
          <cell r="O56">
            <v>2.2651392494049422E-3</v>
          </cell>
          <cell r="P56">
            <v>2.2376174702508429E-3</v>
          </cell>
          <cell r="Q56">
            <v>2.2142210238782658E-3</v>
          </cell>
          <cell r="R56">
            <v>2.1870161266163463E-3</v>
          </cell>
          <cell r="S56">
            <v>2.1593535110657229E-3</v>
          </cell>
          <cell r="T56">
            <v>2.1397508451245148E-3</v>
          </cell>
          <cell r="U56">
            <v>2.1190068175531416E-3</v>
          </cell>
          <cell r="V56">
            <v>2.097805071693065E-3</v>
          </cell>
          <cell r="W56">
            <v>2.0769642190990819E-3</v>
          </cell>
          <cell r="X56">
            <v>2.0689570831383636E-3</v>
          </cell>
          <cell r="Y56">
            <v>2.0616306564275122E-3</v>
          </cell>
          <cell r="Z56">
            <v>2.0630888999498571E-3</v>
          </cell>
          <cell r="AA56">
            <v>2.0645481749247377E-3</v>
          </cell>
          <cell r="AB56">
            <v>2.0660084820817281E-3</v>
          </cell>
          <cell r="AC56">
            <v>2.0674698221509157E-3</v>
          </cell>
          <cell r="AD56">
            <v>2.0689321958629061E-3</v>
          </cell>
          <cell r="AE56">
            <v>2.070395603948822E-3</v>
          </cell>
          <cell r="AF56">
            <v>4.1407912078976428E-2</v>
          </cell>
          <cell r="AG56">
            <v>0</v>
          </cell>
          <cell r="AH56">
            <v>4.4703523926912599E-5</v>
          </cell>
          <cell r="AI56">
            <v>4.1733232027666989E-3</v>
          </cell>
          <cell r="AJ56">
            <v>7.4409024245240887E-2</v>
          </cell>
          <cell r="AK56">
            <v>0.280822861033793</v>
          </cell>
          <cell r="AL56">
            <v>0.41426268501106478</v>
          </cell>
          <cell r="AM56">
            <v>0.41547840745172621</v>
          </cell>
          <cell r="AN56">
            <v>0.40595222629270294</v>
          </cell>
        </row>
        <row r="57">
          <cell r="A57" t="str">
            <v>Retro5Med</v>
          </cell>
          <cell r="B57" t="str">
            <v>Retro</v>
          </cell>
          <cell r="C57" t="str">
            <v>Irrigation Hardware</v>
          </cell>
          <cell r="D57" t="str">
            <v>Agriculture</v>
          </cell>
          <cell r="E57" t="str">
            <v>Irrigation</v>
          </cell>
          <cell r="F57">
            <v>0</v>
          </cell>
          <cell r="G57">
            <v>5.4467137050462312E-3</v>
          </cell>
          <cell r="H57">
            <v>17.824761843572055</v>
          </cell>
          <cell r="I57">
            <v>246.72175496559223</v>
          </cell>
          <cell r="J57" t="str">
            <v>Pivot and Linear_Upgrade from high pressure to MESA</v>
          </cell>
          <cell r="K57" t="str">
            <v>Montana</v>
          </cell>
          <cell r="L57">
            <v>1.1548931589260454E-3</v>
          </cell>
          <cell r="M57">
            <v>1.3971370068457535E-3</v>
          </cell>
          <cell r="N57">
            <v>1.6974579761461093E-3</v>
          </cell>
          <cell r="O57">
            <v>1.9528225332762445E-3</v>
          </cell>
          <cell r="P57">
            <v>2.2003776462963037E-3</v>
          </cell>
          <cell r="Q57">
            <v>2.5456079320812326E-3</v>
          </cell>
          <cell r="R57">
            <v>2.7582606677470931E-3</v>
          </cell>
          <cell r="S57">
            <v>2.7821175107524388E-3</v>
          </cell>
          <cell r="T57">
            <v>2.5980109948058757E-3</v>
          </cell>
          <cell r="U57">
            <v>2.2115604276073592E-3</v>
          </cell>
          <cell r="V57">
            <v>1.6942754118400975E-3</v>
          </cell>
          <cell r="W57">
            <v>1.1101676720038423E-3</v>
          </cell>
          <cell r="X57">
            <v>6.4212836576046071E-4</v>
          </cell>
          <cell r="Y57">
            <v>3.0807809823842525E-4</v>
          </cell>
          <cell r="Z57">
            <v>1.3043292716877707E-4</v>
          </cell>
          <cell r="AA57">
            <v>4.7463703882946838E-5</v>
          </cell>
          <cell r="AB57">
            <v>1.4836012161822085E-5</v>
          </cell>
          <cell r="AC57">
            <v>3.235864202848634E-6</v>
          </cell>
          <cell r="AD57">
            <v>5.3226180550903325E-7</v>
          </cell>
          <cell r="AE57">
            <v>6.3934728971992901E-8</v>
          </cell>
          <cell r="AF57">
            <v>2.3799067771805349E-2</v>
          </cell>
          <cell r="AG57">
            <v>0</v>
          </cell>
          <cell r="AH57">
            <v>6.4715823983318229E-5</v>
          </cell>
          <cell r="AI57">
            <v>6.0415829914731373E-3</v>
          </cell>
          <cell r="AJ57">
            <v>0.10771950156990771</v>
          </cell>
          <cell r="AK57">
            <v>0.4065380365733044</v>
          </cell>
          <cell r="AL57">
            <v>0.59971448894866652</v>
          </cell>
          <cell r="AM57">
            <v>0.60147445041414394</v>
          </cell>
          <cell r="AN57">
            <v>0.58768371069240566</v>
          </cell>
        </row>
        <row r="58">
          <cell r="A58" t="str">
            <v>Retro1Slow</v>
          </cell>
          <cell r="B58" t="str">
            <v>Retro</v>
          </cell>
          <cell r="C58" t="str">
            <v>Irrigation Hardware</v>
          </cell>
          <cell r="D58" t="str">
            <v>Agriculture</v>
          </cell>
          <cell r="E58" t="str">
            <v>Irrigation</v>
          </cell>
          <cell r="F58">
            <v>0</v>
          </cell>
          <cell r="G58">
            <v>9.2594132985785813E-3</v>
          </cell>
          <cell r="H58">
            <v>30.302095134072459</v>
          </cell>
          <cell r="I58">
            <v>179.9298740463131</v>
          </cell>
          <cell r="J58" t="str">
            <v>Pivot and Linear_Upgrade from MESA to LESA/LEPA/MDI</v>
          </cell>
          <cell r="K58" t="str">
            <v>Montana</v>
          </cell>
          <cell r="L58">
            <v>1.7021361503833491E-4</v>
          </cell>
          <cell r="M58">
            <v>3.3837645236741007E-4</v>
          </cell>
          <cell r="N58">
            <v>6.0327474123735329E-4</v>
          </cell>
          <cell r="O58">
            <v>9.8529242493402896E-4</v>
          </cell>
          <cell r="P58">
            <v>1.499534449882853E-3</v>
          </cell>
          <cell r="Q58">
            <v>2.161939952354407E-3</v>
          </cell>
          <cell r="R58">
            <v>2.9596002028570208E-3</v>
          </cell>
          <cell r="S58">
            <v>3.8608956434815953E-3</v>
          </cell>
          <cell r="T58">
            <v>4.8155239165143266E-3</v>
          </cell>
          <cell r="U58">
            <v>5.7095934048271915E-3</v>
          </cell>
          <cell r="V58">
            <v>6.4184890284849274E-3</v>
          </cell>
          <cell r="W58">
            <v>6.8175592453011144E-3</v>
          </cell>
          <cell r="X58">
            <v>6.8512411137308781E-3</v>
          </cell>
          <cell r="Y58">
            <v>6.4516223764736983E-3</v>
          </cell>
          <cell r="Z58">
            <v>5.6804488915458765E-3</v>
          </cell>
          <cell r="AA58">
            <v>4.7018652979029718E-3</v>
          </cell>
          <cell r="AB58">
            <v>3.5980194109555934E-3</v>
          </cell>
          <cell r="AC58">
            <v>2.4924702422558899E-3</v>
          </cell>
          <cell r="AD58">
            <v>1.5933651387953615E-3</v>
          </cell>
          <cell r="AE58">
            <v>1.0397704794915439E-3</v>
          </cell>
          <cell r="AF58">
            <v>5.8372391010031367E-2</v>
          </cell>
          <cell r="AG58">
            <v>0</v>
          </cell>
          <cell r="AH58">
            <v>1.1001690077164086E-4</v>
          </cell>
          <cell r="AI58">
            <v>1.0270691085504321E-2</v>
          </cell>
          <cell r="AJ58">
            <v>0.18312315266884288</v>
          </cell>
          <cell r="AK58">
            <v>0.6911146621746167</v>
          </cell>
          <cell r="AL58">
            <v>1.0195146312127319</v>
          </cell>
          <cell r="AM58">
            <v>1.0225065657040435</v>
          </cell>
          <cell r="AN58">
            <v>0.99906230817708841</v>
          </cell>
        </row>
        <row r="59">
          <cell r="A59" t="str">
            <v>Retro3Slow</v>
          </cell>
          <cell r="B59" t="str">
            <v>Retro</v>
          </cell>
          <cell r="C59" t="str">
            <v>Irrigation Hardware</v>
          </cell>
          <cell r="D59" t="str">
            <v>Agriculture</v>
          </cell>
          <cell r="E59" t="str">
            <v>Irrigation</v>
          </cell>
          <cell r="F59">
            <v>0</v>
          </cell>
          <cell r="G59">
            <v>9.2853329315740585E-2</v>
          </cell>
          <cell r="H59">
            <v>303.86918994887674</v>
          </cell>
          <cell r="I59">
            <v>26.638187253469432</v>
          </cell>
          <cell r="J59" t="str">
            <v>Pivot and Linear_Pressure Reduction_High to Medium</v>
          </cell>
          <cell r="K59" t="str">
            <v>Idaho</v>
          </cell>
          <cell r="L59">
            <v>2.0240122710054272E-2</v>
          </cell>
          <cell r="M59">
            <v>3.1590200016025194E-2</v>
          </cell>
          <cell r="N59">
            <v>6.2556330944733493E-2</v>
          </cell>
          <cell r="O59">
            <v>0.10823743598166338</v>
          </cell>
          <cell r="P59">
            <v>0.16644209776080035</v>
          </cell>
          <cell r="Q59">
            <v>0.22892169967061599</v>
          </cell>
          <cell r="R59">
            <v>0.28624701573740075</v>
          </cell>
          <cell r="S59">
            <v>0.33074754769419246</v>
          </cell>
          <cell r="T59">
            <v>0.35197070049876505</v>
          </cell>
          <cell r="U59">
            <v>0.34722519870922314</v>
          </cell>
          <cell r="V59">
            <v>0.31952011912141326</v>
          </cell>
          <cell r="W59">
            <v>0.27476547794716782</v>
          </cell>
          <cell r="X59">
            <v>0.22305773790655659</v>
          </cell>
          <cell r="Y59">
            <v>0.1716390946464616</v>
          </cell>
          <cell r="Z59">
            <v>0.1257954193037433</v>
          </cell>
          <cell r="AA59">
            <v>8.7586474240495441E-2</v>
          </cell>
          <cell r="AB59">
            <v>5.8079111324000482E-2</v>
          </cell>
          <cell r="AC59">
            <v>3.6762030807609931E-2</v>
          </cell>
          <cell r="AD59">
            <v>2.22573713399828E-2</v>
          </cell>
          <cell r="AE59">
            <v>1.4989612560192054E-2</v>
          </cell>
          <cell r="AF59">
            <v>2.9979225120384108</v>
          </cell>
          <cell r="AG59">
            <v>0</v>
          </cell>
          <cell r="AH59">
            <v>1.1032486819887932E-3</v>
          </cell>
          <cell r="AI59">
            <v>0.10299441561907298</v>
          </cell>
          <cell r="AJ59">
            <v>1.8363576451120225</v>
          </cell>
          <cell r="AK59">
            <v>6.9304928133716226</v>
          </cell>
          <cell r="AL59">
            <v>10.223685318025899</v>
          </cell>
          <cell r="AM59">
            <v>10.253688415377168</v>
          </cell>
          <cell r="AN59">
            <v>10.018589571150443</v>
          </cell>
        </row>
        <row r="60">
          <cell r="A60" t="str">
            <v>Retro1Slow</v>
          </cell>
          <cell r="B60" t="str">
            <v>Retro</v>
          </cell>
          <cell r="C60" t="str">
            <v>Irrigation Hardware</v>
          </cell>
          <cell r="D60" t="str">
            <v>Agriculture</v>
          </cell>
          <cell r="E60" t="str">
            <v>Irrigation</v>
          </cell>
          <cell r="F60">
            <v>0</v>
          </cell>
          <cell r="G60">
            <v>8.3440675064190867E-2</v>
          </cell>
          <cell r="H60">
            <v>273.06560278872956</v>
          </cell>
          <cell r="I60">
            <v>21.195686894071368</v>
          </cell>
          <cell r="J60" t="str">
            <v>Pivot and Linear_Pressure Reduction_Medium to Low</v>
          </cell>
          <cell r="K60" t="str">
            <v>Idaho</v>
          </cell>
          <cell r="L60">
            <v>1.1592343129180185E-2</v>
          </cell>
          <cell r="M60">
            <v>2.3008171599548478E-2</v>
          </cell>
          <cell r="N60">
            <v>4.0448531425658574E-2</v>
          </cell>
          <cell r="O60">
            <v>6.5052141763926458E-2</v>
          </cell>
          <cell r="P60">
            <v>9.7609832724234125E-2</v>
          </cell>
          <cell r="Q60">
            <v>0.13734002771759612</v>
          </cell>
          <cell r="R60">
            <v>0.18354492538265771</v>
          </cell>
          <cell r="S60">
            <v>0.23565533319520049</v>
          </cell>
          <cell r="T60">
            <v>0.28801271123951205</v>
          </cell>
          <cell r="U60">
            <v>0.33505621521986273</v>
          </cell>
          <cell r="V60">
            <v>0.37062573962273426</v>
          </cell>
          <cell r="W60">
            <v>0.38748621114047876</v>
          </cell>
          <cell r="X60">
            <v>0.38356733351589667</v>
          </cell>
          <cell r="Y60">
            <v>0.35772069585457883</v>
          </cell>
          <cell r="Z60">
            <v>0.31283663724265115</v>
          </cell>
          <cell r="AA60">
            <v>0.25733063593171623</v>
          </cell>
          <cell r="AB60">
            <v>0.19573121926483414</v>
          </cell>
          <cell r="AC60">
            <v>0.13478247773885144</v>
          </cell>
          <cell r="AD60">
            <v>8.5651100684115897E-2</v>
          </cell>
          <cell r="AE60">
            <v>5.5561063326686179E-2</v>
          </cell>
          <cell r="AF60">
            <v>3.7040708884457452</v>
          </cell>
          <cell r="AG60">
            <v>0</v>
          </cell>
          <cell r="AH60">
            <v>9.9141102927817514E-4</v>
          </cell>
          <cell r="AI60">
            <v>9.2553747188475269E-2</v>
          </cell>
          <cell r="AJ60">
            <v>1.6502038504876726</v>
          </cell>
          <cell r="AK60">
            <v>6.2279403779786726</v>
          </cell>
          <cell r="AL60">
            <v>9.1872979769969803</v>
          </cell>
          <cell r="AM60">
            <v>9.2142596240962842</v>
          </cell>
          <cell r="AN60">
            <v>9.0029930339411433</v>
          </cell>
        </row>
        <row r="61">
          <cell r="A61" t="str">
            <v>Retro1Slow</v>
          </cell>
          <cell r="B61" t="str">
            <v>Retro</v>
          </cell>
          <cell r="C61" t="str">
            <v>Irrigation Hardware</v>
          </cell>
          <cell r="D61" t="str">
            <v>Agriculture</v>
          </cell>
          <cell r="E61" t="str">
            <v>Irrigation</v>
          </cell>
          <cell r="F61">
            <v>0</v>
          </cell>
          <cell r="G61">
            <v>8.3440675064190867E-2</v>
          </cell>
          <cell r="H61">
            <v>273.06560278872956</v>
          </cell>
          <cell r="I61">
            <v>-2.9341592773636926</v>
          </cell>
          <cell r="J61" t="str">
            <v>Pivot and Linear_Pressure Reduction_Medium2 to Low</v>
          </cell>
          <cell r="K61" t="str">
            <v>Idaho</v>
          </cell>
          <cell r="L61">
            <v>1.1893753228970655E-5</v>
          </cell>
          <cell r="M61">
            <v>6.0881905834342629E-5</v>
          </cell>
          <cell r="N61">
            <v>2.385675850487297E-4</v>
          </cell>
          <cell r="O61">
            <v>7.552641990940627E-4</v>
          </cell>
          <cell r="P61">
            <v>2.0034662990880366E-3</v>
          </cell>
          <cell r="Q61">
            <v>4.5577062605106911E-3</v>
          </cell>
          <cell r="R61">
            <v>9.071398200467486E-3</v>
          </cell>
          <cell r="S61">
            <v>1.6061265697365899E-2</v>
          </cell>
          <cell r="T61">
            <v>2.5526558832616821E-2</v>
          </cell>
          <cell r="U61">
            <v>3.6688164505093629E-2</v>
          </cell>
          <cell r="V61">
            <v>4.7961524372732094E-2</v>
          </cell>
          <cell r="W61">
            <v>5.7242514804423668E-2</v>
          </cell>
          <cell r="X61">
            <v>6.2552436014512783E-2</v>
          </cell>
          <cell r="Y61">
            <v>6.2644515267488959E-2</v>
          </cell>
          <cell r="Z61">
            <v>5.7448791882710092E-2</v>
          </cell>
          <cell r="AA61">
            <v>4.8874308118518124E-2</v>
          </cell>
          <cell r="AB61">
            <v>3.806653102087057E-2</v>
          </cell>
          <cell r="AC61">
            <v>2.6657017394389228E-2</v>
          </cell>
          <cell r="AD61">
            <v>1.7148178761898607E-2</v>
          </cell>
          <cell r="AE61">
            <v>1.1235117967319918E-2</v>
          </cell>
          <cell r="AF61">
            <v>0.88118572292705233</v>
          </cell>
          <cell r="AG61">
            <v>0</v>
          </cell>
          <cell r="AH61">
            <v>9.9141102927817514E-4</v>
          </cell>
          <cell r="AI61">
            <v>9.2553747188475269E-2</v>
          </cell>
          <cell r="AJ61">
            <v>1.6502038504876726</v>
          </cell>
          <cell r="AK61">
            <v>6.2279403779786726</v>
          </cell>
          <cell r="AL61">
            <v>9.1872979769969803</v>
          </cell>
          <cell r="AM61">
            <v>9.2142596240962842</v>
          </cell>
          <cell r="AN61">
            <v>9.0029930339411433</v>
          </cell>
        </row>
        <row r="62">
          <cell r="A62" t="str">
            <v>Retro1Slow</v>
          </cell>
          <cell r="B62" t="str">
            <v>Retro</v>
          </cell>
          <cell r="C62" t="str">
            <v>Irrigation Hardware</v>
          </cell>
          <cell r="D62" t="str">
            <v>Agriculture</v>
          </cell>
          <cell r="E62" t="str">
            <v>Irrigation</v>
          </cell>
          <cell r="F62">
            <v>0</v>
          </cell>
          <cell r="G62">
            <v>4.4153992690925306E-2</v>
          </cell>
          <cell r="H62">
            <v>144.4971127139286</v>
          </cell>
          <cell r="I62">
            <v>165.02354169695315</v>
          </cell>
          <cell r="J62" t="str">
            <v>Wheel-Line_Conversion to Low Pressure System (Alfalfa)</v>
          </cell>
          <cell r="K62" t="str">
            <v>Idaho</v>
          </cell>
          <cell r="L62">
            <v>4.8310364602593704E-4</v>
          </cell>
          <cell r="M62">
            <v>9.5885115409953905E-4</v>
          </cell>
          <cell r="N62">
            <v>1.6856672365867314E-3</v>
          </cell>
          <cell r="O62">
            <v>2.7110073017801977E-3</v>
          </cell>
          <cell r="P62">
            <v>4.0678286996491085E-3</v>
          </cell>
          <cell r="Q62">
            <v>5.7235597149172873E-3</v>
          </cell>
          <cell r="R62">
            <v>7.6491199124979108E-3</v>
          </cell>
          <cell r="S62">
            <v>9.8207885501151154E-3</v>
          </cell>
          <cell r="T62">
            <v>1.2002749517600214E-2</v>
          </cell>
          <cell r="U62">
            <v>1.396325810861449E-2</v>
          </cell>
          <cell r="V62">
            <v>1.5445595780554242E-2</v>
          </cell>
          <cell r="W62">
            <v>1.6148245380654108E-2</v>
          </cell>
          <cell r="X62">
            <v>1.5984928607878507E-2</v>
          </cell>
          <cell r="Y62">
            <v>1.4907786156818486E-2</v>
          </cell>
          <cell r="Z62">
            <v>1.3037271100265153E-2</v>
          </cell>
          <cell r="AA62">
            <v>1.0724093228387455E-2</v>
          </cell>
          <cell r="AB62">
            <v>8.1569760844916166E-3</v>
          </cell>
          <cell r="AC62">
            <v>5.6169754199342503E-3</v>
          </cell>
          <cell r="AD62">
            <v>3.5694560250268655E-3</v>
          </cell>
          <cell r="AE62">
            <v>2.3154725469291997E-3</v>
          </cell>
          <cell r="AF62">
            <v>0.15436483646194668</v>
          </cell>
          <cell r="AG62">
            <v>0</v>
          </cell>
          <cell r="AH62">
            <v>5.2462129898608065E-4</v>
          </cell>
          <cell r="AI62">
            <v>4.8976323282785679E-2</v>
          </cell>
          <cell r="AJ62">
            <v>0.87323225389674708</v>
          </cell>
          <cell r="AK62">
            <v>3.2956161214808057</v>
          </cell>
          <cell r="AL62">
            <v>4.861608411168854</v>
          </cell>
          <cell r="AM62">
            <v>4.8758756060116824</v>
          </cell>
          <cell r="AN62">
            <v>4.7640804477106427</v>
          </cell>
        </row>
        <row r="63">
          <cell r="A63" t="str">
            <v>Retro1Slow</v>
          </cell>
          <cell r="B63" t="str">
            <v>Retro</v>
          </cell>
          <cell r="C63" t="str">
            <v>Irrigation Hardware</v>
          </cell>
          <cell r="D63" t="str">
            <v>Agriculture</v>
          </cell>
          <cell r="E63" t="str">
            <v>Irrigation</v>
          </cell>
          <cell r="F63">
            <v>0</v>
          </cell>
          <cell r="G63">
            <v>4.4153992690925306E-2</v>
          </cell>
          <cell r="H63">
            <v>144.4971127139286</v>
          </cell>
          <cell r="I63">
            <v>165.02354169695315</v>
          </cell>
          <cell r="J63" t="str">
            <v>Hand-Line_Conversion to Low Pressure System (Alfalfa)</v>
          </cell>
          <cell r="K63" t="str">
            <v>Idaho</v>
          </cell>
          <cell r="L63">
            <v>7.4277375720041837E-5</v>
          </cell>
          <cell r="M63">
            <v>1.474237423346283E-4</v>
          </cell>
          <cell r="N63">
            <v>2.5917200108275558E-4</v>
          </cell>
          <cell r="O63">
            <v>4.1681843966727926E-4</v>
          </cell>
          <cell r="P63">
            <v>6.2543026361755992E-4</v>
          </cell>
          <cell r="Q63">
            <v>8.7999955889006543E-4</v>
          </cell>
          <cell r="R63">
            <v>1.1760551971445017E-3</v>
          </cell>
          <cell r="S63">
            <v>1.5099501049197664E-3</v>
          </cell>
          <cell r="T63">
            <v>1.8454274624631528E-3</v>
          </cell>
          <cell r="U63">
            <v>2.1468564299632637E-3</v>
          </cell>
          <cell r="V63">
            <v>2.3747664304535725E-3</v>
          </cell>
          <cell r="W63">
            <v>2.4827990830230229E-3</v>
          </cell>
          <cell r="X63">
            <v>2.4576890649293357E-3</v>
          </cell>
          <cell r="Y63">
            <v>2.2920779891290582E-3</v>
          </cell>
          <cell r="Z63">
            <v>2.0044855629726462E-3</v>
          </cell>
          <cell r="AA63">
            <v>1.648833554733565E-3</v>
          </cell>
          <cell r="AB63">
            <v>1.2541382834743728E-3</v>
          </cell>
          <cell r="AC63">
            <v>8.6361218158617832E-4</v>
          </cell>
          <cell r="AD63">
            <v>5.4880526874113728E-4</v>
          </cell>
          <cell r="AE63">
            <v>3.5600481543140484E-4</v>
          </cell>
          <cell r="AF63">
            <v>2.3733654362093657E-2</v>
          </cell>
          <cell r="AG63">
            <v>0</v>
          </cell>
          <cell r="AH63">
            <v>5.2462129898608065E-4</v>
          </cell>
          <cell r="AI63">
            <v>4.8976323282785679E-2</v>
          </cell>
          <cell r="AJ63">
            <v>0.87323225389674708</v>
          </cell>
          <cell r="AK63">
            <v>3.2956161214808057</v>
          </cell>
          <cell r="AL63">
            <v>4.861608411168854</v>
          </cell>
          <cell r="AM63">
            <v>4.8758756060116824</v>
          </cell>
          <cell r="AN63">
            <v>4.7640804477106427</v>
          </cell>
        </row>
        <row r="64">
          <cell r="A64" t="str">
            <v>Retro3Slow</v>
          </cell>
          <cell r="B64" t="str">
            <v>Retro</v>
          </cell>
          <cell r="C64" t="str">
            <v>Irrigation Hardware</v>
          </cell>
          <cell r="D64" t="str">
            <v>Agriculture</v>
          </cell>
          <cell r="E64" t="str">
            <v>Irrigation</v>
          </cell>
          <cell r="F64">
            <v>0</v>
          </cell>
          <cell r="G64">
            <v>1.8438126183739575E-2</v>
          </cell>
          <cell r="H64">
            <v>60.340092368430888</v>
          </cell>
          <cell r="I64">
            <v>76.976184191563974</v>
          </cell>
          <cell r="J64" t="str">
            <v>Pivot and Linear_Pressure Reduction_High to Medium</v>
          </cell>
          <cell r="K64" t="str">
            <v>Montana</v>
          </cell>
          <cell r="L64">
            <v>2.5148475613052251E-4</v>
          </cell>
          <cell r="M64">
            <v>3.8948773826089452E-4</v>
          </cell>
          <cell r="N64">
            <v>7.734037069905119E-4</v>
          </cell>
          <cell r="O64">
            <v>1.3413273148489998E-3</v>
          </cell>
          <cell r="P64">
            <v>2.061157759504897E-3</v>
          </cell>
          <cell r="Q64">
            <v>2.8554489171732805E-3</v>
          </cell>
          <cell r="R64">
            <v>3.5895562320022974E-3</v>
          </cell>
          <cell r="S64">
            <v>4.134845746286241E-3</v>
          </cell>
          <cell r="T64">
            <v>4.4124871664776256E-3</v>
          </cell>
          <cell r="U64">
            <v>4.3697098703974297E-3</v>
          </cell>
          <cell r="V64">
            <v>4.0375894445193886E-3</v>
          </cell>
          <cell r="W64">
            <v>3.4977929101854275E-3</v>
          </cell>
          <cell r="X64">
            <v>2.869430265368894E-3</v>
          </cell>
          <cell r="Y64">
            <v>2.2238760961818707E-3</v>
          </cell>
          <cell r="Z64">
            <v>1.6398046000063019E-3</v>
          </cell>
          <cell r="AA64">
            <v>1.148675132700743E-3</v>
          </cell>
          <cell r="AB64">
            <v>7.6632507978897999E-4</v>
          </cell>
          <cell r="AC64">
            <v>4.8800634966736877E-4</v>
          </cell>
          <cell r="AD64">
            <v>2.9725745237696227E-4</v>
          </cell>
          <cell r="AE64">
            <v>2.014105378006977E-4</v>
          </cell>
          <cell r="AF64">
            <v>4.0282107560139536E-2</v>
          </cell>
          <cell r="AG64">
            <v>0</v>
          </cell>
          <cell r="AH64">
            <v>2.1907494928246341E-4</v>
          </cell>
          <cell r="AI64">
            <v>2.0451867966387084E-2</v>
          </cell>
          <cell r="AJ64">
            <v>0.36465029556361334</v>
          </cell>
          <cell r="AK64">
            <v>1.3762059147488637</v>
          </cell>
          <cell r="AL64">
            <v>2.0301436830079451</v>
          </cell>
          <cell r="AM64">
            <v>2.0361014757865386</v>
          </cell>
          <cell r="AN64">
            <v>1.9894172891510375</v>
          </cell>
        </row>
        <row r="65">
          <cell r="A65" t="str">
            <v>Retro1Slow</v>
          </cell>
          <cell r="B65" t="str">
            <v>Retro</v>
          </cell>
          <cell r="C65" t="str">
            <v>Irrigation Hardware</v>
          </cell>
          <cell r="D65" t="str">
            <v>Agriculture</v>
          </cell>
          <cell r="E65" t="str">
            <v>Irrigation</v>
          </cell>
          <cell r="F65">
            <v>0</v>
          </cell>
          <cell r="G65">
            <v>4.3923729297374543E-2</v>
          </cell>
          <cell r="H65">
            <v>143.74355921844517</v>
          </cell>
          <cell r="I65">
            <v>25.130358263298813</v>
          </cell>
          <cell r="J65" t="str">
            <v>Pivot and Linear_Pressure Reduction_Medium to Low</v>
          </cell>
          <cell r="K65" t="str">
            <v>Montana</v>
          </cell>
          <cell r="L65">
            <v>4.0067468553656453E-4</v>
          </cell>
          <cell r="M65">
            <v>7.8912476875691749E-4</v>
          </cell>
          <cell r="N65">
            <v>1.3911049375817924E-3</v>
          </cell>
          <cell r="O65">
            <v>2.2425442728195768E-3</v>
          </cell>
          <cell r="P65">
            <v>3.3625114698757346E-3</v>
          </cell>
          <cell r="Q65">
            <v>4.7654807248098232E-3</v>
          </cell>
          <cell r="R65">
            <v>6.402717322318752E-3</v>
          </cell>
          <cell r="S65">
            <v>8.1952480971933927E-3</v>
          </cell>
          <cell r="T65">
            <v>1.0044093602608205E-2</v>
          </cell>
          <cell r="U65">
            <v>1.1729545899692939E-2</v>
          </cell>
          <cell r="V65">
            <v>1.3028117818115728E-2</v>
          </cell>
          <cell r="W65">
            <v>1.3721776224583966E-2</v>
          </cell>
          <cell r="X65">
            <v>1.3725941628321005E-2</v>
          </cell>
          <cell r="Y65">
            <v>1.2893196204620344E-2</v>
          </cell>
          <cell r="Z65">
            <v>1.1344021352691625E-2</v>
          </cell>
          <cell r="AA65">
            <v>9.3880160040854099E-3</v>
          </cell>
          <cell r="AB65">
            <v>7.1841490005395744E-3</v>
          </cell>
          <cell r="AC65">
            <v>4.9771595983056352E-3</v>
          </cell>
          <cell r="AD65">
            <v>3.1821011553293563E-3</v>
          </cell>
          <cell r="AE65">
            <v>2.0767512625978488E-3</v>
          </cell>
          <cell r="AF65">
            <v>0.13845008417318991</v>
          </cell>
          <cell r="AG65">
            <v>0</v>
          </cell>
          <cell r="AH65">
            <v>5.2188539508993368E-4</v>
          </cell>
          <cell r="AI65">
            <v>4.8720911400067055E-2</v>
          </cell>
          <cell r="AJ65">
            <v>0.8686783413310647</v>
          </cell>
          <cell r="AK65">
            <v>3.2784294593982901</v>
          </cell>
          <cell r="AL65">
            <v>4.8362550878871575</v>
          </cell>
          <cell r="AM65">
            <v>4.8504478792049417</v>
          </cell>
          <cell r="AN65">
            <v>4.7392357334688846</v>
          </cell>
        </row>
        <row r="66">
          <cell r="A66" t="str">
            <v>Retro1Slow</v>
          </cell>
          <cell r="B66" t="str">
            <v>Retro</v>
          </cell>
          <cell r="C66" t="str">
            <v>Irrigation Hardware</v>
          </cell>
          <cell r="D66" t="str">
            <v>Agriculture</v>
          </cell>
          <cell r="E66" t="str">
            <v>Irrigation</v>
          </cell>
          <cell r="F66">
            <v>0</v>
          </cell>
          <cell r="G66">
            <v>4.3923729297374543E-2</v>
          </cell>
          <cell r="H66">
            <v>143.74355921844517</v>
          </cell>
          <cell r="I66">
            <v>-2.9294416411860009</v>
          </cell>
          <cell r="J66" t="str">
            <v>Pivot and Linear_Pressure Reduction_Medium2 to Low</v>
          </cell>
          <cell r="K66" t="str">
            <v>Montana</v>
          </cell>
          <cell r="L66">
            <v>3.9175950505660363E-7</v>
          </cell>
          <cell r="M66">
            <v>1.9959323355553418E-6</v>
          </cell>
          <cell r="N66">
            <v>7.8199344780712289E-6</v>
          </cell>
          <cell r="O66">
            <v>2.4783425166685007E-5</v>
          </cell>
          <cell r="P66">
            <v>6.5754394954383225E-5</v>
          </cell>
          <cell r="Q66">
            <v>1.5000115980958113E-4</v>
          </cell>
          <cell r="R66">
            <v>2.9950593410695508E-4</v>
          </cell>
          <cell r="S66">
            <v>5.3082218609750884E-4</v>
          </cell>
          <cell r="T66">
            <v>8.4468967120970915E-4</v>
          </cell>
          <cell r="U66">
            <v>1.2158171531199064E-3</v>
          </cell>
          <cell r="V66">
            <v>1.5918508907741161E-3</v>
          </cell>
          <cell r="W66">
            <v>1.9033517203327645E-3</v>
          </cell>
          <cell r="X66">
            <v>2.0842274508061065E-3</v>
          </cell>
          <cell r="Y66">
            <v>2.0910764982550764E-3</v>
          </cell>
          <cell r="Z66">
            <v>1.9204314699567575E-3</v>
          </cell>
          <cell r="AA66">
            <v>1.6356247891118072E-3</v>
          </cell>
          <cell r="AB66">
            <v>1.2749787869983853E-3</v>
          </cell>
          <cell r="AC66">
            <v>8.9334973876126537E-4</v>
          </cell>
          <cell r="AD66">
            <v>5.7490442529528293E-4</v>
          </cell>
          <cell r="AE66">
            <v>3.7677292213332395E-4</v>
          </cell>
          <cell r="AF66">
            <v>2.9550817422221487E-2</v>
          </cell>
          <cell r="AG66">
            <v>0</v>
          </cell>
          <cell r="AH66">
            <v>5.2188539508993368E-4</v>
          </cell>
          <cell r="AI66">
            <v>4.8720911400067055E-2</v>
          </cell>
          <cell r="AJ66">
            <v>0.8686783413310647</v>
          </cell>
          <cell r="AK66">
            <v>3.2784294593982901</v>
          </cell>
          <cell r="AL66">
            <v>4.8362550878871575</v>
          </cell>
          <cell r="AM66">
            <v>4.8504478792049417</v>
          </cell>
          <cell r="AN66">
            <v>4.7392357334688846</v>
          </cell>
        </row>
        <row r="67">
          <cell r="A67" t="str">
            <v>Retro1Slow</v>
          </cell>
          <cell r="B67" t="str">
            <v>Retro</v>
          </cell>
          <cell r="C67" t="str">
            <v>Irrigation Hardware</v>
          </cell>
          <cell r="D67" t="str">
            <v>Agriculture</v>
          </cell>
          <cell r="E67" t="str">
            <v>Irrigation</v>
          </cell>
          <cell r="F67">
            <v>0</v>
          </cell>
          <cell r="G67">
            <v>2.4713737360641471E-2</v>
          </cell>
          <cell r="H67">
            <v>80.877480729324333</v>
          </cell>
          <cell r="I67">
            <v>209.97370287237663</v>
          </cell>
          <cell r="J67" t="str">
            <v>Wheel-Line_Conversion to Low Pressure System (Alfalfa)</v>
          </cell>
          <cell r="K67" t="str">
            <v>Montana</v>
          </cell>
          <cell r="L67">
            <v>8.0772139734651508E-5</v>
          </cell>
          <cell r="M67">
            <v>1.5907991792581474E-4</v>
          </cell>
          <cell r="N67">
            <v>2.8043329528904394E-4</v>
          </cell>
          <cell r="O67">
            <v>4.5207522687079117E-4</v>
          </cell>
          <cell r="P67">
            <v>6.778497771588966E-4</v>
          </cell>
          <cell r="Q67">
            <v>9.6067480402876806E-4</v>
          </cell>
          <cell r="R67">
            <v>1.2907258604252627E-3</v>
          </cell>
          <cell r="S67">
            <v>1.6520827203749904E-3</v>
          </cell>
          <cell r="T67">
            <v>2.0247920851085401E-3</v>
          </cell>
          <cell r="U67">
            <v>2.3645629600114767E-3</v>
          </cell>
          <cell r="V67">
            <v>2.6263424939739939E-3</v>
          </cell>
          <cell r="W67">
            <v>2.766177316980937E-3</v>
          </cell>
          <cell r="X67">
            <v>2.7670170220704888E-3</v>
          </cell>
          <cell r="Y67">
            <v>2.5991436021750775E-3</v>
          </cell>
          <cell r="Z67">
            <v>2.2868449416150122E-3</v>
          </cell>
          <cell r="AA67">
            <v>1.8925331893570093E-3</v>
          </cell>
          <cell r="AB67">
            <v>1.448254925736217E-3</v>
          </cell>
          <cell r="AC67">
            <v>1.0033472167517751E-3</v>
          </cell>
          <cell r="AD67">
            <v>6.414808033701028E-4</v>
          </cell>
          <cell r="AE67">
            <v>4.1865296019895284E-4</v>
          </cell>
          <cell r="AF67">
            <v>2.791019734659686E-2</v>
          </cell>
          <cell r="AG67">
            <v>0</v>
          </cell>
          <cell r="AH67">
            <v>2.9363942435958344E-4</v>
          </cell>
          <cell r="AI67">
            <v>2.7412877448552884E-2</v>
          </cell>
          <cell r="AJ67">
            <v>0.48876287878900182</v>
          </cell>
          <cell r="AK67">
            <v>1.8446121472614145</v>
          </cell>
          <cell r="AL67">
            <v>2.7211245484625426</v>
          </cell>
          <cell r="AM67">
            <v>2.7291101389998897</v>
          </cell>
          <cell r="AN67">
            <v>2.6665364958917079</v>
          </cell>
        </row>
        <row r="68">
          <cell r="A68" t="str">
            <v>Retro1Slow</v>
          </cell>
          <cell r="B68" t="str">
            <v>Retro</v>
          </cell>
          <cell r="C68" t="str">
            <v>Irrigation Hardware</v>
          </cell>
          <cell r="D68" t="str">
            <v>Agriculture</v>
          </cell>
          <cell r="E68" t="str">
            <v>Irrigation</v>
          </cell>
          <cell r="F68">
            <v>0</v>
          </cell>
          <cell r="G68">
            <v>2.4713737360641471E-2</v>
          </cell>
          <cell r="H68">
            <v>80.877480729324333</v>
          </cell>
          <cell r="I68">
            <v>209.97370287237663</v>
          </cell>
          <cell r="J68" t="str">
            <v>Hand-Line_Conversion to Low Pressure System (Alfalfa)</v>
          </cell>
          <cell r="K68" t="str">
            <v>Montana</v>
          </cell>
          <cell r="L68">
            <v>1.2375794977077617E-5</v>
          </cell>
          <cell r="M68">
            <v>2.4374003903918141E-5</v>
          </cell>
          <cell r="N68">
            <v>4.2967599702630902E-5</v>
          </cell>
          <cell r="O68">
            <v>6.9266337877744457E-5</v>
          </cell>
          <cell r="P68">
            <v>1.03859200646846E-4</v>
          </cell>
          <cell r="Q68">
            <v>1.4719325813779057E-4</v>
          </cell>
          <cell r="R68">
            <v>1.9776322222874528E-4</v>
          </cell>
          <cell r="S68">
            <v>2.5312981802514024E-4</v>
          </cell>
          <cell r="T68">
            <v>3.1023582882456E-4</v>
          </cell>
          <cell r="U68">
            <v>3.6229504999654911E-4</v>
          </cell>
          <cell r="V68">
            <v>4.0240454631740958E-4</v>
          </cell>
          <cell r="W68">
            <v>4.2382984352849046E-4</v>
          </cell>
          <cell r="X68">
            <v>4.2395850197512363E-4</v>
          </cell>
          <cell r="Y68">
            <v>3.98237169922369E-4</v>
          </cell>
          <cell r="Z68">
            <v>3.5038720324568766E-4</v>
          </cell>
          <cell r="AA68">
            <v>2.8997130465703406E-4</v>
          </cell>
          <cell r="AB68">
            <v>2.2189960665069567E-4</v>
          </cell>
          <cell r="AC68">
            <v>1.5373146590066621E-4</v>
          </cell>
          <cell r="AD68">
            <v>9.8286797035706708E-5</v>
          </cell>
          <cell r="AE68">
            <v>6.4145424635149814E-5</v>
          </cell>
          <cell r="AF68">
            <v>4.2763616423433211E-3</v>
          </cell>
          <cell r="AG68">
            <v>0</v>
          </cell>
          <cell r="AH68">
            <v>2.9363942435958344E-4</v>
          </cell>
          <cell r="AI68">
            <v>2.7412877448552884E-2</v>
          </cell>
          <cell r="AJ68">
            <v>0.48876287878900182</v>
          </cell>
          <cell r="AK68">
            <v>1.8446121472614145</v>
          </cell>
          <cell r="AL68">
            <v>2.7211245484625426</v>
          </cell>
          <cell r="AM68">
            <v>2.7291101389998897</v>
          </cell>
          <cell r="AN68">
            <v>2.6665364958917079</v>
          </cell>
        </row>
        <row r="69">
          <cell r="A69" t="str">
            <v>Retro3Slow</v>
          </cell>
          <cell r="B69" t="str">
            <v>Retro</v>
          </cell>
          <cell r="C69" t="str">
            <v>Irrigation Hardware</v>
          </cell>
          <cell r="D69" t="str">
            <v>Agriculture</v>
          </cell>
          <cell r="E69" t="str">
            <v>Irrigation</v>
          </cell>
          <cell r="F69">
            <v>0</v>
          </cell>
          <cell r="G69">
            <v>7.1940788284383383E-2</v>
          </cell>
          <cell r="H69">
            <v>235.43139725150806</v>
          </cell>
          <cell r="I69">
            <v>25.89381331233276</v>
          </cell>
          <cell r="J69" t="str">
            <v>Pivot and Linear_Pressure Reduction_High to Medium</v>
          </cell>
          <cell r="K69" t="str">
            <v>Oregon</v>
          </cell>
          <cell r="L69">
            <v>1.636192648978864E-3</v>
          </cell>
          <cell r="M69">
            <v>2.6101208592139284E-3</v>
          </cell>
          <cell r="N69">
            <v>5.276584861997868E-3</v>
          </cell>
          <cell r="O69">
            <v>9.3040463227357876E-3</v>
          </cell>
          <cell r="P69">
            <v>1.4669056413088096E-2</v>
          </cell>
          <cell r="Q69">
            <v>2.058066766931994E-2</v>
          </cell>
          <cell r="R69">
            <v>2.623328534363344E-2</v>
          </cell>
          <cell r="S69">
            <v>3.0668621611201673E-2</v>
          </cell>
          <cell r="T69">
            <v>3.3167795435680582E-2</v>
          </cell>
          <cell r="U69">
            <v>3.354886441864878E-2</v>
          </cell>
          <cell r="V69">
            <v>3.1454275215606162E-2</v>
          </cell>
          <cell r="W69">
            <v>2.761814139864192E-2</v>
          </cell>
          <cell r="X69">
            <v>2.2836026046964452E-2</v>
          </cell>
          <cell r="Y69">
            <v>1.7829025013718573E-2</v>
          </cell>
          <cell r="Z69">
            <v>1.331418621478607E-2</v>
          </cell>
          <cell r="AA69">
            <v>9.4455067904341047E-3</v>
          </cell>
          <cell r="AB69">
            <v>6.3818501622732449E-3</v>
          </cell>
          <cell r="AC69">
            <v>4.1158975485958461E-3</v>
          </cell>
          <cell r="AD69">
            <v>2.5390856637606848E-3</v>
          </cell>
          <cell r="AE69">
            <v>1.7423376043539877E-3</v>
          </cell>
          <cell r="AF69">
            <v>0.34846752087079758</v>
          </cell>
          <cell r="AG69">
            <v>0</v>
          </cell>
          <cell r="AH69">
            <v>8.5477365691534924E-4</v>
          </cell>
          <cell r="AI69">
            <v>7.9797886657678008E-2</v>
          </cell>
          <cell r="AJ69">
            <v>1.4227709176930676</v>
          </cell>
          <cell r="AK69">
            <v>5.3695986979401482</v>
          </cell>
          <cell r="AL69">
            <v>7.9210943363080615</v>
          </cell>
          <cell r="AM69">
            <v>7.9443400991722415</v>
          </cell>
          <cell r="AN69">
            <v>7.7621905057968004</v>
          </cell>
        </row>
        <row r="70">
          <cell r="A70" t="str">
            <v>Retro1Slow</v>
          </cell>
          <cell r="B70" t="str">
            <v>Retro</v>
          </cell>
          <cell r="C70" t="str">
            <v>Irrigation Hardware</v>
          </cell>
          <cell r="D70" t="str">
            <v>Agriculture</v>
          </cell>
          <cell r="E70" t="str">
            <v>Irrigation</v>
          </cell>
          <cell r="F70">
            <v>0</v>
          </cell>
          <cell r="G70">
            <v>6.9625396862179584E-2</v>
          </cell>
          <cell r="H70">
            <v>227.85411250507542</v>
          </cell>
          <cell r="I70">
            <v>17.654474928755633</v>
          </cell>
          <cell r="J70" t="str">
            <v>Pivot and Linear_Pressure Reduction_Medium to Low</v>
          </cell>
          <cell r="K70" t="str">
            <v>Oregon</v>
          </cell>
          <cell r="L70">
            <v>1.6255811869032119E-3</v>
          </cell>
          <cell r="M70">
            <v>3.2976646622614606E-3</v>
          </cell>
          <cell r="N70">
            <v>5.918348811568868E-3</v>
          </cell>
          <cell r="O70">
            <v>9.7000083663436997E-3</v>
          </cell>
          <cell r="P70">
            <v>1.4922744640370631E-2</v>
          </cell>
          <cell r="Q70">
            <v>2.1418338092563802E-2</v>
          </cell>
          <cell r="R70">
            <v>2.9178988854773481E-2</v>
          </cell>
          <cell r="S70">
            <v>3.7904523212337199E-2</v>
          </cell>
          <cell r="T70">
            <v>4.7080155660047356E-2</v>
          </cell>
          <cell r="U70">
            <v>5.6156548681687055E-2</v>
          </cell>
          <cell r="V70">
            <v>6.3289722469341864E-2</v>
          </cell>
          <cell r="W70">
            <v>6.7562338939825689E-2</v>
          </cell>
          <cell r="X70">
            <v>6.811785918028157E-2</v>
          </cell>
          <cell r="Y70">
            <v>6.445722241450115E-2</v>
          </cell>
          <cell r="Z70">
            <v>5.7435915714816807E-2</v>
          </cell>
          <cell r="AA70">
            <v>4.8138865882558647E-2</v>
          </cell>
          <cell r="AB70">
            <v>3.7308078603357157E-2</v>
          </cell>
          <cell r="AC70">
            <v>2.6176684463802453E-2</v>
          </cell>
          <cell r="AD70">
            <v>1.6949331390615968E-2</v>
          </cell>
          <cell r="AE70">
            <v>1.1202851826222058E-2</v>
          </cell>
          <cell r="AF70">
            <v>0.74685678841480374</v>
          </cell>
          <cell r="AG70">
            <v>0</v>
          </cell>
          <cell r="AH70">
            <v>8.2726303824761911E-4</v>
          </cell>
          <cell r="AI70">
            <v>7.7229617019780719E-2</v>
          </cell>
          <cell r="AJ70">
            <v>1.3769794875857793</v>
          </cell>
          <cell r="AK70">
            <v>5.1967798692564742</v>
          </cell>
          <cell r="AL70">
            <v>7.6661564308704016</v>
          </cell>
          <cell r="AM70">
            <v>7.6886540362397602</v>
          </cell>
          <cell r="AN70">
            <v>7.5123668696755503</v>
          </cell>
        </row>
        <row r="71">
          <cell r="A71" t="str">
            <v>Retro1Slow</v>
          </cell>
          <cell r="B71" t="str">
            <v>Retro</v>
          </cell>
          <cell r="C71" t="str">
            <v>Irrigation Hardware</v>
          </cell>
          <cell r="D71" t="str">
            <v>Agriculture</v>
          </cell>
          <cell r="E71" t="str">
            <v>Irrigation</v>
          </cell>
          <cell r="F71">
            <v>0</v>
          </cell>
          <cell r="G71">
            <v>6.9625396862179584E-2</v>
          </cell>
          <cell r="H71">
            <v>227.85411250507542</v>
          </cell>
          <cell r="I71">
            <v>-2.9331188009690581</v>
          </cell>
          <cell r="J71" t="str">
            <v>Pivot and Linear_Pressure Reduction_Medium2 to Low</v>
          </cell>
          <cell r="K71" t="str">
            <v>Oregon</v>
          </cell>
          <cell r="L71">
            <v>1.0355054336898844E-6</v>
          </cell>
          <cell r="M71">
            <v>5.3719077235147499E-6</v>
          </cell>
          <cell r="N71">
            <v>2.1390325403298444E-5</v>
          </cell>
          <cell r="O71">
            <v>6.8788961293923416E-5</v>
          </cell>
          <cell r="P71">
            <v>1.8576490811674697E-4</v>
          </cell>
          <cell r="Q71">
            <v>4.2952501552064547E-4</v>
          </cell>
          <cell r="R71">
            <v>8.6770980554556486E-4</v>
          </cell>
          <cell r="S71">
            <v>1.554426852137542E-3</v>
          </cell>
          <cell r="T71">
            <v>2.4971466215059062E-3</v>
          </cell>
          <cell r="U71">
            <v>3.6300901726441528E-3</v>
          </cell>
          <cell r="V71">
            <v>4.7936484816376848E-3</v>
          </cell>
          <cell r="W71">
            <v>5.772932373394369E-3</v>
          </cell>
          <cell r="X71">
            <v>6.3561522545343158E-3</v>
          </cell>
          <cell r="Y71">
            <v>6.4032456965208515E-3</v>
          </cell>
          <cell r="Z71">
            <v>5.9000671519735008E-3</v>
          </cell>
          <cell r="AA71">
            <v>5.0378040604407088E-3</v>
          </cell>
          <cell r="AB71">
            <v>3.9343381572115605E-3</v>
          </cell>
          <cell r="AC71">
            <v>2.7603404457810158E-3</v>
          </cell>
          <cell r="AD71">
            <v>1.7779632919389383E-3</v>
          </cell>
          <cell r="AE71">
            <v>1.1659912257603728E-3</v>
          </cell>
          <cell r="AF71">
            <v>9.1450292216499834E-2</v>
          </cell>
          <cell r="AG71">
            <v>0</v>
          </cell>
          <cell r="AH71">
            <v>8.2726303824761911E-4</v>
          </cell>
          <cell r="AI71">
            <v>7.7229617019780719E-2</v>
          </cell>
          <cell r="AJ71">
            <v>1.3769794875857793</v>
          </cell>
          <cell r="AK71">
            <v>5.1967798692564742</v>
          </cell>
          <cell r="AL71">
            <v>7.6661564308704016</v>
          </cell>
          <cell r="AM71">
            <v>7.6886540362397602</v>
          </cell>
          <cell r="AN71">
            <v>7.5123668696755503</v>
          </cell>
        </row>
        <row r="72">
          <cell r="A72" t="str">
            <v>Retro1Slow</v>
          </cell>
          <cell r="B72" t="str">
            <v>Retro</v>
          </cell>
          <cell r="C72" t="str">
            <v>Irrigation Hardware</v>
          </cell>
          <cell r="D72" t="str">
            <v>Agriculture</v>
          </cell>
          <cell r="E72" t="str">
            <v>Irrigation</v>
          </cell>
          <cell r="F72">
            <v>0</v>
          </cell>
          <cell r="G72">
            <v>5.934589210134629E-2</v>
          </cell>
          <cell r="H72">
            <v>194.21369478641301</v>
          </cell>
          <cell r="I72">
            <v>104.43927225893803</v>
          </cell>
          <cell r="J72" t="str">
            <v>Wheel-Line_Conversion to Low Pressure System (Alfalfa)</v>
          </cell>
          <cell r="K72" t="str">
            <v>Oregon</v>
          </cell>
          <cell r="L72">
            <v>4.1479141111798283E-4</v>
          </cell>
          <cell r="M72">
            <v>8.4144857831378169E-4</v>
          </cell>
          <cell r="N72">
            <v>1.5101554292195755E-3</v>
          </cell>
          <cell r="O72">
            <v>2.4751025605782321E-3</v>
          </cell>
          <cell r="P72">
            <v>3.8077620219784162E-3</v>
          </cell>
          <cell r="Q72">
            <v>5.4652100755060917E-3</v>
          </cell>
          <cell r="R72">
            <v>7.4454564678645063E-3</v>
          </cell>
          <cell r="S72">
            <v>9.6719073754486084E-3</v>
          </cell>
          <cell r="T72">
            <v>1.2013207558760987E-2</v>
          </cell>
          <cell r="U72">
            <v>1.4329185314679435E-2</v>
          </cell>
          <cell r="V72">
            <v>1.6149321549626713E-2</v>
          </cell>
          <cell r="W72">
            <v>1.7239543698625685E-2</v>
          </cell>
          <cell r="X72">
            <v>1.7381293016531036E-2</v>
          </cell>
          <cell r="Y72">
            <v>1.6447226664200131E-2</v>
          </cell>
          <cell r="Z72">
            <v>1.4655634993898877E-2</v>
          </cell>
          <cell r="AA72">
            <v>1.2283353344587335E-2</v>
          </cell>
          <cell r="AB72">
            <v>9.5197155913619245E-3</v>
          </cell>
          <cell r="AC72">
            <v>6.6793734909145917E-3</v>
          </cell>
          <cell r="AD72">
            <v>4.3248760145982871E-3</v>
          </cell>
          <cell r="AE72">
            <v>2.8585756005190485E-3</v>
          </cell>
          <cell r="AF72">
            <v>0.19057170670126991</v>
          </cell>
          <cell r="AG72">
            <v>0</v>
          </cell>
          <cell r="AH72">
            <v>7.0512579058552209E-4</v>
          </cell>
          <cell r="AI72">
            <v>6.5827423975141811E-2</v>
          </cell>
          <cell r="AJ72">
            <v>1.1736820151673979</v>
          </cell>
          <cell r="AK72">
            <v>4.4295264557819669</v>
          </cell>
          <cell r="AL72">
            <v>6.5343238657445655</v>
          </cell>
          <cell r="AM72">
            <v>6.5534999210485152</v>
          </cell>
          <cell r="AN72">
            <v>6.4032398200327814</v>
          </cell>
        </row>
        <row r="73">
          <cell r="A73" t="str">
            <v>Retro1Slow</v>
          </cell>
          <cell r="B73" t="str">
            <v>Retro</v>
          </cell>
          <cell r="C73" t="str">
            <v>Irrigation Hardware</v>
          </cell>
          <cell r="D73" t="str">
            <v>Agriculture</v>
          </cell>
          <cell r="E73" t="str">
            <v>Irrigation</v>
          </cell>
          <cell r="F73">
            <v>0</v>
          </cell>
          <cell r="G73">
            <v>5.934589210134629E-2</v>
          </cell>
          <cell r="H73">
            <v>194.21369478641301</v>
          </cell>
          <cell r="I73">
            <v>104.43927225893803</v>
          </cell>
          <cell r="J73" t="str">
            <v>Hand-Line_Conversion to Low Pressure System (Alfalfa)</v>
          </cell>
          <cell r="K73" t="str">
            <v>Oregon</v>
          </cell>
          <cell r="L73">
            <v>1.3091696513568054E-4</v>
          </cell>
          <cell r="M73">
            <v>2.6557901450673869E-4</v>
          </cell>
          <cell r="N73">
            <v>4.7663707679897671E-4</v>
          </cell>
          <cell r="O73">
            <v>7.8119485347368151E-4</v>
          </cell>
          <cell r="P73">
            <v>1.2018104389691043E-3</v>
          </cell>
          <cell r="Q73">
            <v>1.7249361913877442E-3</v>
          </cell>
          <cell r="R73">
            <v>2.3499439445851798E-3</v>
          </cell>
          <cell r="S73">
            <v>3.0526590636347005E-3</v>
          </cell>
          <cell r="T73">
            <v>3.7916230495203297E-3</v>
          </cell>
          <cell r="U73">
            <v>4.5225947403501211E-3</v>
          </cell>
          <cell r="V73">
            <v>5.0970683326806137E-3</v>
          </cell>
          <cell r="W73">
            <v>5.4411655614201165E-3</v>
          </cell>
          <cell r="X73">
            <v>5.4859046519914554E-3</v>
          </cell>
          <cell r="Y73">
            <v>5.1910935040148758E-3</v>
          </cell>
          <cell r="Z73">
            <v>4.6256291815834532E-3</v>
          </cell>
          <cell r="AA73">
            <v>3.8768867880564183E-3</v>
          </cell>
          <cell r="AB73">
            <v>3.0046241093006393E-3</v>
          </cell>
          <cell r="AC73">
            <v>2.1081519120209778E-3</v>
          </cell>
          <cell r="AD73">
            <v>1.3650225806104168E-3</v>
          </cell>
          <cell r="AE73">
            <v>9.0222707654959687E-4</v>
          </cell>
          <cell r="AF73">
            <v>6.0148471769973129E-2</v>
          </cell>
          <cell r="AG73">
            <v>0</v>
          </cell>
          <cell r="AH73">
            <v>7.0512579058552209E-4</v>
          </cell>
          <cell r="AI73">
            <v>6.5827423975141811E-2</v>
          </cell>
          <cell r="AJ73">
            <v>1.1736820151673979</v>
          </cell>
          <cell r="AK73">
            <v>4.4295264557819669</v>
          </cell>
          <cell r="AL73">
            <v>6.5343238657445655</v>
          </cell>
          <cell r="AM73">
            <v>6.5534999210485152</v>
          </cell>
          <cell r="AN73">
            <v>6.4032398200327814</v>
          </cell>
        </row>
        <row r="74">
          <cell r="A74" t="str">
            <v>Retro3Slow</v>
          </cell>
          <cell r="B74" t="str">
            <v>Retro</v>
          </cell>
          <cell r="C74" t="str">
            <v>Irrigation Hardware</v>
          </cell>
          <cell r="D74" t="str">
            <v>Agriculture</v>
          </cell>
          <cell r="E74" t="str">
            <v>Irrigation</v>
          </cell>
          <cell r="F74">
            <v>0</v>
          </cell>
          <cell r="G74">
            <v>9.4681121286169331E-2</v>
          </cell>
          <cell r="H74">
            <v>309.85077046453728</v>
          </cell>
          <cell r="I74">
            <v>20.546816113824374</v>
          </cell>
          <cell r="J74" t="str">
            <v>Pivot and Linear_Pressure Reduction_High to Medium</v>
          </cell>
          <cell r="K74" t="str">
            <v>Washington</v>
          </cell>
          <cell r="L74">
            <v>7.5835477616640525E-3</v>
          </cell>
          <cell r="M74">
            <v>1.2044420360489054E-2</v>
          </cell>
          <cell r="N74">
            <v>2.4289080634059313E-2</v>
          </cell>
          <cell r="O74">
            <v>4.2911035590207272E-2</v>
          </cell>
          <cell r="P74">
            <v>6.7856080543753888E-2</v>
          </cell>
          <cell r="Q74">
            <v>9.5595451860150074E-2</v>
          </cell>
          <cell r="R74">
            <v>0.12202134249597166</v>
          </cell>
          <cell r="S74">
            <v>0.14299815565226306</v>
          </cell>
          <cell r="T74">
            <v>0.15395038165438554</v>
          </cell>
          <cell r="U74">
            <v>0.15579566195929831</v>
          </cell>
          <cell r="V74">
            <v>0.14597584241140776</v>
          </cell>
          <cell r="W74">
            <v>0.1281534262897083</v>
          </cell>
          <cell r="X74">
            <v>0.10606762191404601</v>
          </cell>
          <cell r="Y74">
            <v>8.2805016985436963E-2</v>
          </cell>
          <cell r="Z74">
            <v>6.1592529258321843E-2</v>
          </cell>
          <cell r="AA74">
            <v>4.3523421751718E-2</v>
          </cell>
          <cell r="AB74">
            <v>2.9290630872783083E-2</v>
          </cell>
          <cell r="AC74">
            <v>1.8816161579114858E-2</v>
          </cell>
          <cell r="AD74">
            <v>1.1561872787774641E-2</v>
          </cell>
          <cell r="AE74">
            <v>7.9025544819032092E-3</v>
          </cell>
          <cell r="AF74">
            <v>1.5805108963806418</v>
          </cell>
          <cell r="AG74">
            <v>0</v>
          </cell>
          <cell r="AH74">
            <v>1.124965825543961E-3</v>
          </cell>
          <cell r="AI74">
            <v>0.10502183205373204</v>
          </cell>
          <cell r="AJ74">
            <v>1.8725058347709818</v>
          </cell>
          <cell r="AK74">
            <v>7.0669176374328035</v>
          </cell>
          <cell r="AL74">
            <v>10.424935720894439</v>
          </cell>
          <cell r="AM74">
            <v>10.455529420874937</v>
          </cell>
          <cell r="AN74">
            <v>10.215802721267028</v>
          </cell>
        </row>
        <row r="75">
          <cell r="A75" t="str">
            <v>Retro1Slow</v>
          </cell>
          <cell r="B75" t="str">
            <v>Retro</v>
          </cell>
          <cell r="C75" t="str">
            <v>Irrigation Hardware</v>
          </cell>
          <cell r="D75" t="str">
            <v>Agriculture</v>
          </cell>
          <cell r="E75" t="str">
            <v>Irrigation</v>
          </cell>
          <cell r="F75">
            <v>0</v>
          </cell>
          <cell r="G75">
            <v>9.1684732386846865E-2</v>
          </cell>
          <cell r="H75">
            <v>300.04487255738945</v>
          </cell>
          <cell r="I75">
            <v>14.235670682982754</v>
          </cell>
          <cell r="J75" t="str">
            <v>Pivot and Linear_Pressure Reduction_Medium to Low</v>
          </cell>
          <cell r="K75" t="str">
            <v>Washington</v>
          </cell>
          <cell r="L75">
            <v>6.3390583975126303E-3</v>
          </cell>
          <cell r="M75">
            <v>1.2802944897280939E-2</v>
          </cell>
          <cell r="N75">
            <v>2.292117126524975E-2</v>
          </cell>
          <cell r="O75">
            <v>3.7639802809520659E-2</v>
          </cell>
          <cell r="P75">
            <v>5.8078233469250028E-2</v>
          </cell>
          <cell r="Q75">
            <v>8.3703118606653595E-2</v>
          </cell>
          <cell r="R75">
            <v>0.11419088867696686</v>
          </cell>
          <cell r="S75">
            <v>0.14869806463549154</v>
          </cell>
          <cell r="T75">
            <v>0.18385699292933336</v>
          </cell>
          <cell r="U75">
            <v>0.21940981134634874</v>
          </cell>
          <cell r="V75">
            <v>0.2471226759506929</v>
          </cell>
          <cell r="W75">
            <v>0.26376583892936878</v>
          </cell>
          <cell r="X75">
            <v>0.2661959180826276</v>
          </cell>
          <cell r="Y75">
            <v>0.25187133397205602</v>
          </cell>
          <cell r="Z75">
            <v>0.22355019870095702</v>
          </cell>
          <cell r="AA75">
            <v>0.18662581636364686</v>
          </cell>
          <cell r="AB75">
            <v>0.14406653290057059</v>
          </cell>
          <cell r="AC75">
            <v>0.10068371111357549</v>
          </cell>
          <cell r="AD75">
            <v>6.4935397486397622E-2</v>
          </cell>
          <cell r="AE75">
            <v>4.2750567036551432E-2</v>
          </cell>
          <cell r="AF75">
            <v>2.8500378024367619</v>
          </cell>
          <cell r="AG75">
            <v>0</v>
          </cell>
          <cell r="AH75">
            <v>1.0893638484445467E-3</v>
          </cell>
          <cell r="AI75">
            <v>0.10169818899292389</v>
          </cell>
          <cell r="AJ75">
            <v>1.8132463369850813</v>
          </cell>
          <cell r="AK75">
            <v>6.8432697414892321</v>
          </cell>
          <cell r="AL75">
            <v>10.095016078563361</v>
          </cell>
          <cell r="AM75">
            <v>10.124641574727031</v>
          </cell>
          <cell r="AN75">
            <v>9.892501545110127</v>
          </cell>
        </row>
        <row r="76">
          <cell r="A76" t="str">
            <v>Retro1Slow</v>
          </cell>
          <cell r="B76" t="str">
            <v>Retro</v>
          </cell>
          <cell r="C76" t="str">
            <v>Irrigation Hardware</v>
          </cell>
          <cell r="D76" t="str">
            <v>Agriculture</v>
          </cell>
          <cell r="E76" t="str">
            <v>Irrigation</v>
          </cell>
          <cell r="F76">
            <v>0</v>
          </cell>
          <cell r="G76">
            <v>9.1684732386846865E-2</v>
          </cell>
          <cell r="H76">
            <v>300.04487255738945</v>
          </cell>
          <cell r="I76">
            <v>-2.9346307801481122</v>
          </cell>
          <cell r="J76" t="str">
            <v>Pivot and Linear_Pressure Reduction_Medium2 to Low</v>
          </cell>
          <cell r="K76" t="str">
            <v>Washington</v>
          </cell>
          <cell r="L76">
            <v>4.80210342122863E-6</v>
          </cell>
          <cell r="M76">
            <v>2.484465499947159E-5</v>
          </cell>
          <cell r="N76">
            <v>9.8701221472305355E-5</v>
          </cell>
          <cell r="O76">
            <v>3.1742436693240765E-4</v>
          </cell>
          <cell r="P76">
            <v>8.5833675437125146E-4</v>
          </cell>
          <cell r="Q76">
            <v>1.9890474830020358E-3</v>
          </cell>
          <cell r="R76">
            <v>4.0247640058999447E-3</v>
          </cell>
          <cell r="S76">
            <v>7.2215708644310173E-3</v>
          </cell>
          <cell r="T76">
            <v>1.160030799695112E-2</v>
          </cell>
          <cell r="U76">
            <v>1.6863995884211242E-2</v>
          </cell>
          <cell r="V76">
            <v>2.2267891239964505E-2</v>
          </cell>
          <cell r="W76">
            <v>2.6815250345363723E-2</v>
          </cell>
          <cell r="X76">
            <v>2.9525608921738031E-2</v>
          </cell>
          <cell r="Y76">
            <v>2.9745096566006178E-2</v>
          </cell>
          <cell r="Z76">
            <v>2.7403171340997172E-2</v>
          </cell>
          <cell r="AA76">
            <v>2.3392932057649966E-2</v>
          </cell>
          <cell r="AB76">
            <v>1.8264814954453812E-2</v>
          </cell>
          <cell r="AC76">
            <v>1.2812137765546378E-2</v>
          </cell>
          <cell r="AD76">
            <v>8.2511968389341987E-3</v>
          </cell>
          <cell r="AE76">
            <v>5.4104859932572798E-3</v>
          </cell>
          <cell r="AF76">
            <v>0.42435184260841413</v>
          </cell>
          <cell r="AG76">
            <v>0</v>
          </cell>
          <cell r="AH76">
            <v>1.0893638484445467E-3</v>
          </cell>
          <cell r="AI76">
            <v>0.10169818899292389</v>
          </cell>
          <cell r="AJ76">
            <v>1.8132463369850813</v>
          </cell>
          <cell r="AK76">
            <v>6.8432697414892321</v>
          </cell>
          <cell r="AL76">
            <v>10.095016078563361</v>
          </cell>
          <cell r="AM76">
            <v>10.124641574727031</v>
          </cell>
          <cell r="AN76">
            <v>9.892501545110127</v>
          </cell>
        </row>
        <row r="77">
          <cell r="A77" t="str">
            <v>Retro1Slow</v>
          </cell>
          <cell r="B77" t="str">
            <v>Retro</v>
          </cell>
          <cell r="C77" t="str">
            <v>Irrigation Hardware</v>
          </cell>
          <cell r="D77" t="str">
            <v>Agriculture</v>
          </cell>
          <cell r="E77" t="str">
            <v>Irrigation</v>
          </cell>
          <cell r="F77">
            <v>0</v>
          </cell>
          <cell r="G77">
            <v>5.934589210134638E-2</v>
          </cell>
          <cell r="H77">
            <v>194.21369478641333</v>
          </cell>
          <cell r="I77">
            <v>104.43927225893788</v>
          </cell>
          <cell r="J77" t="str">
            <v>Wheel-Line_Conversion to Low Pressure System (Alfalfa)</v>
          </cell>
          <cell r="K77" t="str">
            <v>Washington</v>
          </cell>
          <cell r="L77">
            <v>4.5605984937041111E-4</v>
          </cell>
          <cell r="M77">
            <v>9.2110038355897365E-4</v>
          </cell>
          <cell r="N77">
            <v>1.6490502625318918E-3</v>
          </cell>
          <cell r="O77">
            <v>2.707973601627917E-3</v>
          </cell>
          <cell r="P77">
            <v>4.1784045431856225E-3</v>
          </cell>
          <cell r="Q77">
            <v>6.0219719191359645E-3</v>
          </cell>
          <cell r="R77">
            <v>8.2153967078021604E-3</v>
          </cell>
          <cell r="S77">
            <v>1.0697995302574244E-2</v>
          </cell>
          <cell r="T77">
            <v>1.3227483837970348E-2</v>
          </cell>
          <cell r="U77">
            <v>1.5785310567933884E-2</v>
          </cell>
          <cell r="V77">
            <v>1.7779096405596953E-2</v>
          </cell>
          <cell r="W77">
            <v>1.8976479033288231E-2</v>
          </cell>
          <cell r="X77">
            <v>1.9151309656875525E-2</v>
          </cell>
          <cell r="Y77">
            <v>1.812073582996071E-2</v>
          </cell>
          <cell r="Z77">
            <v>1.6083188314890556E-2</v>
          </cell>
          <cell r="AA77">
            <v>1.3426685220762747E-2</v>
          </cell>
          <cell r="AB77">
            <v>1.0364782460393908E-2</v>
          </cell>
          <cell r="AC77">
            <v>7.2436307169103896E-3</v>
          </cell>
          <cell r="AD77">
            <v>4.6717391983759956E-3</v>
          </cell>
          <cell r="AE77">
            <v>3.0756645452011656E-3</v>
          </cell>
          <cell r="AF77">
            <v>0.20504430301341106</v>
          </cell>
          <cell r="AG77">
            <v>0</v>
          </cell>
          <cell r="AH77">
            <v>7.0512579058552328E-4</v>
          </cell>
          <cell r="AI77">
            <v>6.5827423975141922E-2</v>
          </cell>
          <cell r="AJ77">
            <v>1.1736820151673999</v>
          </cell>
          <cell r="AK77">
            <v>4.429526455781974</v>
          </cell>
          <cell r="AL77">
            <v>6.5343238657445761</v>
          </cell>
          <cell r="AM77">
            <v>6.5534999210485259</v>
          </cell>
          <cell r="AN77">
            <v>6.403239820032792</v>
          </cell>
        </row>
        <row r="78">
          <cell r="A78" t="str">
            <v>Retro1Slow</v>
          </cell>
          <cell r="B78" t="str">
            <v>Retro</v>
          </cell>
          <cell r="C78" t="str">
            <v>Irrigation Hardware</v>
          </cell>
          <cell r="D78" t="str">
            <v>Agriculture</v>
          </cell>
          <cell r="E78" t="str">
            <v>Irrigation</v>
          </cell>
          <cell r="F78">
            <v>0</v>
          </cell>
          <cell r="G78">
            <v>5.934589210134638E-2</v>
          </cell>
          <cell r="H78">
            <v>194.21369478641333</v>
          </cell>
          <cell r="I78">
            <v>104.43927225893788</v>
          </cell>
          <cell r="J78" t="str">
            <v>Hand-Line_Conversion to Low Pressure System (Alfalfa)</v>
          </cell>
          <cell r="K78" t="str">
            <v>Washington</v>
          </cell>
          <cell r="L78">
            <v>1.3844801984023555E-4</v>
          </cell>
          <cell r="M78">
            <v>2.7962234420299991E-4</v>
          </cell>
          <cell r="N78">
            <v>5.0060917175616089E-4</v>
          </cell>
          <cell r="O78">
            <v>8.2207101423767675E-4</v>
          </cell>
          <cell r="P78">
            <v>1.2684559622911319E-3</v>
          </cell>
          <cell r="Q78">
            <v>1.828115517927831E-3</v>
          </cell>
          <cell r="R78">
            <v>2.4939827699530736E-3</v>
          </cell>
          <cell r="S78">
            <v>3.2476357389194009E-3</v>
          </cell>
          <cell r="T78">
            <v>4.0155232857350693E-3</v>
          </cell>
          <cell r="U78">
            <v>4.7920135782849324E-3</v>
          </cell>
          <cell r="V78">
            <v>5.3972755885035983E-3</v>
          </cell>
          <cell r="W78">
            <v>5.7607701035849142E-3</v>
          </cell>
          <cell r="X78">
            <v>5.8138441763771337E-3</v>
          </cell>
          <cell r="Y78">
            <v>5.5009885153657562E-3</v>
          </cell>
          <cell r="Z78">
            <v>4.8824415874103889E-3</v>
          </cell>
          <cell r="AA78">
            <v>4.0759956931068608E-3</v>
          </cell>
          <cell r="AB78">
            <v>3.1464809052963796E-3</v>
          </cell>
          <cell r="AC78">
            <v>2.1989796527683873E-3</v>
          </cell>
          <cell r="AD78">
            <v>1.4182196527891273E-3</v>
          </cell>
          <cell r="AE78">
            <v>9.3369251111178177E-4</v>
          </cell>
          <cell r="AF78">
            <v>6.2246167407452112E-2</v>
          </cell>
          <cell r="AG78">
            <v>0</v>
          </cell>
          <cell r="AH78">
            <v>7.0512579058552328E-4</v>
          </cell>
          <cell r="AI78">
            <v>6.5827423975141922E-2</v>
          </cell>
          <cell r="AJ78">
            <v>1.1736820151673999</v>
          </cell>
          <cell r="AK78">
            <v>4.429526455781974</v>
          </cell>
          <cell r="AL78">
            <v>6.5343238657445761</v>
          </cell>
          <cell r="AM78">
            <v>6.5534999210485259</v>
          </cell>
          <cell r="AN78">
            <v>6.403239820032792</v>
          </cell>
        </row>
        <row r="79">
          <cell r="A79" t="str">
            <v>Retro1Slow</v>
          </cell>
          <cell r="B79" t="str">
            <v>Retro</v>
          </cell>
          <cell r="C79" t="str">
            <v>Irrigation Hardware</v>
          </cell>
          <cell r="D79" t="str">
            <v>Agriculture</v>
          </cell>
          <cell r="E79" t="str">
            <v>Irrigation</v>
          </cell>
          <cell r="F79">
            <v>0</v>
          </cell>
          <cell r="G79">
            <v>1.9188321479738941E-2</v>
          </cell>
          <cell r="H79">
            <v>62.795160361993304</v>
          </cell>
          <cell r="I79">
            <v>719.93821700160993</v>
          </cell>
          <cell r="J79" t="str">
            <v>Variable Rate Irrigation</v>
          </cell>
          <cell r="K79" t="str">
            <v>Idaho</v>
          </cell>
          <cell r="L79">
            <v>1.4873628957455455E-2</v>
          </cell>
          <cell r="M79">
            <v>2.9520779668756221E-2</v>
          </cell>
          <cell r="N79">
            <v>5.1897743328942397E-2</v>
          </cell>
          <cell r="O79">
            <v>8.3465560732833469E-2</v>
          </cell>
          <cell r="P79">
            <v>0.12523891144017785</v>
          </cell>
          <cell r="Q79">
            <v>0.1762149886795695</v>
          </cell>
          <cell r="R79">
            <v>0.23549847401373147</v>
          </cell>
          <cell r="S79">
            <v>0.30235906138492857</v>
          </cell>
          <cell r="T79">
            <v>0.36953652546948151</v>
          </cell>
          <cell r="U79">
            <v>0.42989598992503358</v>
          </cell>
          <cell r="V79">
            <v>0.47553369252458394</v>
          </cell>
          <cell r="W79">
            <v>0.49716662683373364</v>
          </cell>
          <cell r="X79">
            <v>0.4921384861836362</v>
          </cell>
          <cell r="Y79">
            <v>0.45897579473392058</v>
          </cell>
          <cell r="Z79">
            <v>0.40138702027657674</v>
          </cell>
          <cell r="AA79">
            <v>0.3301696952534115</v>
          </cell>
          <cell r="AB79">
            <v>0.25113417523048964</v>
          </cell>
          <cell r="AC79">
            <v>0.17293350805049446</v>
          </cell>
          <cell r="AD79">
            <v>0.10989518487996071</v>
          </cell>
          <cell r="AE79">
            <v>7.128797268971615E-2</v>
          </cell>
          <cell r="AF79">
            <v>4.7525315126477423</v>
          </cell>
          <cell r="AG79">
            <v>0</v>
          </cell>
          <cell r="AH79">
            <v>2.2798849043004172E-4</v>
          </cell>
          <cell r="AI79">
            <v>2.1283996729900726E-2</v>
          </cell>
          <cell r="AJ79">
            <v>0.37948688653226886</v>
          </cell>
          <cell r="AK79">
            <v>1.4321998478244269</v>
          </cell>
          <cell r="AL79">
            <v>2.1127444975385732</v>
          </cell>
          <cell r="AM79">
            <v>2.1189446960840272</v>
          </cell>
          <cell r="AN79">
            <v>2.0703610617029957</v>
          </cell>
        </row>
        <row r="80">
          <cell r="A80" t="str">
            <v>Retro1Slow</v>
          </cell>
          <cell r="B80" t="str">
            <v>Retro</v>
          </cell>
          <cell r="C80" t="str">
            <v>Irrigation Hardware</v>
          </cell>
          <cell r="D80" t="str">
            <v>Agriculture</v>
          </cell>
          <cell r="E80" t="str">
            <v>Irrigation</v>
          </cell>
          <cell r="F80">
            <v>0</v>
          </cell>
          <cell r="G80">
            <v>6.7847147799303875E-3</v>
          </cell>
          <cell r="H80">
            <v>22.203466471310715</v>
          </cell>
          <cell r="I80">
            <v>1934.4424603632378</v>
          </cell>
          <cell r="J80" t="str">
            <v>Variable Rate Irrigation</v>
          </cell>
          <cell r="K80" t="str">
            <v>Montana</v>
          </cell>
          <cell r="L80">
            <v>3.7359988655362333E-4</v>
          </cell>
          <cell r="M80">
            <v>7.3580122410137722E-4</v>
          </cell>
          <cell r="N80">
            <v>1.2971037742720455E-3</v>
          </cell>
          <cell r="O80">
            <v>2.0910087813381826E-3</v>
          </cell>
          <cell r="P80">
            <v>3.1352964113481297E-3</v>
          </cell>
          <cell r="Q80">
            <v>4.4434627952056015E-3</v>
          </cell>
          <cell r="R80">
            <v>5.9700663695533398E-3</v>
          </cell>
          <cell r="S80">
            <v>7.6414704245418106E-3</v>
          </cell>
          <cell r="T80">
            <v>9.3653838535950069E-3</v>
          </cell>
          <cell r="U80">
            <v>1.0936945047033412E-2</v>
          </cell>
          <cell r="V80">
            <v>1.2147768537803213E-2</v>
          </cell>
          <cell r="W80">
            <v>1.2794554350129881E-2</v>
          </cell>
          <cell r="X80">
            <v>1.2798438284952278E-2</v>
          </cell>
          <cell r="Y80">
            <v>1.202196398534439E-2</v>
          </cell>
          <cell r="Z80">
            <v>1.0577471558384016E-2</v>
          </cell>
          <cell r="AA80">
            <v>8.7536394004852514E-3</v>
          </cell>
          <cell r="AB80">
            <v>6.6986943484877983E-3</v>
          </cell>
          <cell r="AC80">
            <v>4.6408378877147022E-3</v>
          </cell>
          <cell r="AD80">
            <v>2.9670769667945775E-3</v>
          </cell>
          <cell r="AE80">
            <v>1.9364189056956175E-3</v>
          </cell>
          <cell r="AF80">
            <v>0.12909459371304119</v>
          </cell>
          <cell r="AG80">
            <v>0</v>
          </cell>
          <cell r="AH80">
            <v>8.0613454507109217E-5</v>
          </cell>
          <cell r="AI80">
            <v>7.5257154379983916E-3</v>
          </cell>
          <cell r="AJ80">
            <v>0.13418111065962188</v>
          </cell>
          <cell r="AK80">
            <v>0.50640528852973143</v>
          </cell>
          <cell r="AL80">
            <v>0.74703609869171195</v>
          </cell>
          <cell r="AM80">
            <v>0.74922839981373901</v>
          </cell>
          <cell r="AN80">
            <v>0.7320499247399409</v>
          </cell>
        </row>
        <row r="81">
          <cell r="A81" t="str">
            <v>Retro1Slow</v>
          </cell>
          <cell r="B81" t="str">
            <v>Retro</v>
          </cell>
          <cell r="C81" t="str">
            <v>Irrigation Hardware</v>
          </cell>
          <cell r="D81" t="str">
            <v>Agriculture</v>
          </cell>
          <cell r="E81" t="str">
            <v>Irrigation</v>
          </cell>
          <cell r="F81">
            <v>0</v>
          </cell>
          <cell r="G81">
            <v>1.4242705204498034E-2</v>
          </cell>
          <cell r="H81">
            <v>46.610275851872935</v>
          </cell>
          <cell r="I81">
            <v>1902.1149435237458</v>
          </cell>
          <cell r="J81" t="str">
            <v>Variable Rate Irrigation</v>
          </cell>
          <cell r="K81" t="str">
            <v>Oregon</v>
          </cell>
          <cell r="L81">
            <v>2.6541860011707226E-3</v>
          </cell>
          <cell r="M81">
            <v>5.3842991378386853E-3</v>
          </cell>
          <cell r="N81">
            <v>9.6632507144331029E-3</v>
          </cell>
          <cell r="O81">
            <v>1.5837797967036417E-2</v>
          </cell>
          <cell r="P81">
            <v>2.436527947211992E-2</v>
          </cell>
          <cell r="Q81">
            <v>3.4971032878353105E-2</v>
          </cell>
          <cell r="R81">
            <v>4.7642322863119799E-2</v>
          </cell>
          <cell r="S81">
            <v>6.1889037411224805E-2</v>
          </cell>
          <cell r="T81">
            <v>7.6870654688055526E-2</v>
          </cell>
          <cell r="U81">
            <v>9.1690237673666283E-2</v>
          </cell>
          <cell r="V81">
            <v>0.10333700755735255</v>
          </cell>
          <cell r="W81">
            <v>0.11031317024654641</v>
          </cell>
          <cell r="X81">
            <v>0.11122020217916483</v>
          </cell>
          <cell r="Y81">
            <v>0.10524325624906666</v>
          </cell>
          <cell r="Z81">
            <v>9.3779138613865512E-2</v>
          </cell>
          <cell r="AA81">
            <v>7.8599275734192883E-2</v>
          </cell>
          <cell r="AB81">
            <v>6.0915185754732419E-2</v>
          </cell>
          <cell r="AC81">
            <v>4.2740276536569172E-2</v>
          </cell>
          <cell r="AD81">
            <v>2.7674211825665599E-2</v>
          </cell>
          <cell r="AE81">
            <v>1.8291582561307571E-2</v>
          </cell>
          <cell r="AF81">
            <v>1.2194388374205047</v>
          </cell>
          <cell r="AG81">
            <v>0</v>
          </cell>
          <cell r="AH81">
            <v>1.6922651950783261E-4</v>
          </cell>
          <cell r="AI81">
            <v>1.5798239117348813E-2</v>
          </cell>
          <cell r="AJ81">
            <v>0.28167757453714681</v>
          </cell>
          <cell r="AK81">
            <v>1.0630632933698263</v>
          </cell>
          <cell r="AL81">
            <v>1.5682037161322677</v>
          </cell>
          <cell r="AM81">
            <v>1.5728058695924076</v>
          </cell>
          <cell r="AN81">
            <v>1.5367442274637415</v>
          </cell>
        </row>
        <row r="82">
          <cell r="A82" t="str">
            <v>Retro1Slow</v>
          </cell>
          <cell r="B82" t="str">
            <v>Retro</v>
          </cell>
          <cell r="C82" t="str">
            <v>Irrigation Hardware</v>
          </cell>
          <cell r="D82" t="str">
            <v>Agriculture</v>
          </cell>
          <cell r="E82" t="str">
            <v>Irrigation</v>
          </cell>
          <cell r="F82">
            <v>0</v>
          </cell>
          <cell r="G82">
            <v>1.6040311648681783E-2</v>
          </cell>
          <cell r="H82">
            <v>52.493072064635093</v>
          </cell>
          <cell r="I82">
            <v>1157.4030022431725</v>
          </cell>
          <cell r="J82" t="str">
            <v>Variable Rate Irrigation</v>
          </cell>
          <cell r="K82" t="str">
            <v>Washington</v>
          </cell>
          <cell r="L82">
            <v>6.5222829483425971E-3</v>
          </cell>
          <cell r="M82">
            <v>1.3173002038421264E-2</v>
          </cell>
          <cell r="N82">
            <v>2.3583686270825341E-2</v>
          </cell>
          <cell r="O82">
            <v>3.8727746086050341E-2</v>
          </cell>
          <cell r="P82">
            <v>5.9756930457524622E-2</v>
          </cell>
          <cell r="Q82">
            <v>8.6122478919817627E-2</v>
          </cell>
          <cell r="R82">
            <v>0.11749146945327295</v>
          </cell>
          <cell r="S82">
            <v>0.15299604304074077</v>
          </cell>
          <cell r="T82">
            <v>0.18917120725486217</v>
          </cell>
          <cell r="U82">
            <v>0.22575164661756134</v>
          </cell>
          <cell r="V82">
            <v>0.25426552563933619</v>
          </cell>
          <cell r="W82">
            <v>0.27138974366908314</v>
          </cell>
          <cell r="X82">
            <v>0.2738900619861761</v>
          </cell>
          <cell r="Y82">
            <v>0.2591514391769682</v>
          </cell>
          <cell r="Z82">
            <v>0.23001170799404139</v>
          </cell>
          <cell r="AA82">
            <v>0.19202006093945359</v>
          </cell>
          <cell r="AB82">
            <v>0.14823064121525259</v>
          </cell>
          <cell r="AC82">
            <v>0.10359387956255486</v>
          </cell>
          <cell r="AD82">
            <v>6.6812294383589613E-2</v>
          </cell>
          <cell r="AE82">
            <v>4.3986232170362453E-2</v>
          </cell>
          <cell r="AF82">
            <v>2.9324154780241645</v>
          </cell>
          <cell r="AG82">
            <v>0</v>
          </cell>
          <cell r="AH82">
            <v>1.9058500988071455E-4</v>
          </cell>
          <cell r="AI82">
            <v>1.7792173277773143E-2</v>
          </cell>
          <cell r="AJ82">
            <v>0.31722878590464126</v>
          </cell>
          <cell r="AK82">
            <v>1.1972350956573081</v>
          </cell>
          <cell r="AL82">
            <v>1.7661305190420116</v>
          </cell>
          <cell r="AM82">
            <v>1.7713135214769979</v>
          </cell>
          <cell r="AN82">
            <v>1.7307004518387692</v>
          </cell>
        </row>
      </sheetData>
      <sheetData sheetId="3">
        <row r="7">
          <cell r="B7" t="str">
            <v>Vintage</v>
          </cell>
          <cell r="C7" t="str">
            <v>Retro</v>
          </cell>
          <cell r="D7" t="str">
            <v>Stock</v>
          </cell>
        </row>
        <row r="8">
          <cell r="A8" t="str">
            <v>End Use:</v>
          </cell>
          <cell r="B8" t="str">
            <v>Measure Bundle</v>
          </cell>
          <cell r="C8" t="str">
            <v>Irrigation Hardware</v>
          </cell>
          <cell r="D8" t="str">
            <v>Region</v>
          </cell>
        </row>
        <row r="9">
          <cell r="A9" t="str">
            <v>Irrigation</v>
          </cell>
          <cell r="B9" t="str">
            <v>Report Year</v>
          </cell>
          <cell r="C9">
            <v>2041</v>
          </cell>
          <cell r="D9" t="str">
            <v>Base</v>
          </cell>
        </row>
        <row r="10">
          <cell r="B10" t="str">
            <v>Total Max Potential (aMW)</v>
          </cell>
          <cell r="C10">
            <v>48.619251154102074</v>
          </cell>
        </row>
        <row r="11">
          <cell r="A11" t="str">
            <v># OF EXISTING HOMES FOR MEASURE -Irrigation Hardware</v>
          </cell>
          <cell r="C11" t="str">
            <v># acres</v>
          </cell>
          <cell r="E11">
            <v>2022</v>
          </cell>
          <cell r="F11">
            <v>2023</v>
          </cell>
          <cell r="G11">
            <v>2024</v>
          </cell>
          <cell r="H11">
            <v>2025</v>
          </cell>
          <cell r="I11">
            <v>2026</v>
          </cell>
          <cell r="J11">
            <v>2027</v>
          </cell>
          <cell r="K11">
            <v>2028</v>
          </cell>
          <cell r="L11">
            <v>2029</v>
          </cell>
          <cell r="M11">
            <v>2030</v>
          </cell>
          <cell r="N11">
            <v>2031</v>
          </cell>
          <cell r="O11">
            <v>2032</v>
          </cell>
          <cell r="P11">
            <v>2033</v>
          </cell>
          <cell r="Q11">
            <v>2034</v>
          </cell>
          <cell r="R11">
            <v>2035</v>
          </cell>
          <cell r="S11">
            <v>2036</v>
          </cell>
          <cell r="T11">
            <v>2037</v>
          </cell>
          <cell r="U11">
            <v>2038</v>
          </cell>
          <cell r="V11">
            <v>2039</v>
          </cell>
          <cell r="W11">
            <v>2040</v>
          </cell>
          <cell r="X11">
            <v>2041</v>
          </cell>
        </row>
        <row r="12">
          <cell r="E12" t="str">
            <v>ACRES_2022</v>
          </cell>
          <cell r="F12" t="str">
            <v>ACRES_2023</v>
          </cell>
          <cell r="G12" t="str">
            <v>ACRES_2024</v>
          </cell>
          <cell r="H12" t="str">
            <v>ACRES_2025</v>
          </cell>
          <cell r="I12" t="str">
            <v>ACRES_2026</v>
          </cell>
          <cell r="J12" t="str">
            <v>ACRES_2027</v>
          </cell>
          <cell r="K12" t="str">
            <v>ACRES_2028</v>
          </cell>
          <cell r="L12" t="str">
            <v>ACRES_2029</v>
          </cell>
          <cell r="M12" t="str">
            <v>ACRES_2030</v>
          </cell>
          <cell r="N12" t="str">
            <v>ACRES_2031</v>
          </cell>
          <cell r="O12" t="str">
            <v>ACRES_2032</v>
          </cell>
          <cell r="P12" t="str">
            <v>ACRES_2033</v>
          </cell>
          <cell r="Q12" t="str">
            <v>ACRES_2034</v>
          </cell>
          <cell r="R12" t="str">
            <v>ACRES_2035</v>
          </cell>
          <cell r="S12" t="str">
            <v>ACRES_2036</v>
          </cell>
          <cell r="T12" t="str">
            <v>ACRES_2037</v>
          </cell>
          <cell r="U12" t="str">
            <v>ACRES_2038</v>
          </cell>
          <cell r="V12" t="str">
            <v>ACRES_2039</v>
          </cell>
          <cell r="W12" t="str">
            <v>ACRES_2040</v>
          </cell>
          <cell r="X12" t="str">
            <v>ACRES_2041</v>
          </cell>
        </row>
        <row r="13">
          <cell r="B13" t="str">
            <v>Wheel and Hand - Idaho</v>
          </cell>
          <cell r="C13" t="str">
            <v>Wheel and Hand</v>
          </cell>
          <cell r="D13" t="str">
            <v>Idaho</v>
          </cell>
          <cell r="E13">
            <v>501256</v>
          </cell>
          <cell r="F13">
            <v>497704.90475957433</v>
          </cell>
          <cell r="G13">
            <v>492788.78764874738</v>
          </cell>
          <cell r="H13">
            <v>487224.36288421042</v>
          </cell>
          <cell r="I13">
            <v>481647.32781892171</v>
          </cell>
          <cell r="J13">
            <v>473178.38802921004</v>
          </cell>
          <cell r="K13">
            <v>464882.88306079467</v>
          </cell>
          <cell r="L13">
            <v>460418.14561933739</v>
          </cell>
          <cell r="M13">
            <v>454964.62240387633</v>
          </cell>
          <cell r="N13">
            <v>448830.48843551945</v>
          </cell>
          <cell r="O13">
            <v>442519.63751279411</v>
          </cell>
          <cell r="P13">
            <v>434899.04275035922</v>
          </cell>
          <cell r="Q13">
            <v>428710.83995823184</v>
          </cell>
          <cell r="R13">
            <v>424138.65584461682</v>
          </cell>
          <cell r="S13">
            <v>421873.29304931883</v>
          </cell>
          <cell r="T13">
            <v>419620.02976092411</v>
          </cell>
          <cell r="U13">
            <v>417378.8013548755</v>
          </cell>
          <cell r="V13">
            <v>415149.54355178156</v>
          </cell>
          <cell r="W13">
            <v>412932.19241557276</v>
          </cell>
          <cell r="X13">
            <v>410726.68435166794</v>
          </cell>
        </row>
        <row r="14">
          <cell r="B14" t="str">
            <v>Pivot and Linear - Idaho</v>
          </cell>
          <cell r="C14" t="str">
            <v>Pivot and Linear</v>
          </cell>
          <cell r="D14" t="str">
            <v>Idaho</v>
          </cell>
          <cell r="E14">
            <v>2003997</v>
          </cell>
          <cell r="F14">
            <v>1989799.8947114302</v>
          </cell>
          <cell r="G14">
            <v>1970145.4986707927</v>
          </cell>
          <cell r="H14">
            <v>1947899.200302578</v>
          </cell>
          <cell r="I14">
            <v>1925602.4865680125</v>
          </cell>
          <cell r="J14">
            <v>1891744.0790242369</v>
          </cell>
          <cell r="K14">
            <v>1858579.055423144</v>
          </cell>
          <cell r="L14">
            <v>1840729.2532492685</v>
          </cell>
          <cell r="M14">
            <v>1818926.3338563549</v>
          </cell>
          <cell r="N14">
            <v>1794402.3659234317</v>
          </cell>
          <cell r="O14">
            <v>1769171.8922401464</v>
          </cell>
          <cell r="P14">
            <v>1738705.1266709857</v>
          </cell>
          <cell r="Q14">
            <v>1713964.9942220678</v>
          </cell>
          <cell r="R14">
            <v>1695685.625502028</v>
          </cell>
          <cell r="S14">
            <v>1686628.815716831</v>
          </cell>
          <cell r="T14">
            <v>1677620.3791691326</v>
          </cell>
          <cell r="U14">
            <v>1668660.0574931104</v>
          </cell>
          <cell r="V14">
            <v>1659747.5937028977</v>
          </cell>
          <cell r="W14">
            <v>1650882.732185212</v>
          </cell>
          <cell r="X14">
            <v>1642065.2186920247</v>
          </cell>
        </row>
        <row r="15">
          <cell r="B15" t="str">
            <v>Wheel-Line (Alfalfa) - Idaho</v>
          </cell>
          <cell r="C15" t="str">
            <v>Wheel-Line (Alfalfa)</v>
          </cell>
          <cell r="D15" t="str">
            <v>Idaho</v>
          </cell>
          <cell r="E15">
            <v>597170.76052962604</v>
          </cell>
          <cell r="F15">
            <v>592940.16728897032</v>
          </cell>
          <cell r="G15">
            <v>587083.35680904542</v>
          </cell>
          <cell r="H15">
            <v>580454.18574964977</v>
          </cell>
          <cell r="I15">
            <v>573809.99142292084</v>
          </cell>
          <cell r="J15">
            <v>563720.52972051385</v>
          </cell>
          <cell r="K15">
            <v>553837.68939348357</v>
          </cell>
          <cell r="L15">
            <v>548518.62956481287</v>
          </cell>
          <cell r="M15">
            <v>542021.58093867602</v>
          </cell>
          <cell r="N15">
            <v>534713.68747291341</v>
          </cell>
          <cell r="O15">
            <v>527195.262466304</v>
          </cell>
          <cell r="P15">
            <v>518116.47563887184</v>
          </cell>
          <cell r="Q15">
            <v>510744.16734194121</v>
          </cell>
          <cell r="R15">
            <v>505297.10104366456</v>
          </cell>
          <cell r="S15">
            <v>502598.26367644378</v>
          </cell>
          <cell r="T15">
            <v>499913.84104289091</v>
          </cell>
          <cell r="U15">
            <v>497243.75615261402</v>
          </cell>
          <cell r="V15">
            <v>494587.93242643372</v>
          </cell>
          <cell r="W15">
            <v>491946.29369418701</v>
          </cell>
          <cell r="X15">
            <v>489318.76419254259</v>
          </cell>
        </row>
        <row r="16">
          <cell r="B16" t="str">
            <v>Hand-Line (Alfalfa) - Idaho</v>
          </cell>
          <cell r="C16" t="str">
            <v>Hand-Line (Alfalfa)</v>
          </cell>
          <cell r="D16" t="str">
            <v>Idaho</v>
          </cell>
          <cell r="E16">
            <v>91815.239470373926</v>
          </cell>
          <cell r="F16">
            <v>91164.784094514514</v>
          </cell>
          <cell r="G16">
            <v>90264.297178058696</v>
          </cell>
          <cell r="H16">
            <v>89245.059518517781</v>
          </cell>
          <cell r="I16">
            <v>88223.512025711403</v>
          </cell>
          <cell r="J16">
            <v>86672.253317880371</v>
          </cell>
          <cell r="K16">
            <v>85152.762727837093</v>
          </cell>
          <cell r="L16">
            <v>84334.955185663537</v>
          </cell>
          <cell r="M16">
            <v>83336.031402237903</v>
          </cell>
          <cell r="N16">
            <v>82212.439905581414</v>
          </cell>
          <cell r="O16">
            <v>81056.479101657154</v>
          </cell>
          <cell r="P16">
            <v>79660.612053642501</v>
          </cell>
          <cell r="Q16">
            <v>78527.116751341062</v>
          </cell>
          <cell r="R16">
            <v>77689.628164083842</v>
          </cell>
          <cell r="S16">
            <v>77274.680856645005</v>
          </cell>
          <cell r="T16">
            <v>76861.949820181078</v>
          </cell>
          <cell r="U16">
            <v>76451.423217388976</v>
          </cell>
          <cell r="V16">
            <v>76043.089274189755</v>
          </cell>
          <cell r="W16">
            <v>75636.936279390851</v>
          </cell>
          <cell r="X16">
            <v>75232.952584350263</v>
          </cell>
        </row>
        <row r="17">
          <cell r="B17" t="str">
            <v>Wheel and Hand - Montana</v>
          </cell>
          <cell r="C17" t="str">
            <v>Wheel and Hand</v>
          </cell>
          <cell r="D17" t="str">
            <v>Montana</v>
          </cell>
          <cell r="E17">
            <v>47308.400000000009</v>
          </cell>
          <cell r="F17">
            <v>46611.543756985178</v>
          </cell>
          <cell r="G17">
            <v>46278.145868170242</v>
          </cell>
          <cell r="H17">
            <v>45863.41838031973</v>
          </cell>
          <cell r="I17">
            <v>45306.171018045301</v>
          </cell>
          <cell r="J17">
            <v>44832.451352077675</v>
          </cell>
          <cell r="K17">
            <v>44281.620057513857</v>
          </cell>
          <cell r="L17">
            <v>43721.521109590256</v>
          </cell>
          <cell r="M17">
            <v>43324.616032047023</v>
          </cell>
          <cell r="N17">
            <v>42904.601229138687</v>
          </cell>
          <cell r="O17">
            <v>42475.31877287056</v>
          </cell>
          <cell r="P17">
            <v>42053.343504828415</v>
          </cell>
          <cell r="Q17">
            <v>41891.218979066485</v>
          </cell>
          <cell r="R17">
            <v>41742.87711727553</v>
          </cell>
          <cell r="S17">
            <v>41772.402910351266</v>
          </cell>
          <cell r="T17">
            <v>41801.949587767442</v>
          </cell>
          <cell r="U17">
            <v>41831.517164296085</v>
          </cell>
          <cell r="V17">
            <v>41861.105654719664</v>
          </cell>
          <cell r="W17">
            <v>41890.715073831103</v>
          </cell>
          <cell r="X17">
            <v>41920.345436433796</v>
          </cell>
        </row>
        <row r="18">
          <cell r="B18" t="str">
            <v>Pivot and Linear - Montana</v>
          </cell>
          <cell r="C18" t="str">
            <v>Pivot and Linear</v>
          </cell>
          <cell r="D18" t="str">
            <v>Montana</v>
          </cell>
          <cell r="E18">
            <v>142361.40000000002</v>
          </cell>
          <cell r="F18">
            <v>140264.40601258274</v>
          </cell>
          <cell r="G18">
            <v>139261.13830095567</v>
          </cell>
          <cell r="H18">
            <v>138013.13190486361</v>
          </cell>
          <cell r="I18">
            <v>136336.25180239353</v>
          </cell>
          <cell r="J18">
            <v>134910.72494342804</v>
          </cell>
          <cell r="K18">
            <v>133253.15220247893</v>
          </cell>
          <cell r="L18">
            <v>131567.69105044397</v>
          </cell>
          <cell r="M18">
            <v>130373.31621413238</v>
          </cell>
          <cell r="N18">
            <v>129109.39912197211</v>
          </cell>
          <cell r="O18">
            <v>127817.59361872596</v>
          </cell>
          <cell r="P18">
            <v>126547.77705498981</v>
          </cell>
          <cell r="Q18">
            <v>126059.90863285326</v>
          </cell>
          <cell r="R18">
            <v>125613.51528361365</v>
          </cell>
          <cell r="S18">
            <v>125702.36490098335</v>
          </cell>
          <cell r="T18">
            <v>125791.27736393528</v>
          </cell>
          <cell r="U18">
            <v>125880.25271692175</v>
          </cell>
          <cell r="V18">
            <v>125969.29100442644</v>
          </cell>
          <cell r="W18">
            <v>126058.39227096456</v>
          </cell>
          <cell r="X18">
            <v>126147.55656108275</v>
          </cell>
        </row>
        <row r="19">
          <cell r="B19" t="str">
            <v>Wheel-Line (Alfalfa) - Montana</v>
          </cell>
          <cell r="C19" t="str">
            <v>Wheel-Line (Alfalfa)</v>
          </cell>
          <cell r="D19" t="str">
            <v>Montana</v>
          </cell>
          <cell r="E19">
            <v>89191.068465127988</v>
          </cell>
          <cell r="F19">
            <v>87877.277407280169</v>
          </cell>
          <cell r="G19">
            <v>87248.718548231423</v>
          </cell>
          <cell r="H19">
            <v>86466.828064443223</v>
          </cell>
          <cell r="I19">
            <v>85416.243228755891</v>
          </cell>
          <cell r="J19">
            <v>84523.134115773923</v>
          </cell>
          <cell r="K19">
            <v>83484.645566041174</v>
          </cell>
          <cell r="L19">
            <v>82428.684603262896</v>
          </cell>
          <cell r="M19">
            <v>81680.394913793047</v>
          </cell>
          <cell r="N19">
            <v>80888.536194357075</v>
          </cell>
          <cell r="O19">
            <v>80079.205061875546</v>
          </cell>
          <cell r="P19">
            <v>79283.650255064538</v>
          </cell>
          <cell r="Q19">
            <v>78977.995029415208</v>
          </cell>
          <cell r="R19">
            <v>78698.324418038756</v>
          </cell>
          <cell r="S19">
            <v>78753.989733959505</v>
          </cell>
          <cell r="T19">
            <v>78809.694423366527</v>
          </cell>
          <cell r="U19">
            <v>78865.438514109701</v>
          </cell>
          <cell r="V19">
            <v>78921.222034058577</v>
          </cell>
          <cell r="W19">
            <v>78977.045011102426</v>
          </cell>
          <cell r="X19">
            <v>79032.907473150248</v>
          </cell>
        </row>
        <row r="20">
          <cell r="B20" t="str">
            <v>Hand-Line (Alfalfa) - Montana</v>
          </cell>
          <cell r="C20" t="str">
            <v>Hand-Line (Alfalfa)</v>
          </cell>
          <cell r="D20" t="str">
            <v>Montana</v>
          </cell>
          <cell r="E20">
            <v>13665.731534872024</v>
          </cell>
          <cell r="F20">
            <v>13464.434295154761</v>
          </cell>
          <cell r="G20">
            <v>13368.127380466502</v>
          </cell>
          <cell r="H20">
            <v>13248.327207366227</v>
          </cell>
          <cell r="I20">
            <v>13087.358059152422</v>
          </cell>
          <cell r="J20">
            <v>12950.517122280688</v>
          </cell>
          <cell r="K20">
            <v>12791.401350187039</v>
          </cell>
          <cell r="L20">
            <v>12629.608479253164</v>
          </cell>
          <cell r="M20">
            <v>12514.956573153331</v>
          </cell>
          <cell r="N20">
            <v>12393.629080842926</v>
          </cell>
          <cell r="O20">
            <v>12269.624489692291</v>
          </cell>
          <cell r="P20">
            <v>12147.730688011836</v>
          </cell>
          <cell r="Q20">
            <v>12100.898619197818</v>
          </cell>
          <cell r="R20">
            <v>12058.047876864146</v>
          </cell>
          <cell r="S20">
            <v>12066.576839194879</v>
          </cell>
          <cell r="T20">
            <v>12075.111834276449</v>
          </cell>
          <cell r="U20">
            <v>12083.652866375976</v>
          </cell>
          <cell r="V20">
            <v>12092.199939763594</v>
          </cell>
          <cell r="W20">
            <v>12100.753058712458</v>
          </cell>
          <cell r="X20">
            <v>12109.312227498749</v>
          </cell>
        </row>
        <row r="21">
          <cell r="B21" t="str">
            <v>Wheel and Hand - Oregon</v>
          </cell>
          <cell r="C21" t="str">
            <v>Wheel and Hand</v>
          </cell>
          <cell r="D21" t="str">
            <v>Oregon</v>
          </cell>
          <cell r="E21">
            <v>423742</v>
          </cell>
          <cell r="F21">
            <v>430032.02014261053</v>
          </cell>
          <cell r="G21">
            <v>434673.44426767842</v>
          </cell>
          <cell r="H21">
            <v>437969.63014101959</v>
          </cell>
          <cell r="I21">
            <v>443903.72056669043</v>
          </cell>
          <cell r="J21">
            <v>444854.54341476964</v>
          </cell>
          <cell r="K21">
            <v>445528.92332368501</v>
          </cell>
          <cell r="L21">
            <v>446447.80053639226</v>
          </cell>
          <cell r="M21">
            <v>448340.89385772659</v>
          </cell>
          <cell r="N21">
            <v>453491.93890613003</v>
          </cell>
          <cell r="O21">
            <v>455548.53351086436</v>
          </cell>
          <cell r="P21">
            <v>457131.72901504691</v>
          </cell>
          <cell r="Q21">
            <v>458974.26270874531</v>
          </cell>
          <cell r="R21">
            <v>460722.97181981581</v>
          </cell>
          <cell r="S21">
            <v>466930.73823985452</v>
          </cell>
          <cell r="T21">
            <v>473222.14790384419</v>
          </cell>
          <cell r="U21">
            <v>479598.32781814842</v>
          </cell>
          <cell r="V21">
            <v>486060.42017437797</v>
          </cell>
          <cell r="W21">
            <v>492609.58255399653</v>
          </cell>
          <cell r="X21">
            <v>499246.98813568288</v>
          </cell>
        </row>
        <row r="22">
          <cell r="B22" t="str">
            <v>Pivot and Linear - Oregon</v>
          </cell>
          <cell r="C22" t="str">
            <v>Pivot and Linear</v>
          </cell>
          <cell r="D22" t="str">
            <v>Oregon</v>
          </cell>
          <cell r="E22">
            <v>481788</v>
          </cell>
          <cell r="F22">
            <v>488939.65413026809</v>
          </cell>
          <cell r="G22">
            <v>494216.88047641318</v>
          </cell>
          <cell r="H22">
            <v>497964.59205455577</v>
          </cell>
          <cell r="I22">
            <v>504711.55968581041</v>
          </cell>
          <cell r="J22">
            <v>505792.63033335155</v>
          </cell>
          <cell r="K22">
            <v>506559.38970003347</v>
          </cell>
          <cell r="L22">
            <v>507604.13866179745</v>
          </cell>
          <cell r="M22">
            <v>509756.55604100233</v>
          </cell>
          <cell r="N22">
            <v>515613.2133744274</v>
          </cell>
          <cell r="O22">
            <v>517951.52914540534</v>
          </cell>
          <cell r="P22">
            <v>519751.59757281892</v>
          </cell>
          <cell r="Q22">
            <v>521846.5294493371</v>
          </cell>
          <cell r="R22">
            <v>523834.78424873017</v>
          </cell>
          <cell r="S22">
            <v>530892.91718806024</v>
          </cell>
          <cell r="T22">
            <v>538046.15118231683</v>
          </cell>
          <cell r="U22">
            <v>545295.76762003789</v>
          </cell>
          <cell r="V22">
            <v>552643.0651551492</v>
          </cell>
          <cell r="W22">
            <v>560089.35993959743</v>
          </cell>
          <cell r="X22">
            <v>567635.98585911805</v>
          </cell>
        </row>
        <row r="23">
          <cell r="B23" t="str">
            <v>Wheel-Line (Alfalfa) - Oregon</v>
          </cell>
          <cell r="C23" t="str">
            <v>Wheel-Line (Alfalfa)</v>
          </cell>
          <cell r="D23" t="str">
            <v>Oregon</v>
          </cell>
          <cell r="E23">
            <v>190738.0323335045</v>
          </cell>
          <cell r="F23">
            <v>193569.34493725782</v>
          </cell>
          <cell r="G23">
            <v>195658.57872772633</v>
          </cell>
          <cell r="H23">
            <v>197142.28345297562</v>
          </cell>
          <cell r="I23">
            <v>199813.3822146786</v>
          </cell>
          <cell r="J23">
            <v>200241.37396234667</v>
          </cell>
          <cell r="K23">
            <v>200544.93107226677</v>
          </cell>
          <cell r="L23">
            <v>200958.54320301584</v>
          </cell>
          <cell r="M23">
            <v>201810.67703712956</v>
          </cell>
          <cell r="N23">
            <v>204129.30534632175</v>
          </cell>
          <cell r="O23">
            <v>205055.0356449816</v>
          </cell>
          <cell r="P23">
            <v>205767.6758724479</v>
          </cell>
          <cell r="Q23">
            <v>206597.05141521737</v>
          </cell>
          <cell r="R23">
            <v>207384.19390987037</v>
          </cell>
          <cell r="S23">
            <v>210178.48183069055</v>
          </cell>
          <cell r="T23">
            <v>213010.41989657353</v>
          </cell>
          <cell r="U23">
            <v>215880.51540435609</v>
          </cell>
          <cell r="V23">
            <v>218789.28248617618</v>
          </cell>
          <cell r="W23">
            <v>221737.24220157153</v>
          </cell>
          <cell r="X23">
            <v>224724.92263081923</v>
          </cell>
        </row>
        <row r="24">
          <cell r="B24" t="str">
            <v>Hand-Line (Alfalfa) - Oregon</v>
          </cell>
          <cell r="C24" t="str">
            <v>Hand-Line (Alfalfa)</v>
          </cell>
          <cell r="D24" t="str">
            <v>Oregon</v>
          </cell>
          <cell r="E24">
            <v>60200.967666495497</v>
          </cell>
          <cell r="F24">
            <v>61094.589963145118</v>
          </cell>
          <cell r="G24">
            <v>61753.996450299339</v>
          </cell>
          <cell r="H24">
            <v>62222.285124029513</v>
          </cell>
          <cell r="I24">
            <v>63065.340534741386</v>
          </cell>
          <cell r="J24">
            <v>63200.423806009705</v>
          </cell>
          <cell r="K24">
            <v>63296.232866927785</v>
          </cell>
          <cell r="L24">
            <v>63426.777626172014</v>
          </cell>
          <cell r="M24">
            <v>63695.72913399354</v>
          </cell>
          <cell r="N24">
            <v>64427.537395642365</v>
          </cell>
          <cell r="O24">
            <v>64719.717508311631</v>
          </cell>
          <cell r="P24">
            <v>64944.641875867914</v>
          </cell>
          <cell r="Q24">
            <v>65206.410384344221</v>
          </cell>
          <cell r="R24">
            <v>65454.849247269442</v>
          </cell>
          <cell r="S24">
            <v>66336.785768864909</v>
          </cell>
          <cell r="T24">
            <v>67230.605474625772</v>
          </cell>
          <cell r="U24">
            <v>68136.46847819112</v>
          </cell>
          <cell r="V24">
            <v>69054.537050566025</v>
          </cell>
          <cell r="W24">
            <v>69984.975649189815</v>
          </cell>
          <cell r="X24">
            <v>70927.950947396079</v>
          </cell>
        </row>
        <row r="25">
          <cell r="B25" t="str">
            <v>Wheel and Hand - Washington</v>
          </cell>
          <cell r="C25" t="str">
            <v>Wheel and Hand</v>
          </cell>
          <cell r="D25" t="str">
            <v>Washington</v>
          </cell>
          <cell r="E25">
            <v>175434</v>
          </cell>
          <cell r="F25">
            <v>177255.75551544898</v>
          </cell>
          <cell r="G25">
            <v>178729.20446588544</v>
          </cell>
          <cell r="H25">
            <v>180432.76011009683</v>
          </cell>
          <cell r="I25">
            <v>183421.24685455332</v>
          </cell>
          <cell r="J25">
            <v>184573.80504344482</v>
          </cell>
          <cell r="K25">
            <v>185111.45029108791</v>
          </cell>
          <cell r="L25">
            <v>185943.55549573532</v>
          </cell>
          <cell r="M25">
            <v>185886.04250283222</v>
          </cell>
          <cell r="N25">
            <v>188114.11007566037</v>
          </cell>
          <cell r="O25">
            <v>188847.05872165854</v>
          </cell>
          <cell r="P25">
            <v>189474.77664895766</v>
          </cell>
          <cell r="Q25">
            <v>190425.41005781831</v>
          </cell>
          <cell r="R25">
            <v>191136.30567228462</v>
          </cell>
          <cell r="S25">
            <v>192947.93758765078</v>
          </cell>
          <cell r="T25">
            <v>194776.74054849273</v>
          </cell>
          <cell r="U25">
            <v>196622.87730575356</v>
          </cell>
          <cell r="V25">
            <v>198486.51215296553</v>
          </cell>
          <cell r="W25">
            <v>200367.81094087113</v>
          </cell>
          <cell r="X25">
            <v>202266.94109218268</v>
          </cell>
        </row>
        <row r="26">
          <cell r="B26" t="str">
            <v>Pivot and Linear - Washington</v>
          </cell>
          <cell r="C26" t="str">
            <v>Pivot and Linear</v>
          </cell>
          <cell r="D26" t="str">
            <v>Washington</v>
          </cell>
          <cell r="E26">
            <v>1051245</v>
          </cell>
          <cell r="F26">
            <v>1062161.4208582041</v>
          </cell>
          <cell r="G26">
            <v>1070990.7004841692</v>
          </cell>
          <cell r="H26">
            <v>1081198.8377506</v>
          </cell>
          <cell r="I26">
            <v>1099106.6078959317</v>
          </cell>
          <cell r="J26">
            <v>1106013.0287338607</v>
          </cell>
          <cell r="K26">
            <v>1109234.7353492179</v>
          </cell>
          <cell r="L26">
            <v>1114220.9206716728</v>
          </cell>
          <cell r="M26">
            <v>1113876.2882388239</v>
          </cell>
          <cell r="N26">
            <v>1127227.4339437482</v>
          </cell>
          <cell r="O26">
            <v>1131619.4480308825</v>
          </cell>
          <cell r="P26">
            <v>1135380.8929758964</v>
          </cell>
          <cell r="Q26">
            <v>1141077.3293445462</v>
          </cell>
          <cell r="R26">
            <v>1145337.1960763633</v>
          </cell>
          <cell r="S26">
            <v>1156192.9537565685</v>
          </cell>
          <cell r="T26">
            <v>1167151.6046940738</v>
          </cell>
          <cell r="U26">
            <v>1178214.1241337869</v>
          </cell>
          <cell r="V26">
            <v>1189381.4965642015</v>
          </cell>
          <cell r="W26">
            <v>1200654.7158050092</v>
          </cell>
          <cell r="X26">
            <v>1212034.7850955431</v>
          </cell>
        </row>
        <row r="27">
          <cell r="B27" t="str">
            <v>Wheel-Line (Alfalfa) - Washington</v>
          </cell>
          <cell r="C27" t="str">
            <v>Wheel-Line (Alfalfa)</v>
          </cell>
          <cell r="D27" t="str">
            <v>Washington</v>
          </cell>
          <cell r="E27">
            <v>209714.9457862901</v>
          </cell>
          <cell r="F27">
            <v>211892.68419023836</v>
          </cell>
          <cell r="G27">
            <v>213654.05465867463</v>
          </cell>
          <cell r="H27">
            <v>215690.49616698956</v>
          </cell>
          <cell r="I27">
            <v>219262.95267825155</v>
          </cell>
          <cell r="J27">
            <v>220640.72824113519</v>
          </cell>
          <cell r="K27">
            <v>221283.43287057834</v>
          </cell>
          <cell r="L27">
            <v>222278.13684974497</v>
          </cell>
          <cell r="M27">
            <v>222209.38544358267</v>
          </cell>
          <cell r="N27">
            <v>224872.83192627042</v>
          </cell>
          <cell r="O27">
            <v>225749.00350965586</v>
          </cell>
          <cell r="P27">
            <v>226499.38160678992</v>
          </cell>
          <cell r="Q27">
            <v>227635.77497296664</v>
          </cell>
          <cell r="R27">
            <v>228485.5842188797</v>
          </cell>
          <cell r="S27">
            <v>230651.2208053779</v>
          </cell>
          <cell r="T27">
            <v>232837.38377143224</v>
          </cell>
          <cell r="U27">
            <v>235044.26767057966</v>
          </cell>
          <cell r="V27">
            <v>237272.06890037833</v>
          </cell>
          <cell r="W27">
            <v>239520.98571988562</v>
          </cell>
          <cell r="X27">
            <v>241791.2182673018</v>
          </cell>
        </row>
        <row r="28">
          <cell r="B28" t="str">
            <v>Hand-Line (Alfalfa) - Washington</v>
          </cell>
          <cell r="C28" t="str">
            <v>Hand-Line (Alfalfa)</v>
          </cell>
          <cell r="D28" t="str">
            <v>Washington</v>
          </cell>
          <cell r="E28">
            <v>63664.054213709882</v>
          </cell>
          <cell r="F28">
            <v>64325.159483496063</v>
          </cell>
          <cell r="G28">
            <v>64859.866175823212</v>
          </cell>
          <cell r="H28">
            <v>65478.077348624072</v>
          </cell>
          <cell r="I28">
            <v>66562.583100736156</v>
          </cell>
          <cell r="J28">
            <v>66980.840263099468</v>
          </cell>
          <cell r="K28">
            <v>67175.948829247951</v>
          </cell>
          <cell r="L28">
            <v>67477.915328673276</v>
          </cell>
          <cell r="M28">
            <v>67457.044173149407</v>
          </cell>
          <cell r="N28">
            <v>68265.597901322617</v>
          </cell>
          <cell r="O28">
            <v>68531.581019388061</v>
          </cell>
          <cell r="P28">
            <v>68759.37647610961</v>
          </cell>
          <cell r="Q28">
            <v>69104.356222789662</v>
          </cell>
          <cell r="R28">
            <v>69362.336414426813</v>
          </cell>
          <cell r="S28">
            <v>70019.767884239729</v>
          </cell>
          <cell r="T28">
            <v>70683.430634021614</v>
          </cell>
          <cell r="U28">
            <v>71353.3837252136</v>
          </cell>
          <cell r="V28">
            <v>72029.686779054144</v>
          </cell>
          <cell r="W28">
            <v>72712.399981884897</v>
          </cell>
          <cell r="X28">
            <v>73401.584090506876</v>
          </cell>
        </row>
        <row r="30">
          <cell r="B30" t="str">
            <v>REG_TOTAL_STOCK_# ACRES</v>
          </cell>
          <cell r="C30" t="str">
            <v>Total Regional Stock</v>
          </cell>
          <cell r="E30">
            <v>6143292.5999999996</v>
          </cell>
          <cell r="F30">
            <v>6149098.0415471606</v>
          </cell>
          <cell r="G30">
            <v>6140974.7961111376</v>
          </cell>
          <cell r="H30">
            <v>6126513.4761608401</v>
          </cell>
          <cell r="I30">
            <v>6129276.7354753073</v>
          </cell>
          <cell r="J30">
            <v>6084829.4514234196</v>
          </cell>
          <cell r="K30">
            <v>6034998.2540845247</v>
          </cell>
          <cell r="L30">
            <v>6012706.2772348356</v>
          </cell>
          <cell r="M30">
            <v>5980174.4687625114</v>
          </cell>
          <cell r="N30">
            <v>5971597.1162332799</v>
          </cell>
          <cell r="O30">
            <v>5940606.9203552138</v>
          </cell>
          <cell r="P30">
            <v>5899123.8306606887</v>
          </cell>
          <cell r="Q30">
            <v>5871844.2640898805</v>
          </cell>
          <cell r="R30">
            <v>5852641.9968578238</v>
          </cell>
          <cell r="S30">
            <v>5870821.1907450343</v>
          </cell>
          <cell r="T30">
            <v>5889452.7171078557</v>
          </cell>
          <cell r="U30">
            <v>5908540.631635759</v>
          </cell>
          <cell r="V30">
            <v>5928089.0468511395</v>
          </cell>
          <cell r="W30">
            <v>5948102.1327809794</v>
          </cell>
          <cell r="X30">
            <v>5968584.1176373018</v>
          </cell>
        </row>
        <row r="33">
          <cell r="A33" t="str">
            <v># ACRES APPLICABLE BY YEAR FOR MEASURE - Irrigation Hardware - Retro</v>
          </cell>
          <cell r="AA33">
            <v>0.85</v>
          </cell>
        </row>
        <row r="34">
          <cell r="A34" t="str">
            <v>Applicability</v>
          </cell>
          <cell r="B34" t="str">
            <v>Irrigation Type</v>
          </cell>
          <cell r="C34" t="str">
            <v>Irrigation Hardware - Retro</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AA34" t="str">
            <v>MAX</v>
          </cell>
        </row>
        <row r="35">
          <cell r="A35">
            <v>0.30000000000000004</v>
          </cell>
          <cell r="B35" t="str">
            <v>Wheel and Hand</v>
          </cell>
          <cell r="C35" t="str">
            <v>Wheel and Hand_Rebuilt or new impact sprinkler</v>
          </cell>
          <cell r="D35" t="str">
            <v>Idaho</v>
          </cell>
          <cell r="E35">
            <v>150376.80000000002</v>
          </cell>
          <cell r="F35">
            <v>149311.47142787231</v>
          </cell>
          <cell r="G35">
            <v>147836.63629462424</v>
          </cell>
          <cell r="H35">
            <v>146167.30886526316</v>
          </cell>
          <cell r="I35">
            <v>144494.19834567653</v>
          </cell>
          <cell r="J35">
            <v>141953.51640876304</v>
          </cell>
          <cell r="K35">
            <v>139464.86491823843</v>
          </cell>
          <cell r="L35">
            <v>138125.44368580123</v>
          </cell>
          <cell r="M35">
            <v>136489.38672116291</v>
          </cell>
          <cell r="N35">
            <v>134649.14653065585</v>
          </cell>
          <cell r="O35">
            <v>132755.89125383826</v>
          </cell>
          <cell r="P35">
            <v>130469.71282510778</v>
          </cell>
          <cell r="Q35">
            <v>128613.25198746957</v>
          </cell>
          <cell r="R35">
            <v>127241.59675338506</v>
          </cell>
          <cell r="S35">
            <v>126561.98791479567</v>
          </cell>
          <cell r="T35">
            <v>125886.00892827725</v>
          </cell>
          <cell r="U35">
            <v>125213.64040646267</v>
          </cell>
          <cell r="V35">
            <v>124544.86306553449</v>
          </cell>
          <cell r="W35">
            <v>123879.65772467185</v>
          </cell>
          <cell r="X35">
            <v>123218.0053055004</v>
          </cell>
          <cell r="Z35" t="str">
            <v>Wheel and Hand_Rebuilt or new impact sprinkler - Idaho</v>
          </cell>
          <cell r="AA35">
            <v>104735.30450967533</v>
          </cell>
        </row>
        <row r="36">
          <cell r="A36">
            <v>0.30000000000000004</v>
          </cell>
          <cell r="B36" t="str">
            <v>Wheel and Hand</v>
          </cell>
          <cell r="C36" t="str">
            <v>Wheel and Hand_Gaskets</v>
          </cell>
          <cell r="D36" t="str">
            <v>Idaho</v>
          </cell>
          <cell r="E36">
            <v>150376.80000000002</v>
          </cell>
          <cell r="F36">
            <v>149311.47142787231</v>
          </cell>
          <cell r="G36">
            <v>147836.63629462424</v>
          </cell>
          <cell r="H36">
            <v>146167.30886526316</v>
          </cell>
          <cell r="I36">
            <v>144494.19834567653</v>
          </cell>
          <cell r="J36">
            <v>141953.51640876304</v>
          </cell>
          <cell r="K36">
            <v>139464.86491823843</v>
          </cell>
          <cell r="L36">
            <v>138125.44368580123</v>
          </cell>
          <cell r="M36">
            <v>136489.38672116291</v>
          </cell>
          <cell r="N36">
            <v>134649.14653065585</v>
          </cell>
          <cell r="O36">
            <v>132755.89125383826</v>
          </cell>
          <cell r="P36">
            <v>130469.71282510778</v>
          </cell>
          <cell r="Q36">
            <v>128613.25198746957</v>
          </cell>
          <cell r="R36">
            <v>127241.59675338506</v>
          </cell>
          <cell r="S36">
            <v>126561.98791479567</v>
          </cell>
          <cell r="T36">
            <v>125886.00892827725</v>
          </cell>
          <cell r="U36">
            <v>125213.64040646267</v>
          </cell>
          <cell r="V36">
            <v>124544.86306553449</v>
          </cell>
          <cell r="W36">
            <v>123879.65772467185</v>
          </cell>
          <cell r="X36">
            <v>123218.0053055004</v>
          </cell>
          <cell r="Z36" t="str">
            <v>Wheel and Hand_Gaskets - Idaho</v>
          </cell>
          <cell r="AA36">
            <v>104735.30450967533</v>
          </cell>
        </row>
        <row r="37">
          <cell r="A37">
            <v>0.30000000000000004</v>
          </cell>
          <cell r="B37" t="str">
            <v>Wheel and Hand</v>
          </cell>
          <cell r="C37" t="str">
            <v>Wheel and Hand_Drains</v>
          </cell>
          <cell r="D37" t="str">
            <v>Idaho</v>
          </cell>
          <cell r="E37">
            <v>150376.80000000002</v>
          </cell>
          <cell r="F37">
            <v>149311.47142787231</v>
          </cell>
          <cell r="G37">
            <v>147836.63629462424</v>
          </cell>
          <cell r="H37">
            <v>146167.30886526316</v>
          </cell>
          <cell r="I37">
            <v>144494.19834567653</v>
          </cell>
          <cell r="J37">
            <v>141953.51640876304</v>
          </cell>
          <cell r="K37">
            <v>139464.86491823843</v>
          </cell>
          <cell r="L37">
            <v>138125.44368580123</v>
          </cell>
          <cell r="M37">
            <v>136489.38672116291</v>
          </cell>
          <cell r="N37">
            <v>134649.14653065585</v>
          </cell>
          <cell r="O37">
            <v>132755.89125383826</v>
          </cell>
          <cell r="P37">
            <v>130469.71282510778</v>
          </cell>
          <cell r="Q37">
            <v>128613.25198746957</v>
          </cell>
          <cell r="R37">
            <v>127241.59675338506</v>
          </cell>
          <cell r="S37">
            <v>126561.98791479567</v>
          </cell>
          <cell r="T37">
            <v>125886.00892827725</v>
          </cell>
          <cell r="U37">
            <v>125213.64040646267</v>
          </cell>
          <cell r="V37">
            <v>124544.86306553449</v>
          </cell>
          <cell r="W37">
            <v>123879.65772467185</v>
          </cell>
          <cell r="X37">
            <v>123218.0053055004</v>
          </cell>
          <cell r="Z37" t="str">
            <v>Wheel and Hand_Drains - Idaho</v>
          </cell>
          <cell r="AA37">
            <v>104735.30450967533</v>
          </cell>
        </row>
        <row r="38">
          <cell r="A38">
            <v>0.30000000000000004</v>
          </cell>
          <cell r="B38" t="str">
            <v>Wheel and Hand</v>
          </cell>
          <cell r="C38" t="str">
            <v>Wheel and Hand_Cut and press repair</v>
          </cell>
          <cell r="D38" t="str">
            <v>Idaho</v>
          </cell>
          <cell r="E38">
            <v>150376.80000000002</v>
          </cell>
          <cell r="F38">
            <v>149311.47142787231</v>
          </cell>
          <cell r="G38">
            <v>147836.63629462424</v>
          </cell>
          <cell r="H38">
            <v>146167.30886526316</v>
          </cell>
          <cell r="I38">
            <v>144494.19834567653</v>
          </cell>
          <cell r="J38">
            <v>141953.51640876304</v>
          </cell>
          <cell r="K38">
            <v>139464.86491823843</v>
          </cell>
          <cell r="L38">
            <v>138125.44368580123</v>
          </cell>
          <cell r="M38">
            <v>136489.38672116291</v>
          </cell>
          <cell r="N38">
            <v>134649.14653065585</v>
          </cell>
          <cell r="O38">
            <v>132755.89125383826</v>
          </cell>
          <cell r="P38">
            <v>130469.71282510778</v>
          </cell>
          <cell r="Q38">
            <v>128613.25198746957</v>
          </cell>
          <cell r="R38">
            <v>127241.59675338506</v>
          </cell>
          <cell r="S38">
            <v>126561.98791479567</v>
          </cell>
          <cell r="T38">
            <v>125886.00892827725</v>
          </cell>
          <cell r="U38">
            <v>125213.64040646267</v>
          </cell>
          <cell r="V38">
            <v>124544.86306553449</v>
          </cell>
          <cell r="W38">
            <v>123879.65772467185</v>
          </cell>
          <cell r="X38">
            <v>123218.0053055004</v>
          </cell>
          <cell r="Z38" t="str">
            <v>Wheel and Hand_Cut and press repair - Idaho</v>
          </cell>
          <cell r="AA38">
            <v>104735.30450967533</v>
          </cell>
        </row>
        <row r="39">
          <cell r="A39">
            <v>7.5000000000000011E-2</v>
          </cell>
          <cell r="B39" t="str">
            <v>Wheel and Hand</v>
          </cell>
          <cell r="C39" t="str">
            <v>Wheel and Hand_Hub gasket</v>
          </cell>
          <cell r="D39" t="str">
            <v>Idaho</v>
          </cell>
          <cell r="E39">
            <v>37594.200000000004</v>
          </cell>
          <cell r="F39">
            <v>37327.867856968078</v>
          </cell>
          <cell r="G39">
            <v>36959.159073656061</v>
          </cell>
          <cell r="H39">
            <v>36541.827216315789</v>
          </cell>
          <cell r="I39">
            <v>36123.549586419133</v>
          </cell>
          <cell r="J39">
            <v>35488.37910219076</v>
          </cell>
          <cell r="K39">
            <v>34866.216229559606</v>
          </cell>
          <cell r="L39">
            <v>34531.360921450309</v>
          </cell>
          <cell r="M39">
            <v>34122.346680290728</v>
          </cell>
          <cell r="N39">
            <v>33662.286632663963</v>
          </cell>
          <cell r="O39">
            <v>33188.972813459564</v>
          </cell>
          <cell r="P39">
            <v>32617.428206276945</v>
          </cell>
          <cell r="Q39">
            <v>32153.312996867393</v>
          </cell>
          <cell r="R39">
            <v>31810.399188346266</v>
          </cell>
          <cell r="S39">
            <v>31640.496978698917</v>
          </cell>
          <cell r="T39">
            <v>31471.502232069313</v>
          </cell>
          <cell r="U39">
            <v>31303.410101615667</v>
          </cell>
          <cell r="V39">
            <v>31136.215766383622</v>
          </cell>
          <cell r="W39">
            <v>30969.914431167963</v>
          </cell>
          <cell r="X39">
            <v>30804.501326375099</v>
          </cell>
          <cell r="Z39" t="str">
            <v>Wheel and Hand_Hub gasket - Idaho</v>
          </cell>
          <cell r="AA39">
            <v>26183.826127418833</v>
          </cell>
        </row>
        <row r="40">
          <cell r="A40">
            <v>0.30000000000000004</v>
          </cell>
          <cell r="B40" t="str">
            <v>Wheel and Hand</v>
          </cell>
          <cell r="C40" t="str">
            <v>Wheel and Hand_Levelers</v>
          </cell>
          <cell r="D40" t="str">
            <v>Idaho</v>
          </cell>
          <cell r="E40">
            <v>150376.80000000002</v>
          </cell>
          <cell r="F40">
            <v>149311.47142787231</v>
          </cell>
          <cell r="G40">
            <v>147836.63629462424</v>
          </cell>
          <cell r="H40">
            <v>146167.30886526316</v>
          </cell>
          <cell r="I40">
            <v>144494.19834567653</v>
          </cell>
          <cell r="J40">
            <v>141953.51640876304</v>
          </cell>
          <cell r="K40">
            <v>139464.86491823843</v>
          </cell>
          <cell r="L40">
            <v>138125.44368580123</v>
          </cell>
          <cell r="M40">
            <v>136489.38672116291</v>
          </cell>
          <cell r="N40">
            <v>134649.14653065585</v>
          </cell>
          <cell r="O40">
            <v>132755.89125383826</v>
          </cell>
          <cell r="P40">
            <v>130469.71282510778</v>
          </cell>
          <cell r="Q40">
            <v>128613.25198746957</v>
          </cell>
          <cell r="R40">
            <v>127241.59675338506</v>
          </cell>
          <cell r="S40">
            <v>126561.98791479567</v>
          </cell>
          <cell r="T40">
            <v>125886.00892827725</v>
          </cell>
          <cell r="U40">
            <v>125213.64040646267</v>
          </cell>
          <cell r="V40">
            <v>124544.86306553449</v>
          </cell>
          <cell r="W40">
            <v>123879.65772467185</v>
          </cell>
          <cell r="X40">
            <v>123218.0053055004</v>
          </cell>
          <cell r="Z40" t="str">
            <v>Wheel and Hand_Levelers - Idaho</v>
          </cell>
          <cell r="AA40">
            <v>104735.30450967533</v>
          </cell>
        </row>
        <row r="41">
          <cell r="A41">
            <v>0.30000000000000004</v>
          </cell>
          <cell r="B41" t="str">
            <v>Pivot and Linear</v>
          </cell>
          <cell r="C41" t="str">
            <v>Pivot and Linear_Base boot gasket</v>
          </cell>
          <cell r="D41" t="str">
            <v>Idaho</v>
          </cell>
          <cell r="E41">
            <v>601199.10000000009</v>
          </cell>
          <cell r="F41">
            <v>596939.9684134291</v>
          </cell>
          <cell r="G41">
            <v>591043.64960123785</v>
          </cell>
          <cell r="H41">
            <v>584369.76009077346</v>
          </cell>
          <cell r="I41">
            <v>577680.74597040389</v>
          </cell>
          <cell r="J41">
            <v>567523.22370727116</v>
          </cell>
          <cell r="K41">
            <v>557573.71662694332</v>
          </cell>
          <cell r="L41">
            <v>552218.77597478067</v>
          </cell>
          <cell r="M41">
            <v>545677.90015690657</v>
          </cell>
          <cell r="N41">
            <v>538320.70977702958</v>
          </cell>
          <cell r="O41">
            <v>530751.56767204404</v>
          </cell>
          <cell r="P41">
            <v>521611.53800129582</v>
          </cell>
          <cell r="Q41">
            <v>514189.49826662039</v>
          </cell>
          <cell r="R41">
            <v>508705.68765060848</v>
          </cell>
          <cell r="S41">
            <v>505988.64471504936</v>
          </cell>
          <cell r="T41">
            <v>503286.11375073984</v>
          </cell>
          <cell r="U41">
            <v>500598.0172479332</v>
          </cell>
          <cell r="V41">
            <v>497924.27811086935</v>
          </cell>
          <cell r="W41">
            <v>495264.81965556368</v>
          </cell>
          <cell r="X41">
            <v>492619.56560760748</v>
          </cell>
          <cell r="Z41" t="str">
            <v>Pivot and Linear_Base boot gasket - Idaho</v>
          </cell>
          <cell r="AA41">
            <v>418726.63076646638</v>
          </cell>
        </row>
        <row r="42">
          <cell r="A42">
            <v>0.30000000000000004</v>
          </cell>
          <cell r="B42" t="str">
            <v>Pivot and Linear</v>
          </cell>
          <cell r="C42" t="str">
            <v>Pivot and Linear_Tower gasket</v>
          </cell>
          <cell r="D42" t="str">
            <v>Idaho</v>
          </cell>
          <cell r="E42">
            <v>601199.10000000009</v>
          </cell>
          <cell r="F42">
            <v>596939.9684134291</v>
          </cell>
          <cell r="G42">
            <v>591043.64960123785</v>
          </cell>
          <cell r="H42">
            <v>584369.76009077346</v>
          </cell>
          <cell r="I42">
            <v>577680.74597040389</v>
          </cell>
          <cell r="J42">
            <v>567523.22370727116</v>
          </cell>
          <cell r="K42">
            <v>557573.71662694332</v>
          </cell>
          <cell r="L42">
            <v>552218.77597478067</v>
          </cell>
          <cell r="M42">
            <v>545677.90015690657</v>
          </cell>
          <cell r="N42">
            <v>538320.70977702958</v>
          </cell>
          <cell r="O42">
            <v>530751.56767204404</v>
          </cell>
          <cell r="P42">
            <v>521611.53800129582</v>
          </cell>
          <cell r="Q42">
            <v>514189.49826662039</v>
          </cell>
          <cell r="R42">
            <v>508705.68765060848</v>
          </cell>
          <cell r="S42">
            <v>505988.64471504936</v>
          </cell>
          <cell r="T42">
            <v>503286.11375073984</v>
          </cell>
          <cell r="U42">
            <v>500598.0172479332</v>
          </cell>
          <cell r="V42">
            <v>497924.27811086935</v>
          </cell>
          <cell r="W42">
            <v>495264.81965556368</v>
          </cell>
          <cell r="X42">
            <v>492619.56560760748</v>
          </cell>
          <cell r="Z42" t="str">
            <v>Pivot and Linear_Tower gasket - Idaho</v>
          </cell>
          <cell r="AA42">
            <v>418726.63076646638</v>
          </cell>
        </row>
        <row r="43">
          <cell r="A43">
            <v>0.30000000000000004</v>
          </cell>
          <cell r="B43" t="str">
            <v>Wheel and Hand</v>
          </cell>
          <cell r="C43" t="str">
            <v>Wheel and Hand_Nozzle replacement</v>
          </cell>
          <cell r="D43" t="str">
            <v>Idaho</v>
          </cell>
          <cell r="E43">
            <v>150376.80000000002</v>
          </cell>
          <cell r="F43">
            <v>149311.47142787231</v>
          </cell>
          <cell r="G43">
            <v>147836.63629462424</v>
          </cell>
          <cell r="H43">
            <v>146167.30886526316</v>
          </cell>
          <cell r="I43">
            <v>144494.19834567653</v>
          </cell>
          <cell r="J43">
            <v>141953.51640876304</v>
          </cell>
          <cell r="K43">
            <v>139464.86491823843</v>
          </cell>
          <cell r="L43">
            <v>138125.44368580123</v>
          </cell>
          <cell r="M43">
            <v>136489.38672116291</v>
          </cell>
          <cell r="N43">
            <v>134649.14653065585</v>
          </cell>
          <cell r="O43">
            <v>132755.89125383826</v>
          </cell>
          <cell r="P43">
            <v>130469.71282510778</v>
          </cell>
          <cell r="Q43">
            <v>128613.25198746957</v>
          </cell>
          <cell r="R43">
            <v>127241.59675338506</v>
          </cell>
          <cell r="S43">
            <v>126561.98791479567</v>
          </cell>
          <cell r="T43">
            <v>125886.00892827725</v>
          </cell>
          <cell r="U43">
            <v>125213.64040646267</v>
          </cell>
          <cell r="V43">
            <v>124544.86306553449</v>
          </cell>
          <cell r="W43">
            <v>123879.65772467185</v>
          </cell>
          <cell r="X43">
            <v>123218.0053055004</v>
          </cell>
          <cell r="Z43" t="str">
            <v>Wheel and Hand_Nozzle replacement - Idaho</v>
          </cell>
          <cell r="AA43">
            <v>104735.30450967533</v>
          </cell>
        </row>
        <row r="44">
          <cell r="A44">
            <v>0.12383930588634895</v>
          </cell>
          <cell r="B44" t="str">
            <v>Pivot and Linear</v>
          </cell>
          <cell r="C44" t="str">
            <v>Pivot and Linear_Sprinkler package replacement, high pressure</v>
          </cell>
          <cell r="D44" t="str">
            <v>Idaho</v>
          </cell>
          <cell r="E44">
            <v>248173.59747832562</v>
          </cell>
          <cell r="F44">
            <v>246415.43781379375</v>
          </cell>
          <cell r="G44">
            <v>243981.45105050577</v>
          </cell>
          <cell r="H44">
            <v>241226.48490204546</v>
          </cell>
          <cell r="I44">
            <v>238465.27534961025</v>
          </cell>
          <cell r="J44">
            <v>234272.27366097196</v>
          </cell>
          <cell r="K44">
            <v>230165.14015850823</v>
          </cell>
          <cell r="L44">
            <v>227954.63304708686</v>
          </cell>
          <cell r="M44">
            <v>225254.57464317241</v>
          </cell>
          <cell r="N44">
            <v>222217.54347678012</v>
          </cell>
          <cell r="O44">
            <v>219093.01912865828</v>
          </cell>
          <cell r="P44">
            <v>215320.03602797131</v>
          </cell>
          <cell r="Q44">
            <v>212256.23519796095</v>
          </cell>
          <cell r="R44">
            <v>209992.53086363061</v>
          </cell>
          <cell r="S44">
            <v>208870.9418262871</v>
          </cell>
          <cell r="T44">
            <v>207755.34329709891</v>
          </cell>
          <cell r="U44">
            <v>206645.70328022193</v>
          </cell>
          <cell r="V44">
            <v>205541.98995070477</v>
          </cell>
          <cell r="W44">
            <v>204444.17165357596</v>
          </cell>
          <cell r="X44">
            <v>203352.21690293614</v>
          </cell>
          <cell r="Z44" t="str">
            <v>Pivot and Linear_Sprinkler package replacement, high pressure - Idaho</v>
          </cell>
          <cell r="AA44">
            <v>172849.38436749572</v>
          </cell>
        </row>
        <row r="45">
          <cell r="A45">
            <v>0.42567395183397994</v>
          </cell>
          <cell r="B45" t="str">
            <v>Pivot and Linear</v>
          </cell>
          <cell r="C45" t="str">
            <v>Pivot and Linear_Sprinkler package replacement, MESA</v>
          </cell>
          <cell r="D45" t="str">
            <v>Idaho</v>
          </cell>
          <cell r="E45">
            <v>853049.32245344028</v>
          </cell>
          <cell r="F45">
            <v>847005.98454065167</v>
          </cell>
          <cell r="G45">
            <v>838639.6201071234</v>
          </cell>
          <cell r="H45">
            <v>829169.95036704768</v>
          </cell>
          <cell r="I45">
            <v>819678.82011874416</v>
          </cell>
          <cell r="J45">
            <v>805266.17797677976</v>
          </cell>
          <cell r="K45">
            <v>791148.69131783536</v>
          </cell>
          <cell r="L45">
            <v>783550.49548702699</v>
          </cell>
          <cell r="M45">
            <v>774269.56062752777</v>
          </cell>
          <cell r="N45">
            <v>763830.34628287051</v>
          </cell>
          <cell r="O45">
            <v>753090.39084346325</v>
          </cell>
          <cell r="P45">
            <v>740121.48234403913</v>
          </cell>
          <cell r="Q45">
            <v>729590.25239561219</v>
          </cell>
          <cell r="R45">
            <v>721809.20127552247</v>
          </cell>
          <cell r="S45">
            <v>717953.9532632489</v>
          </cell>
          <cell r="T45">
            <v>714119.29647814448</v>
          </cell>
          <cell r="U45">
            <v>710305.12094060844</v>
          </cell>
          <cell r="V45">
            <v>706511.31725845137</v>
          </cell>
          <cell r="W45">
            <v>702737.77662375709</v>
          </cell>
          <cell r="X45">
            <v>698984.39080976264</v>
          </cell>
          <cell r="Z45" t="str">
            <v>Pivot and Linear_Sprinkler package replacement, MESA - Idaho</v>
          </cell>
          <cell r="AA45">
            <v>594136.73218829825</v>
          </cell>
        </row>
        <row r="46">
          <cell r="A46">
            <v>0.23144656875125835</v>
          </cell>
          <cell r="B46" t="str">
            <v>Pivot and Linear</v>
          </cell>
          <cell r="C46" t="str">
            <v>Pivot and Linear_Sprinkler package replacement, LESA/LEPA/MDI</v>
          </cell>
          <cell r="D46" t="str">
            <v>Idaho</v>
          </cell>
          <cell r="E46">
            <v>463818.22943781549</v>
          </cell>
          <cell r="F46">
            <v>460532.35813257564</v>
          </cell>
          <cell r="G46">
            <v>455983.4156080918</v>
          </cell>
          <cell r="H46">
            <v>450834.58618335181</v>
          </cell>
          <cell r="I46">
            <v>445674.08829505753</v>
          </cell>
          <cell r="J46">
            <v>437837.67604566895</v>
          </cell>
          <cell r="K46">
            <v>430161.7451306415</v>
          </cell>
          <cell r="L46">
            <v>426030.46966460929</v>
          </cell>
          <cell r="M46">
            <v>420984.25878235913</v>
          </cell>
          <cell r="N46">
            <v>415308.27055211819</v>
          </cell>
          <cell r="O46">
            <v>409468.76399015286</v>
          </cell>
          <cell r="P46">
            <v>402417.33563822164</v>
          </cell>
          <cell r="Q46">
            <v>396691.31687246793</v>
          </cell>
          <cell r="R46">
            <v>392460.61970327568</v>
          </cell>
          <cell r="S46">
            <v>390364.45215465897</v>
          </cell>
          <cell r="T46">
            <v>388279.48042588076</v>
          </cell>
          <cell r="U46">
            <v>386205.64471905789</v>
          </cell>
          <cell r="V46">
            <v>384142.8855556933</v>
          </cell>
          <cell r="W46">
            <v>382091.14377496991</v>
          </cell>
          <cell r="X46">
            <v>380050.3605320538</v>
          </cell>
          <cell r="Z46" t="str">
            <v>Pivot and Linear_Sprinkler package replacement, LESA/LEPA/MDI - Idaho</v>
          </cell>
          <cell r="AA46">
            <v>323042.80645224574</v>
          </cell>
        </row>
        <row r="47">
          <cell r="A47">
            <v>0.12383930588634895</v>
          </cell>
          <cell r="B47" t="str">
            <v>Pivot and Linear</v>
          </cell>
          <cell r="C47" t="str">
            <v>Pivot and Linear_Upgrade from high pressure to MESA</v>
          </cell>
          <cell r="D47" t="str">
            <v>Idaho</v>
          </cell>
          <cell r="E47">
            <v>248173.59747832562</v>
          </cell>
          <cell r="F47">
            <v>246415.43781379375</v>
          </cell>
          <cell r="G47">
            <v>243981.45105050577</v>
          </cell>
          <cell r="H47">
            <v>241226.48490204546</v>
          </cell>
          <cell r="I47">
            <v>238465.27534961025</v>
          </cell>
          <cell r="J47">
            <v>234272.27366097196</v>
          </cell>
          <cell r="K47">
            <v>230165.14015850823</v>
          </cell>
          <cell r="L47">
            <v>227954.63304708686</v>
          </cell>
          <cell r="M47">
            <v>225254.57464317241</v>
          </cell>
          <cell r="N47">
            <v>222217.54347678012</v>
          </cell>
          <cell r="O47">
            <v>219093.01912865828</v>
          </cell>
          <cell r="P47">
            <v>215320.03602797131</v>
          </cell>
          <cell r="Q47">
            <v>212256.23519796095</v>
          </cell>
          <cell r="R47">
            <v>209992.53086363061</v>
          </cell>
          <cell r="S47">
            <v>208870.9418262871</v>
          </cell>
          <cell r="T47">
            <v>207755.34329709891</v>
          </cell>
          <cell r="U47">
            <v>206645.70328022193</v>
          </cell>
          <cell r="V47">
            <v>205541.98995070477</v>
          </cell>
          <cell r="W47">
            <v>204444.17165357596</v>
          </cell>
          <cell r="X47">
            <v>203352.21690293614</v>
          </cell>
          <cell r="Z47" t="str">
            <v>Pivot and Linear_Upgrade from high pressure to MESA - Idaho</v>
          </cell>
          <cell r="AA47">
            <v>172849.38436749572</v>
          </cell>
        </row>
        <row r="48">
          <cell r="A48">
            <v>0.17026958073359197</v>
          </cell>
          <cell r="B48" t="str">
            <v>Pivot and Linear</v>
          </cell>
          <cell r="C48" t="str">
            <v>Pivot and Linear_Upgrade from MESA to LESA/LEPA/MDI</v>
          </cell>
          <cell r="D48" t="str">
            <v>Idaho</v>
          </cell>
          <cell r="E48">
            <v>343940.95247772592</v>
          </cell>
          <cell r="F48">
            <v>344841.17519984004</v>
          </cell>
          <cell r="G48">
            <v>345514.24923686089</v>
          </cell>
          <cell r="H48">
            <v>346339.83786458219</v>
          </cell>
          <cell r="I48">
            <v>347745.38278357021</v>
          </cell>
          <cell r="J48">
            <v>347955.14845104632</v>
          </cell>
          <cell r="K48">
            <v>348747.71744150139</v>
          </cell>
          <cell r="L48">
            <v>352223.72860364697</v>
          </cell>
          <cell r="M48">
            <v>354578.50797232968</v>
          </cell>
          <cell r="N48">
            <v>355547.73920249316</v>
          </cell>
          <cell r="O48">
            <v>355177.13054932584</v>
          </cell>
          <cell r="P48">
            <v>352542.72447675787</v>
          </cell>
          <cell r="Q48">
            <v>349791.6166767251</v>
          </cell>
          <cell r="R48">
            <v>347375.32146850205</v>
          </cell>
          <cell r="S48">
            <v>346126.1637595041</v>
          </cell>
          <cell r="T48">
            <v>344698.25627054385</v>
          </cell>
          <cell r="U48">
            <v>343205.50493407476</v>
          </cell>
          <cell r="V48">
            <v>341695.11996066588</v>
          </cell>
          <cell r="W48">
            <v>340186.87048242061</v>
          </cell>
          <cell r="X48">
            <v>338685.65546158864</v>
          </cell>
          <cell r="Z48" t="str">
            <v>Pivot and Linear_Upgrade from MESA to LESA/LEPA/MDI - Idaho</v>
          </cell>
          <cell r="AA48">
            <v>237654.69287531931</v>
          </cell>
        </row>
        <row r="49">
          <cell r="A49">
            <v>0.30000000000000004</v>
          </cell>
          <cell r="B49" t="str">
            <v>Wheel and Hand</v>
          </cell>
          <cell r="C49" t="str">
            <v>Wheel and Hand_Rebuilt or new impact sprinkler</v>
          </cell>
          <cell r="D49" t="str">
            <v>Washington</v>
          </cell>
          <cell r="E49">
            <v>52630.200000000004</v>
          </cell>
          <cell r="F49">
            <v>53176.726654634702</v>
          </cell>
          <cell r="G49">
            <v>53618.761339765639</v>
          </cell>
          <cell r="H49">
            <v>54129.828033029058</v>
          </cell>
          <cell r="I49">
            <v>55026.374056366003</v>
          </cell>
          <cell r="J49">
            <v>55372.141513033457</v>
          </cell>
          <cell r="K49">
            <v>55533.435087326383</v>
          </cell>
          <cell r="L49">
            <v>55783.066648720604</v>
          </cell>
          <cell r="M49">
            <v>55765.812750849676</v>
          </cell>
          <cell r="N49">
            <v>56434.233022698121</v>
          </cell>
          <cell r="O49">
            <v>56654.11761649757</v>
          </cell>
          <cell r="P49">
            <v>56842.432994687304</v>
          </cell>
          <cell r="Q49">
            <v>57127.623017345504</v>
          </cell>
          <cell r="R49">
            <v>57340.891701685396</v>
          </cell>
          <cell r="S49">
            <v>57884.381276295244</v>
          </cell>
          <cell r="T49">
            <v>58433.02216454783</v>
          </cell>
          <cell r="U49">
            <v>58986.863191726079</v>
          </cell>
          <cell r="V49">
            <v>59545.953645889669</v>
          </cell>
          <cell r="W49">
            <v>60110.343282261347</v>
          </cell>
          <cell r="X49">
            <v>60680.082327654811</v>
          </cell>
          <cell r="Z49" t="str">
            <v>Wheel and Hand_Rebuilt or new impact sprinkler - Washington</v>
          </cell>
          <cell r="AA49">
            <v>51578.069978506588</v>
          </cell>
        </row>
        <row r="50">
          <cell r="A50">
            <v>0.30000000000000004</v>
          </cell>
          <cell r="B50" t="str">
            <v>Wheel and Hand</v>
          </cell>
          <cell r="C50" t="str">
            <v>Wheel and Hand_Gaskets</v>
          </cell>
          <cell r="D50" t="str">
            <v>Washington</v>
          </cell>
          <cell r="E50">
            <v>52630.200000000004</v>
          </cell>
          <cell r="F50">
            <v>53176.726654634702</v>
          </cell>
          <cell r="G50">
            <v>53618.761339765639</v>
          </cell>
          <cell r="H50">
            <v>54129.828033029058</v>
          </cell>
          <cell r="I50">
            <v>55026.374056366003</v>
          </cell>
          <cell r="J50">
            <v>55372.141513033457</v>
          </cell>
          <cell r="K50">
            <v>55533.435087326383</v>
          </cell>
          <cell r="L50">
            <v>55783.066648720604</v>
          </cell>
          <cell r="M50">
            <v>55765.812750849676</v>
          </cell>
          <cell r="N50">
            <v>56434.233022698121</v>
          </cell>
          <cell r="O50">
            <v>56654.11761649757</v>
          </cell>
          <cell r="P50">
            <v>56842.432994687304</v>
          </cell>
          <cell r="Q50">
            <v>57127.623017345504</v>
          </cell>
          <cell r="R50">
            <v>57340.891701685396</v>
          </cell>
          <cell r="S50">
            <v>57884.381276295244</v>
          </cell>
          <cell r="T50">
            <v>58433.02216454783</v>
          </cell>
          <cell r="U50">
            <v>58986.863191726079</v>
          </cell>
          <cell r="V50">
            <v>59545.953645889669</v>
          </cell>
          <cell r="W50">
            <v>60110.343282261347</v>
          </cell>
          <cell r="X50">
            <v>60680.082327654811</v>
          </cell>
          <cell r="Z50" t="str">
            <v>Wheel and Hand_Gaskets - Washington</v>
          </cell>
          <cell r="AA50">
            <v>51578.069978506588</v>
          </cell>
        </row>
        <row r="51">
          <cell r="A51">
            <v>0.30000000000000004</v>
          </cell>
          <cell r="B51" t="str">
            <v>Wheel and Hand</v>
          </cell>
          <cell r="C51" t="str">
            <v>Wheel and Hand_Drains</v>
          </cell>
          <cell r="D51" t="str">
            <v>Washington</v>
          </cell>
          <cell r="E51">
            <v>52630.200000000004</v>
          </cell>
          <cell r="F51">
            <v>53176.726654634702</v>
          </cell>
          <cell r="G51">
            <v>53618.761339765639</v>
          </cell>
          <cell r="H51">
            <v>54129.828033029058</v>
          </cell>
          <cell r="I51">
            <v>55026.374056366003</v>
          </cell>
          <cell r="J51">
            <v>55372.141513033457</v>
          </cell>
          <cell r="K51">
            <v>55533.435087326383</v>
          </cell>
          <cell r="L51">
            <v>55783.066648720604</v>
          </cell>
          <cell r="M51">
            <v>55765.812750849676</v>
          </cell>
          <cell r="N51">
            <v>56434.233022698121</v>
          </cell>
          <cell r="O51">
            <v>56654.11761649757</v>
          </cell>
          <cell r="P51">
            <v>56842.432994687304</v>
          </cell>
          <cell r="Q51">
            <v>57127.623017345504</v>
          </cell>
          <cell r="R51">
            <v>57340.891701685396</v>
          </cell>
          <cell r="S51">
            <v>57884.381276295244</v>
          </cell>
          <cell r="T51">
            <v>58433.02216454783</v>
          </cell>
          <cell r="U51">
            <v>58986.863191726079</v>
          </cell>
          <cell r="V51">
            <v>59545.953645889669</v>
          </cell>
          <cell r="W51">
            <v>60110.343282261347</v>
          </cell>
          <cell r="X51">
            <v>60680.082327654811</v>
          </cell>
          <cell r="Z51" t="str">
            <v>Wheel and Hand_Drains - Washington</v>
          </cell>
          <cell r="AA51">
            <v>51578.069978506588</v>
          </cell>
        </row>
        <row r="52">
          <cell r="A52">
            <v>0.30000000000000004</v>
          </cell>
          <cell r="B52" t="str">
            <v>Wheel and Hand</v>
          </cell>
          <cell r="C52" t="str">
            <v>Wheel and Hand_Cut and press repair</v>
          </cell>
          <cell r="D52" t="str">
            <v>Washington</v>
          </cell>
          <cell r="E52">
            <v>52630.200000000004</v>
          </cell>
          <cell r="F52">
            <v>53176.726654634702</v>
          </cell>
          <cell r="G52">
            <v>53618.761339765639</v>
          </cell>
          <cell r="H52">
            <v>54129.828033029058</v>
          </cell>
          <cell r="I52">
            <v>55026.374056366003</v>
          </cell>
          <cell r="J52">
            <v>55372.141513033457</v>
          </cell>
          <cell r="K52">
            <v>55533.435087326383</v>
          </cell>
          <cell r="L52">
            <v>55783.066648720604</v>
          </cell>
          <cell r="M52">
            <v>55765.812750849676</v>
          </cell>
          <cell r="N52">
            <v>56434.233022698121</v>
          </cell>
          <cell r="O52">
            <v>56654.11761649757</v>
          </cell>
          <cell r="P52">
            <v>56842.432994687304</v>
          </cell>
          <cell r="Q52">
            <v>57127.623017345504</v>
          </cell>
          <cell r="R52">
            <v>57340.891701685396</v>
          </cell>
          <cell r="S52">
            <v>57884.381276295244</v>
          </cell>
          <cell r="T52">
            <v>58433.02216454783</v>
          </cell>
          <cell r="U52">
            <v>58986.863191726079</v>
          </cell>
          <cell r="V52">
            <v>59545.953645889669</v>
          </cell>
          <cell r="W52">
            <v>60110.343282261347</v>
          </cell>
          <cell r="X52">
            <v>60680.082327654811</v>
          </cell>
          <cell r="Z52" t="str">
            <v>Wheel and Hand_Cut and press repair - Washington</v>
          </cell>
          <cell r="AA52">
            <v>51578.069978506588</v>
          </cell>
        </row>
        <row r="53">
          <cell r="A53">
            <v>7.5000000000000011E-2</v>
          </cell>
          <cell r="B53" t="str">
            <v>Wheel and Hand</v>
          </cell>
          <cell r="C53" t="str">
            <v>Wheel and Hand_Hub gasket</v>
          </cell>
          <cell r="D53" t="str">
            <v>Washington</v>
          </cell>
          <cell r="E53">
            <v>13157.550000000001</v>
          </cell>
          <cell r="F53">
            <v>13294.181663658675</v>
          </cell>
          <cell r="G53">
            <v>13404.69033494141</v>
          </cell>
          <cell r="H53">
            <v>13532.457008257265</v>
          </cell>
          <cell r="I53">
            <v>13756.593514091501</v>
          </cell>
          <cell r="J53">
            <v>13843.035378258364</v>
          </cell>
          <cell r="K53">
            <v>13883.358771831596</v>
          </cell>
          <cell r="L53">
            <v>13945.766662180151</v>
          </cell>
          <cell r="M53">
            <v>13941.453187712419</v>
          </cell>
          <cell r="N53">
            <v>14108.55825567453</v>
          </cell>
          <cell r="O53">
            <v>14163.529404124392</v>
          </cell>
          <cell r="P53">
            <v>14210.608248671826</v>
          </cell>
          <cell r="Q53">
            <v>14281.905754336376</v>
          </cell>
          <cell r="R53">
            <v>14335.222925421349</v>
          </cell>
          <cell r="S53">
            <v>14471.095319073811</v>
          </cell>
          <cell r="T53">
            <v>14608.255541136958</v>
          </cell>
          <cell r="U53">
            <v>14746.71579793152</v>
          </cell>
          <cell r="V53">
            <v>14886.488411472417</v>
          </cell>
          <cell r="W53">
            <v>15027.585820565337</v>
          </cell>
          <cell r="X53">
            <v>15170.020581913703</v>
          </cell>
          <cell r="Z53" t="str">
            <v>Wheel and Hand_Hub gasket - Washington</v>
          </cell>
          <cell r="AA53">
            <v>12894.517494626647</v>
          </cell>
        </row>
        <row r="54">
          <cell r="A54">
            <v>0.30000000000000004</v>
          </cell>
          <cell r="B54" t="str">
            <v>Wheel and Hand</v>
          </cell>
          <cell r="C54" t="str">
            <v>Wheel and Hand_Levelers</v>
          </cell>
          <cell r="D54" t="str">
            <v>Washington</v>
          </cell>
          <cell r="E54">
            <v>52630.200000000004</v>
          </cell>
          <cell r="F54">
            <v>53176.726654634702</v>
          </cell>
          <cell r="G54">
            <v>53618.761339765639</v>
          </cell>
          <cell r="H54">
            <v>54129.828033029058</v>
          </cell>
          <cell r="I54">
            <v>55026.374056366003</v>
          </cell>
          <cell r="J54">
            <v>55372.141513033457</v>
          </cell>
          <cell r="K54">
            <v>55533.435087326383</v>
          </cell>
          <cell r="L54">
            <v>55783.066648720604</v>
          </cell>
          <cell r="M54">
            <v>55765.812750849676</v>
          </cell>
          <cell r="N54">
            <v>56434.233022698121</v>
          </cell>
          <cell r="O54">
            <v>56654.11761649757</v>
          </cell>
          <cell r="P54">
            <v>56842.432994687304</v>
          </cell>
          <cell r="Q54">
            <v>57127.623017345504</v>
          </cell>
          <cell r="R54">
            <v>57340.891701685396</v>
          </cell>
          <cell r="S54">
            <v>57884.381276295244</v>
          </cell>
          <cell r="T54">
            <v>58433.02216454783</v>
          </cell>
          <cell r="U54">
            <v>58986.863191726079</v>
          </cell>
          <cell r="V54">
            <v>59545.953645889669</v>
          </cell>
          <cell r="W54">
            <v>60110.343282261347</v>
          </cell>
          <cell r="X54">
            <v>60680.082327654811</v>
          </cell>
          <cell r="Z54" t="str">
            <v>Wheel and Hand_Levelers - Washington</v>
          </cell>
          <cell r="AA54">
            <v>51578.069978506588</v>
          </cell>
        </row>
        <row r="55">
          <cell r="A55">
            <v>0.30000000000000004</v>
          </cell>
          <cell r="B55" t="str">
            <v>Pivot and Linear</v>
          </cell>
          <cell r="C55" t="str">
            <v>Pivot and Linear_Base boot gasket</v>
          </cell>
          <cell r="D55" t="str">
            <v>Washington</v>
          </cell>
          <cell r="E55">
            <v>315373.50000000006</v>
          </cell>
          <cell r="F55">
            <v>318648.42625746131</v>
          </cell>
          <cell r="G55">
            <v>321297.21014525078</v>
          </cell>
          <cell r="H55">
            <v>324359.65132518002</v>
          </cell>
          <cell r="I55">
            <v>329731.98236877954</v>
          </cell>
          <cell r="J55">
            <v>331803.90862015827</v>
          </cell>
          <cell r="K55">
            <v>332770.42060476542</v>
          </cell>
          <cell r="L55">
            <v>334266.2762015019</v>
          </cell>
          <cell r="M55">
            <v>334162.88647164719</v>
          </cell>
          <cell r="N55">
            <v>338168.23018312454</v>
          </cell>
          <cell r="O55">
            <v>339485.83440926479</v>
          </cell>
          <cell r="P55">
            <v>340614.26789276896</v>
          </cell>
          <cell r="Q55">
            <v>342323.19880336389</v>
          </cell>
          <cell r="R55">
            <v>343601.15882290906</v>
          </cell>
          <cell r="S55">
            <v>346857.88612697058</v>
          </cell>
          <cell r="T55">
            <v>350145.48140822217</v>
          </cell>
          <cell r="U55">
            <v>353464.23724013614</v>
          </cell>
          <cell r="V55">
            <v>356814.4489692605</v>
          </cell>
          <cell r="W55">
            <v>360196.41474150284</v>
          </cell>
          <cell r="X55">
            <v>363610.43552866299</v>
          </cell>
          <cell r="Z55" t="str">
            <v>Pivot and Linear_Base boot gasket - Washington</v>
          </cell>
          <cell r="AA55">
            <v>309068.8701993635</v>
          </cell>
        </row>
        <row r="56">
          <cell r="A56">
            <v>0.30000000000000004</v>
          </cell>
          <cell r="B56" t="str">
            <v>Pivot and Linear</v>
          </cell>
          <cell r="C56" t="str">
            <v>Pivot and Linear_Tower gasket</v>
          </cell>
          <cell r="D56" t="str">
            <v>Washington</v>
          </cell>
          <cell r="E56">
            <v>315373.50000000006</v>
          </cell>
          <cell r="F56">
            <v>318648.42625746131</v>
          </cell>
          <cell r="G56">
            <v>321297.21014525078</v>
          </cell>
          <cell r="H56">
            <v>324359.65132518002</v>
          </cell>
          <cell r="I56">
            <v>329731.98236877954</v>
          </cell>
          <cell r="J56">
            <v>331803.90862015827</v>
          </cell>
          <cell r="K56">
            <v>332770.42060476542</v>
          </cell>
          <cell r="L56">
            <v>334266.2762015019</v>
          </cell>
          <cell r="M56">
            <v>334162.88647164719</v>
          </cell>
          <cell r="N56">
            <v>338168.23018312454</v>
          </cell>
          <cell r="O56">
            <v>339485.83440926479</v>
          </cell>
          <cell r="P56">
            <v>340614.26789276896</v>
          </cell>
          <cell r="Q56">
            <v>342323.19880336389</v>
          </cell>
          <cell r="R56">
            <v>343601.15882290906</v>
          </cell>
          <cell r="S56">
            <v>346857.88612697058</v>
          </cell>
          <cell r="T56">
            <v>350145.48140822217</v>
          </cell>
          <cell r="U56">
            <v>353464.23724013614</v>
          </cell>
          <cell r="V56">
            <v>356814.4489692605</v>
          </cell>
          <cell r="W56">
            <v>360196.41474150284</v>
          </cell>
          <cell r="X56">
            <v>363610.43552866299</v>
          </cell>
          <cell r="Z56" t="str">
            <v>Pivot and Linear_Tower gasket - Washington</v>
          </cell>
          <cell r="AA56">
            <v>309068.8701993635</v>
          </cell>
        </row>
        <row r="57">
          <cell r="A57">
            <v>0.30000000000000004</v>
          </cell>
          <cell r="B57" t="str">
            <v>Wheel and Hand</v>
          </cell>
          <cell r="C57" t="str">
            <v>Wheel and Hand_Nozzle replacement</v>
          </cell>
          <cell r="D57" t="str">
            <v>Washington</v>
          </cell>
          <cell r="E57">
            <v>52630.200000000004</v>
          </cell>
          <cell r="F57">
            <v>53176.726654634702</v>
          </cell>
          <cell r="G57">
            <v>53618.761339765639</v>
          </cell>
          <cell r="H57">
            <v>54129.828033029058</v>
          </cell>
          <cell r="I57">
            <v>55026.374056366003</v>
          </cell>
          <cell r="J57">
            <v>55372.141513033457</v>
          </cell>
          <cell r="K57">
            <v>55533.435087326383</v>
          </cell>
          <cell r="L57">
            <v>55783.066648720604</v>
          </cell>
          <cell r="M57">
            <v>55765.812750849676</v>
          </cell>
          <cell r="N57">
            <v>56434.233022698121</v>
          </cell>
          <cell r="O57">
            <v>56654.11761649757</v>
          </cell>
          <cell r="P57">
            <v>56842.432994687304</v>
          </cell>
          <cell r="Q57">
            <v>57127.623017345504</v>
          </cell>
          <cell r="R57">
            <v>57340.891701685396</v>
          </cell>
          <cell r="S57">
            <v>57884.381276295244</v>
          </cell>
          <cell r="T57">
            <v>58433.02216454783</v>
          </cell>
          <cell r="U57">
            <v>58986.863191726079</v>
          </cell>
          <cell r="V57">
            <v>59545.953645889669</v>
          </cell>
          <cell r="W57">
            <v>60110.343282261347</v>
          </cell>
          <cell r="X57">
            <v>60680.082327654811</v>
          </cell>
          <cell r="Z57" t="str">
            <v>Wheel and Hand_Nozzle replacement - Washington</v>
          </cell>
          <cell r="AA57">
            <v>51578.069978506588</v>
          </cell>
        </row>
        <row r="58">
          <cell r="A58">
            <v>8.6745110759081312E-2</v>
          </cell>
          <cell r="B58" t="str">
            <v>Pivot and Linear</v>
          </cell>
          <cell r="C58" t="str">
            <v>Pivot and Linear_Sprinkler package replacement, high pressure</v>
          </cell>
          <cell r="D58" t="str">
            <v>Washington</v>
          </cell>
          <cell r="E58">
            <v>91190.36395993043</v>
          </cell>
          <cell r="F58">
            <v>92137.310096368092</v>
          </cell>
          <cell r="G58">
            <v>92903.206935445342</v>
          </cell>
          <cell r="H58">
            <v>93788.712933265779</v>
          </cell>
          <cell r="I58">
            <v>95342.12443797075</v>
          </cell>
          <cell r="J58">
            <v>95941.222678505728</v>
          </cell>
          <cell r="K58">
            <v>96220.689975688147</v>
          </cell>
          <cell r="L58">
            <v>96653.217173749814</v>
          </cell>
          <cell r="M58">
            <v>96623.32199519116</v>
          </cell>
          <cell r="N58">
            <v>97781.468608125448</v>
          </cell>
          <cell r="O58">
            <v>98162.45435656936</v>
          </cell>
          <cell r="P58">
            <v>98488.741314938772</v>
          </cell>
          <cell r="Q58">
            <v>98982.879318669366</v>
          </cell>
          <cell r="R58">
            <v>99352.401930139764</v>
          </cell>
          <cell r="S58">
            <v>100294.08583248292</v>
          </cell>
          <cell r="T58">
            <v>101244.69522182691</v>
          </cell>
          <cell r="U58">
            <v>102204.31469589932</v>
          </cell>
          <cell r="V58">
            <v>103173.02965426355</v>
          </cell>
          <cell r="W58">
            <v>104150.92630591882</v>
          </cell>
          <cell r="X58">
            <v>105138.09167697221</v>
          </cell>
          <cell r="Z58" t="str">
            <v>Pivot and Linear_Sprinkler package replacement, high pressure - Washington</v>
          </cell>
          <cell r="AA58">
            <v>89367.377925426379</v>
          </cell>
        </row>
        <row r="59">
          <cell r="A59">
            <v>0.40383551646544014</v>
          </cell>
          <cell r="B59" t="str">
            <v>Pivot and Linear</v>
          </cell>
          <cell r="C59" t="str">
            <v>Pivot and Linear_Sprinkler package replacement, MESA</v>
          </cell>
          <cell r="D59" t="str">
            <v>Washington</v>
          </cell>
          <cell r="E59">
            <v>424530.06750671164</v>
          </cell>
          <cell r="F59">
            <v>428938.50596193859</v>
          </cell>
          <cell r="G59">
            <v>432504.08265970799</v>
          </cell>
          <cell r="H59">
            <v>436626.49104484712</v>
          </cell>
          <cell r="I59">
            <v>443858.2846502316</v>
          </cell>
          <cell r="J59">
            <v>446647.34267624433</v>
          </cell>
          <cell r="K59">
            <v>447948.38223115721</v>
          </cell>
          <cell r="L59">
            <v>449961.98095604317</v>
          </cell>
          <cell r="M59">
            <v>449822.80613953288</v>
          </cell>
          <cell r="N59">
            <v>455214.47296068637</v>
          </cell>
          <cell r="O59">
            <v>456988.12423788774</v>
          </cell>
          <cell r="P59">
            <v>458507.12929991371</v>
          </cell>
          <cell r="Q59">
            <v>460807.55262285995</v>
          </cell>
          <cell r="R59">
            <v>462527.83810457727</v>
          </cell>
          <cell r="S59">
            <v>466911.77861398656</v>
          </cell>
          <cell r="T59">
            <v>471337.27107509848</v>
          </cell>
          <cell r="U59">
            <v>475804.70932644402</v>
          </cell>
          <cell r="V59">
            <v>480314.49093944242</v>
          </cell>
          <cell r="W59">
            <v>484867.01725378213</v>
          </cell>
          <cell r="X59">
            <v>489462.6934131374</v>
          </cell>
          <cell r="Z59" t="str">
            <v>Pivot and Linear_Sprinkler package replacement, MESA - Washington</v>
          </cell>
          <cell r="AA59">
            <v>416043.28940116678</v>
          </cell>
        </row>
        <row r="60">
          <cell r="A60">
            <v>0.28110565046524894</v>
          </cell>
          <cell r="B60" t="str">
            <v>Pivot and Linear</v>
          </cell>
          <cell r="C60" t="str">
            <v>Pivot and Linear_Sprinkler package replacement, LESA/LEPA/MDI</v>
          </cell>
          <cell r="D60" t="str">
            <v>Washington</v>
          </cell>
          <cell r="E60">
            <v>295510.90952334064</v>
          </cell>
          <cell r="F60">
            <v>298579.57710943848</v>
          </cell>
          <cell r="G60">
            <v>301061.53750183497</v>
          </cell>
          <cell r="H60">
            <v>303931.10256815352</v>
          </cell>
          <cell r="I60">
            <v>308965.07794323919</v>
          </cell>
          <cell r="J60">
            <v>310906.51186527195</v>
          </cell>
          <cell r="K60">
            <v>311812.15179899015</v>
          </cell>
          <cell r="L60">
            <v>313213.79666739912</v>
          </cell>
          <cell r="M60">
            <v>313116.91854319168</v>
          </cell>
          <cell r="N60">
            <v>316870.0010410308</v>
          </cell>
          <cell r="O60">
            <v>318104.62101784721</v>
          </cell>
          <cell r="P60">
            <v>319161.98444580456</v>
          </cell>
          <cell r="Q60">
            <v>320763.28489654773</v>
          </cell>
          <cell r="R60">
            <v>321960.7575050905</v>
          </cell>
          <cell r="S60">
            <v>325012.37232907768</v>
          </cell>
          <cell r="T60">
            <v>328092.91102908668</v>
          </cell>
          <cell r="U60">
            <v>331202.64775197173</v>
          </cell>
          <cell r="V60">
            <v>334341.8592430111</v>
          </cell>
          <cell r="W60">
            <v>337510.8248705357</v>
          </cell>
          <cell r="X60">
            <v>340709.82665079087</v>
          </cell>
          <cell r="Z60" t="str">
            <v>Pivot and Linear_Sprinkler package replacement, LESA/LEPA/MDI - Washington</v>
          </cell>
          <cell r="AA60">
            <v>289603.35265317222</v>
          </cell>
        </row>
        <row r="61">
          <cell r="A61">
            <v>8.6745110759081312E-2</v>
          </cell>
          <cell r="B61" t="str">
            <v>Pivot and Linear</v>
          </cell>
          <cell r="C61" t="str">
            <v>Pivot and Linear_Upgrade from high pressure to MESA</v>
          </cell>
          <cell r="D61" t="str">
            <v>Washington</v>
          </cell>
          <cell r="E61">
            <v>91190.36395993043</v>
          </cell>
          <cell r="F61">
            <v>92137.310096368092</v>
          </cell>
          <cell r="G61">
            <v>92903.206935445342</v>
          </cell>
          <cell r="H61">
            <v>93788.712933265779</v>
          </cell>
          <cell r="I61">
            <v>95342.12443797075</v>
          </cell>
          <cell r="J61">
            <v>95941.222678505728</v>
          </cell>
          <cell r="K61">
            <v>96220.689975688147</v>
          </cell>
          <cell r="L61">
            <v>96653.217173749814</v>
          </cell>
          <cell r="M61">
            <v>96623.32199519116</v>
          </cell>
          <cell r="N61">
            <v>97781.468608125448</v>
          </cell>
          <cell r="O61">
            <v>98162.45435656936</v>
          </cell>
          <cell r="P61">
            <v>98488.741314938772</v>
          </cell>
          <cell r="Q61">
            <v>98982.879318669366</v>
          </cell>
          <cell r="R61">
            <v>99352.401930139764</v>
          </cell>
          <cell r="S61">
            <v>100294.08583248292</v>
          </cell>
          <cell r="T61">
            <v>101244.69522182691</v>
          </cell>
          <cell r="U61">
            <v>102204.31469589932</v>
          </cell>
          <cell r="V61">
            <v>103173.02965426355</v>
          </cell>
          <cell r="W61">
            <v>104150.92630591882</v>
          </cell>
          <cell r="X61">
            <v>105138.09167697221</v>
          </cell>
          <cell r="Z61" t="str">
            <v>Pivot and Linear_Upgrade from high pressure to MESA - Washington</v>
          </cell>
          <cell r="AA61">
            <v>89367.377925426379</v>
          </cell>
        </row>
        <row r="62">
          <cell r="A62">
            <v>0.16153420658617604</v>
          </cell>
          <cell r="B62" t="str">
            <v>Pivot and Linear</v>
          </cell>
          <cell r="C62" t="str">
            <v>Pivot and Linear_Upgrade from MESA to LESA/LEPA/MDI</v>
          </cell>
          <cell r="D62" t="str">
            <v>Washington</v>
          </cell>
          <cell r="E62">
            <v>170811.92934350527</v>
          </cell>
          <cell r="F62">
            <v>173815.77432656847</v>
          </cell>
          <cell r="G62">
            <v>176772.59501341044</v>
          </cell>
          <cell r="H62">
            <v>180215.26750231482</v>
          </cell>
          <cell r="I62">
            <v>185187.82422638696</v>
          </cell>
          <cell r="J62">
            <v>188750.30881439717</v>
          </cell>
          <cell r="K62">
            <v>191962.7885062719</v>
          </cell>
          <cell r="L62">
            <v>195530.72368250033</v>
          </cell>
          <cell r="M62">
            <v>198077.56919441652</v>
          </cell>
          <cell r="N62">
            <v>202498.13250426124</v>
          </cell>
          <cell r="O62">
            <v>204966.31769188741</v>
          </cell>
          <cell r="P62">
            <v>206741.74996683968</v>
          </cell>
          <cell r="Q62">
            <v>208343.41642012721</v>
          </cell>
          <cell r="R62">
            <v>209360.88382521257</v>
          </cell>
          <cell r="S62">
            <v>211255.12248435634</v>
          </cell>
          <cell r="T62">
            <v>213076.95426336426</v>
          </cell>
          <cell r="U62">
            <v>214880.21081905987</v>
          </cell>
          <cell r="V62">
            <v>216687.7056727898</v>
          </cell>
          <cell r="W62">
            <v>218509.31059435476</v>
          </cell>
          <cell r="X62">
            <v>220347.65308208295</v>
          </cell>
          <cell r="Z62" t="str">
            <v>Pivot and Linear_Upgrade from MESA to LESA/LEPA/MDI - Washington</v>
          </cell>
          <cell r="AA62">
            <v>166417.31576046671</v>
          </cell>
        </row>
        <row r="63">
          <cell r="A63">
            <v>0.30000000000000004</v>
          </cell>
          <cell r="B63" t="str">
            <v>Wheel and Hand</v>
          </cell>
          <cell r="C63" t="str">
            <v>Wheel and Hand_Rebuilt or new impact sprinkler</v>
          </cell>
          <cell r="D63" t="str">
            <v>Oregon</v>
          </cell>
          <cell r="E63">
            <v>127122.60000000002</v>
          </cell>
          <cell r="F63">
            <v>129009.60604278318</v>
          </cell>
          <cell r="G63">
            <v>130402.03328030354</v>
          </cell>
          <cell r="H63">
            <v>131390.88904230591</v>
          </cell>
          <cell r="I63">
            <v>133171.11617000715</v>
          </cell>
          <cell r="J63">
            <v>133456.3630244309</v>
          </cell>
          <cell r="K63">
            <v>133658.67699710553</v>
          </cell>
          <cell r="L63">
            <v>133934.34016091769</v>
          </cell>
          <cell r="M63">
            <v>134502.268157318</v>
          </cell>
          <cell r="N63">
            <v>136047.58167183903</v>
          </cell>
          <cell r="O63">
            <v>136664.56005325934</v>
          </cell>
          <cell r="P63">
            <v>137139.51870451408</v>
          </cell>
          <cell r="Q63">
            <v>137692.27881262361</v>
          </cell>
          <cell r="R63">
            <v>138216.89154594476</v>
          </cell>
          <cell r="S63">
            <v>140079.22147195638</v>
          </cell>
          <cell r="T63">
            <v>141966.64437115329</v>
          </cell>
          <cell r="U63">
            <v>143879.49834544456</v>
          </cell>
          <cell r="V63">
            <v>145818.12605231343</v>
          </cell>
          <cell r="W63">
            <v>147782.87476619898</v>
          </cell>
          <cell r="X63">
            <v>149774.09644070489</v>
          </cell>
          <cell r="Z63" t="str">
            <v>Wheel and Hand_Rebuilt or new impact sprinkler - Oregon</v>
          </cell>
          <cell r="AA63">
            <v>127307.98197459916</v>
          </cell>
        </row>
        <row r="64">
          <cell r="A64">
            <v>0.30000000000000004</v>
          </cell>
          <cell r="B64" t="str">
            <v>Wheel and Hand</v>
          </cell>
          <cell r="C64" t="str">
            <v>Wheel and Hand_Gaskets</v>
          </cell>
          <cell r="D64" t="str">
            <v>Oregon</v>
          </cell>
          <cell r="E64">
            <v>127122.60000000002</v>
          </cell>
          <cell r="F64">
            <v>129009.60604278318</v>
          </cell>
          <cell r="G64">
            <v>130402.03328030354</v>
          </cell>
          <cell r="H64">
            <v>131390.88904230591</v>
          </cell>
          <cell r="I64">
            <v>133171.11617000715</v>
          </cell>
          <cell r="J64">
            <v>133456.3630244309</v>
          </cell>
          <cell r="K64">
            <v>133658.67699710553</v>
          </cell>
          <cell r="L64">
            <v>133934.34016091769</v>
          </cell>
          <cell r="M64">
            <v>134502.268157318</v>
          </cell>
          <cell r="N64">
            <v>136047.58167183903</v>
          </cell>
          <cell r="O64">
            <v>136664.56005325934</v>
          </cell>
          <cell r="P64">
            <v>137139.51870451408</v>
          </cell>
          <cell r="Q64">
            <v>137692.27881262361</v>
          </cell>
          <cell r="R64">
            <v>138216.89154594476</v>
          </cell>
          <cell r="S64">
            <v>140079.22147195638</v>
          </cell>
          <cell r="T64">
            <v>141966.64437115329</v>
          </cell>
          <cell r="U64">
            <v>143879.49834544456</v>
          </cell>
          <cell r="V64">
            <v>145818.12605231343</v>
          </cell>
          <cell r="W64">
            <v>147782.87476619898</v>
          </cell>
          <cell r="X64">
            <v>149774.09644070489</v>
          </cell>
          <cell r="Z64" t="str">
            <v>Wheel and Hand_Gaskets - Oregon</v>
          </cell>
          <cell r="AA64">
            <v>127307.98197459916</v>
          </cell>
        </row>
        <row r="65">
          <cell r="A65">
            <v>0.30000000000000004</v>
          </cell>
          <cell r="B65" t="str">
            <v>Wheel and Hand</v>
          </cell>
          <cell r="C65" t="str">
            <v>Wheel and Hand_Drains</v>
          </cell>
          <cell r="D65" t="str">
            <v>Oregon</v>
          </cell>
          <cell r="E65">
            <v>127122.60000000002</v>
          </cell>
          <cell r="F65">
            <v>129009.60604278318</v>
          </cell>
          <cell r="G65">
            <v>130402.03328030354</v>
          </cell>
          <cell r="H65">
            <v>131390.88904230591</v>
          </cell>
          <cell r="I65">
            <v>133171.11617000715</v>
          </cell>
          <cell r="J65">
            <v>133456.3630244309</v>
          </cell>
          <cell r="K65">
            <v>133658.67699710553</v>
          </cell>
          <cell r="L65">
            <v>133934.34016091769</v>
          </cell>
          <cell r="M65">
            <v>134502.268157318</v>
          </cell>
          <cell r="N65">
            <v>136047.58167183903</v>
          </cell>
          <cell r="O65">
            <v>136664.56005325934</v>
          </cell>
          <cell r="P65">
            <v>137139.51870451408</v>
          </cell>
          <cell r="Q65">
            <v>137692.27881262361</v>
          </cell>
          <cell r="R65">
            <v>138216.89154594476</v>
          </cell>
          <cell r="S65">
            <v>140079.22147195638</v>
          </cell>
          <cell r="T65">
            <v>141966.64437115329</v>
          </cell>
          <cell r="U65">
            <v>143879.49834544456</v>
          </cell>
          <cell r="V65">
            <v>145818.12605231343</v>
          </cell>
          <cell r="W65">
            <v>147782.87476619898</v>
          </cell>
          <cell r="X65">
            <v>149774.09644070489</v>
          </cell>
          <cell r="Z65" t="str">
            <v>Wheel and Hand_Drains - Oregon</v>
          </cell>
          <cell r="AA65">
            <v>127307.98197459916</v>
          </cell>
        </row>
        <row r="66">
          <cell r="A66">
            <v>0.30000000000000004</v>
          </cell>
          <cell r="B66" t="str">
            <v>Wheel and Hand</v>
          </cell>
          <cell r="C66" t="str">
            <v>Wheel and Hand_Cut and press repair</v>
          </cell>
          <cell r="D66" t="str">
            <v>Oregon</v>
          </cell>
          <cell r="E66">
            <v>127122.60000000002</v>
          </cell>
          <cell r="F66">
            <v>129009.60604278318</v>
          </cell>
          <cell r="G66">
            <v>130402.03328030354</v>
          </cell>
          <cell r="H66">
            <v>131390.88904230591</v>
          </cell>
          <cell r="I66">
            <v>133171.11617000715</v>
          </cell>
          <cell r="J66">
            <v>133456.3630244309</v>
          </cell>
          <cell r="K66">
            <v>133658.67699710553</v>
          </cell>
          <cell r="L66">
            <v>133934.34016091769</v>
          </cell>
          <cell r="M66">
            <v>134502.268157318</v>
          </cell>
          <cell r="N66">
            <v>136047.58167183903</v>
          </cell>
          <cell r="O66">
            <v>136664.56005325934</v>
          </cell>
          <cell r="P66">
            <v>137139.51870451408</v>
          </cell>
          <cell r="Q66">
            <v>137692.27881262361</v>
          </cell>
          <cell r="R66">
            <v>138216.89154594476</v>
          </cell>
          <cell r="S66">
            <v>140079.22147195638</v>
          </cell>
          <cell r="T66">
            <v>141966.64437115329</v>
          </cell>
          <cell r="U66">
            <v>143879.49834544456</v>
          </cell>
          <cell r="V66">
            <v>145818.12605231343</v>
          </cell>
          <cell r="W66">
            <v>147782.87476619898</v>
          </cell>
          <cell r="X66">
            <v>149774.09644070489</v>
          </cell>
          <cell r="Z66" t="str">
            <v>Wheel and Hand_Cut and press repair - Oregon</v>
          </cell>
          <cell r="AA66">
            <v>127307.98197459916</v>
          </cell>
        </row>
        <row r="67">
          <cell r="A67">
            <v>7.5000000000000011E-2</v>
          </cell>
          <cell r="B67" t="str">
            <v>Wheel and Hand</v>
          </cell>
          <cell r="C67" t="str">
            <v>Wheel and Hand_Hub gasket</v>
          </cell>
          <cell r="D67" t="str">
            <v>Oregon</v>
          </cell>
          <cell r="E67">
            <v>31780.650000000005</v>
          </cell>
          <cell r="F67">
            <v>32252.401510695796</v>
          </cell>
          <cell r="G67">
            <v>32600.508320075885</v>
          </cell>
          <cell r="H67">
            <v>32847.722260576476</v>
          </cell>
          <cell r="I67">
            <v>33292.779042501788</v>
          </cell>
          <cell r="J67">
            <v>33364.090756107726</v>
          </cell>
          <cell r="K67">
            <v>33414.669249276383</v>
          </cell>
          <cell r="L67">
            <v>33483.585040229424</v>
          </cell>
          <cell r="M67">
            <v>33625.5670393295</v>
          </cell>
          <cell r="N67">
            <v>34011.895417959757</v>
          </cell>
          <cell r="O67">
            <v>34166.140013314835</v>
          </cell>
          <cell r="P67">
            <v>34284.879676128519</v>
          </cell>
          <cell r="Q67">
            <v>34423.069703155903</v>
          </cell>
          <cell r="R67">
            <v>34554.22288648619</v>
          </cell>
          <cell r="S67">
            <v>35019.805367989095</v>
          </cell>
          <cell r="T67">
            <v>35491.661092788323</v>
          </cell>
          <cell r="U67">
            <v>35969.87458636114</v>
          </cell>
          <cell r="V67">
            <v>36454.531513078357</v>
          </cell>
          <cell r="W67">
            <v>36945.718691549744</v>
          </cell>
          <cell r="X67">
            <v>37443.524110176222</v>
          </cell>
          <cell r="Z67" t="str">
            <v>Wheel and Hand_Hub gasket - Oregon</v>
          </cell>
          <cell r="AA67">
            <v>31826.995493649789</v>
          </cell>
        </row>
        <row r="68">
          <cell r="A68">
            <v>0.30000000000000004</v>
          </cell>
          <cell r="B68" t="str">
            <v>Wheel and Hand</v>
          </cell>
          <cell r="C68" t="str">
            <v>Wheel and Hand_Levelers</v>
          </cell>
          <cell r="D68" t="str">
            <v>Oregon</v>
          </cell>
          <cell r="E68">
            <v>127122.60000000002</v>
          </cell>
          <cell r="F68">
            <v>129009.60604278318</v>
          </cell>
          <cell r="G68">
            <v>130402.03328030354</v>
          </cell>
          <cell r="H68">
            <v>131390.88904230591</v>
          </cell>
          <cell r="I68">
            <v>133171.11617000715</v>
          </cell>
          <cell r="J68">
            <v>133456.3630244309</v>
          </cell>
          <cell r="K68">
            <v>133658.67699710553</v>
          </cell>
          <cell r="L68">
            <v>133934.34016091769</v>
          </cell>
          <cell r="M68">
            <v>134502.268157318</v>
          </cell>
          <cell r="N68">
            <v>136047.58167183903</v>
          </cell>
          <cell r="O68">
            <v>136664.56005325934</v>
          </cell>
          <cell r="P68">
            <v>137139.51870451408</v>
          </cell>
          <cell r="Q68">
            <v>137692.27881262361</v>
          </cell>
          <cell r="R68">
            <v>138216.89154594476</v>
          </cell>
          <cell r="S68">
            <v>140079.22147195638</v>
          </cell>
          <cell r="T68">
            <v>141966.64437115329</v>
          </cell>
          <cell r="U68">
            <v>143879.49834544456</v>
          </cell>
          <cell r="V68">
            <v>145818.12605231343</v>
          </cell>
          <cell r="W68">
            <v>147782.87476619898</v>
          </cell>
          <cell r="X68">
            <v>149774.09644070489</v>
          </cell>
          <cell r="Z68" t="str">
            <v>Wheel and Hand_Levelers - Oregon</v>
          </cell>
          <cell r="AA68">
            <v>127307.98197459916</v>
          </cell>
        </row>
        <row r="69">
          <cell r="A69">
            <v>0.30000000000000004</v>
          </cell>
          <cell r="B69" t="str">
            <v>Pivot and Linear</v>
          </cell>
          <cell r="C69" t="str">
            <v>Pivot and Linear_Base boot gasket</v>
          </cell>
          <cell r="D69" t="str">
            <v>Oregon</v>
          </cell>
          <cell r="E69">
            <v>144536.40000000002</v>
          </cell>
          <cell r="F69">
            <v>146681.89623908044</v>
          </cell>
          <cell r="G69">
            <v>148265.06414292398</v>
          </cell>
          <cell r="H69">
            <v>149389.37761636675</v>
          </cell>
          <cell r="I69">
            <v>151413.46790574313</v>
          </cell>
          <cell r="J69">
            <v>151737.7891000055</v>
          </cell>
          <cell r="K69">
            <v>151967.81691001006</v>
          </cell>
          <cell r="L69">
            <v>152281.24159853926</v>
          </cell>
          <cell r="M69">
            <v>152926.96681230073</v>
          </cell>
          <cell r="N69">
            <v>154683.96401232824</v>
          </cell>
          <cell r="O69">
            <v>155385.45874362162</v>
          </cell>
          <cell r="P69">
            <v>155925.47927184569</v>
          </cell>
          <cell r="Q69">
            <v>156553.95883480116</v>
          </cell>
          <cell r="R69">
            <v>157150.43527461909</v>
          </cell>
          <cell r="S69">
            <v>159267.8751564181</v>
          </cell>
          <cell r="T69">
            <v>161413.84535469508</v>
          </cell>
          <cell r="U69">
            <v>163588.73028601139</v>
          </cell>
          <cell r="V69">
            <v>165792.91954654478</v>
          </cell>
          <cell r="W69">
            <v>168026.80798187925</v>
          </cell>
          <cell r="X69">
            <v>170290.79575773544</v>
          </cell>
          <cell r="Z69" t="str">
            <v>Pivot and Linear_Base boot gasket - Oregon</v>
          </cell>
          <cell r="AA69">
            <v>144747.17639407513</v>
          </cell>
        </row>
        <row r="70">
          <cell r="A70">
            <v>0.30000000000000004</v>
          </cell>
          <cell r="B70" t="str">
            <v>Pivot and Linear</v>
          </cell>
          <cell r="C70" t="str">
            <v>Pivot and Linear_Tower gasket</v>
          </cell>
          <cell r="D70" t="str">
            <v>Oregon</v>
          </cell>
          <cell r="E70">
            <v>144536.40000000002</v>
          </cell>
          <cell r="F70">
            <v>146681.89623908044</v>
          </cell>
          <cell r="G70">
            <v>148265.06414292398</v>
          </cell>
          <cell r="H70">
            <v>149389.37761636675</v>
          </cell>
          <cell r="I70">
            <v>151413.46790574313</v>
          </cell>
          <cell r="J70">
            <v>151737.7891000055</v>
          </cell>
          <cell r="K70">
            <v>151967.81691001006</v>
          </cell>
          <cell r="L70">
            <v>152281.24159853926</v>
          </cell>
          <cell r="M70">
            <v>152926.96681230073</v>
          </cell>
          <cell r="N70">
            <v>154683.96401232824</v>
          </cell>
          <cell r="O70">
            <v>155385.45874362162</v>
          </cell>
          <cell r="P70">
            <v>155925.47927184569</v>
          </cell>
          <cell r="Q70">
            <v>156553.95883480116</v>
          </cell>
          <cell r="R70">
            <v>157150.43527461909</v>
          </cell>
          <cell r="S70">
            <v>159267.8751564181</v>
          </cell>
          <cell r="T70">
            <v>161413.84535469508</v>
          </cell>
          <cell r="U70">
            <v>163588.73028601139</v>
          </cell>
          <cell r="V70">
            <v>165792.91954654478</v>
          </cell>
          <cell r="W70">
            <v>168026.80798187925</v>
          </cell>
          <cell r="X70">
            <v>170290.79575773544</v>
          </cell>
          <cell r="Z70" t="str">
            <v>Pivot and Linear_Tower gasket - Oregon</v>
          </cell>
          <cell r="AA70">
            <v>144747.17639407513</v>
          </cell>
        </row>
        <row r="71">
          <cell r="A71">
            <v>0.30000000000000004</v>
          </cell>
          <cell r="B71" t="str">
            <v>Wheel and Hand</v>
          </cell>
          <cell r="C71" t="str">
            <v>Wheel and Hand_Nozzle replacement</v>
          </cell>
          <cell r="D71" t="str">
            <v>Oregon</v>
          </cell>
          <cell r="E71">
            <v>127122.60000000002</v>
          </cell>
          <cell r="F71">
            <v>129009.60604278318</v>
          </cell>
          <cell r="G71">
            <v>130402.03328030354</v>
          </cell>
          <cell r="H71">
            <v>131390.88904230591</v>
          </cell>
          <cell r="I71">
            <v>133171.11617000715</v>
          </cell>
          <cell r="J71">
            <v>133456.3630244309</v>
          </cell>
          <cell r="K71">
            <v>133658.67699710553</v>
          </cell>
          <cell r="L71">
            <v>133934.34016091769</v>
          </cell>
          <cell r="M71">
            <v>134502.268157318</v>
          </cell>
          <cell r="N71">
            <v>136047.58167183903</v>
          </cell>
          <cell r="O71">
            <v>136664.56005325934</v>
          </cell>
          <cell r="P71">
            <v>137139.51870451408</v>
          </cell>
          <cell r="Q71">
            <v>137692.27881262361</v>
          </cell>
          <cell r="R71">
            <v>138216.89154594476</v>
          </cell>
          <cell r="S71">
            <v>140079.22147195638</v>
          </cell>
          <cell r="T71">
            <v>141966.64437115329</v>
          </cell>
          <cell r="U71">
            <v>143879.49834544456</v>
          </cell>
          <cell r="V71">
            <v>145818.12605231343</v>
          </cell>
          <cell r="W71">
            <v>147782.87476619898</v>
          </cell>
          <cell r="X71">
            <v>149774.09644070489</v>
          </cell>
          <cell r="Z71" t="str">
            <v>Wheel and Hand_Nozzle replacement - Oregon</v>
          </cell>
          <cell r="AA71">
            <v>127307.98197459916</v>
          </cell>
        </row>
        <row r="72">
          <cell r="A72">
            <v>5.3745632902297169E-2</v>
          </cell>
          <cell r="B72" t="str">
            <v>Pivot and Linear</v>
          </cell>
          <cell r="C72" t="str">
            <v>Pivot and Linear_Sprinkler package replacement, high pressure</v>
          </cell>
          <cell r="D72" t="str">
            <v>Oregon</v>
          </cell>
          <cell r="E72">
            <v>25894.000984731949</v>
          </cell>
          <cell r="F72">
            <v>26278.371162261534</v>
          </cell>
          <cell r="G72">
            <v>26561.999032203781</v>
          </cell>
          <cell r="H72">
            <v>26763.422162906321</v>
          </cell>
          <cell r="I72">
            <v>27126.042208419414</v>
          </cell>
          <cell r="J72">
            <v>27184.145034583609</v>
          </cell>
          <cell r="K72">
            <v>27225.355002029693</v>
          </cell>
          <cell r="L72">
            <v>27281.505696203716</v>
          </cell>
          <cell r="M72">
            <v>27397.188730518985</v>
          </cell>
          <cell r="N72">
            <v>27711.958485595795</v>
          </cell>
          <cell r="O72">
            <v>27837.632746632429</v>
          </cell>
          <cell r="P72">
            <v>27934.378563531212</v>
          </cell>
          <cell r="Q72">
            <v>28046.972003121882</v>
          </cell>
          <cell r="R72">
            <v>28153.83201568629</v>
          </cell>
          <cell r="S72">
            <v>28533.175837619136</v>
          </cell>
          <cell r="T72">
            <v>28917.630925938684</v>
          </cell>
          <cell r="U72">
            <v>29307.266149682899</v>
          </cell>
          <cell r="V72">
            <v>29702.151305828946</v>
          </cell>
          <cell r="W72">
            <v>30102.357131796191</v>
          </cell>
          <cell r="X72">
            <v>30507.955318117707</v>
          </cell>
          <cell r="Z72" t="str">
            <v>Pivot and Linear_Sprinkler package replacement, high pressure - Oregon</v>
          </cell>
          <cell r="AA72">
            <v>25931.762020400049</v>
          </cell>
        </row>
        <row r="73">
          <cell r="A73">
            <v>0.29755395412279939</v>
          </cell>
          <cell r="B73" t="str">
            <v>Pivot and Linear</v>
          </cell>
          <cell r="C73" t="str">
            <v>Pivot and Linear_Sprinkler package replacement, MESA</v>
          </cell>
          <cell r="D73" t="str">
            <v>Oregon</v>
          </cell>
          <cell r="E73">
            <v>143357.92444891526</v>
          </cell>
          <cell r="F73">
            <v>145485.9274138952</v>
          </cell>
          <cell r="G73">
            <v>147056.18697999167</v>
          </cell>
          <cell r="H73">
            <v>148171.33337897979</v>
          </cell>
          <cell r="I73">
            <v>150178.92027599816</v>
          </cell>
          <cell r="J73">
            <v>150500.59712186013</v>
          </cell>
          <cell r="K73">
            <v>150728.749403277</v>
          </cell>
          <cell r="L73">
            <v>151039.61858791558</v>
          </cell>
          <cell r="M73">
            <v>151680.07889002064</v>
          </cell>
          <cell r="N73">
            <v>153422.75043752356</v>
          </cell>
          <cell r="O73">
            <v>154118.52554116573</v>
          </cell>
          <cell r="P73">
            <v>154654.14301943424</v>
          </cell>
          <cell r="Q73">
            <v>155277.49828291012</v>
          </cell>
          <cell r="R73">
            <v>155869.11136027318</v>
          </cell>
          <cell r="S73">
            <v>157969.28672509521</v>
          </cell>
          <cell r="T73">
            <v>160097.75978485189</v>
          </cell>
          <cell r="U73">
            <v>162254.91182176943</v>
          </cell>
          <cell r="V73">
            <v>164441.12925545851</v>
          </cell>
          <cell r="W73">
            <v>166656.80371213504</v>
          </cell>
          <cell r="X73">
            <v>168902.33209477403</v>
          </cell>
          <cell r="Z73" t="str">
            <v>Pivot and Linear_Sprinkler package replacement, MESA - Oregon</v>
          </cell>
          <cell r="AA73">
            <v>143566.98228055792</v>
          </cell>
        </row>
        <row r="74">
          <cell r="A74">
            <v>0.41213682120047768</v>
          </cell>
          <cell r="B74" t="str">
            <v>Pivot and Linear</v>
          </cell>
          <cell r="C74" t="str">
            <v>Pivot and Linear_Sprinkler package replacement, LESA/LEPA/MDI</v>
          </cell>
          <cell r="D74" t="str">
            <v>Oregon</v>
          </cell>
          <cell r="E74">
            <v>198562.57481253575</v>
          </cell>
          <cell r="F74">
            <v>201510.03481210969</v>
          </cell>
          <cell r="G74">
            <v>203684.97410316535</v>
          </cell>
          <cell r="H74">
            <v>205229.54403975725</v>
          </cell>
          <cell r="I74">
            <v>208010.21783204508</v>
          </cell>
          <cell r="J74">
            <v>208455.76685221581</v>
          </cell>
          <cell r="K74">
            <v>208771.77662022578</v>
          </cell>
          <cell r="L74">
            <v>209202.3561362797</v>
          </cell>
          <cell r="M74">
            <v>210089.44659284185</v>
          </cell>
          <cell r="N74">
            <v>212503.19072910014</v>
          </cell>
          <cell r="O74">
            <v>213466.89675791393</v>
          </cell>
          <cell r="P74">
            <v>214208.7712375315</v>
          </cell>
          <cell r="Q74">
            <v>215072.16980175127</v>
          </cell>
          <cell r="R74">
            <v>215891.60281450971</v>
          </cell>
          <cell r="S74">
            <v>218800.51928773557</v>
          </cell>
          <cell r="T74">
            <v>221748.63040743169</v>
          </cell>
          <cell r="U74">
            <v>224736.46428099679</v>
          </cell>
          <cell r="V74">
            <v>227764.55613153166</v>
          </cell>
          <cell r="W74">
            <v>230833.44839371584</v>
          </cell>
          <cell r="X74">
            <v>233943.6908109762</v>
          </cell>
          <cell r="Z74" t="str">
            <v>Pivot and Linear_Sprinkler package replacement, LESA/LEPA/MDI - Oregon</v>
          </cell>
          <cell r="AA74">
            <v>198852.13718932978</v>
          </cell>
        </row>
        <row r="75">
          <cell r="A75">
            <v>5.3745632902297169E-2</v>
          </cell>
          <cell r="B75" t="str">
            <v>Pivot and Linear</v>
          </cell>
          <cell r="C75" t="str">
            <v>Pivot and Linear_Upgrade from high pressure to MESA</v>
          </cell>
          <cell r="D75" t="str">
            <v>Oregon</v>
          </cell>
          <cell r="E75">
            <v>25894.000984731949</v>
          </cell>
          <cell r="F75">
            <v>26278.371162261534</v>
          </cell>
          <cell r="G75">
            <v>26561.999032203781</v>
          </cell>
          <cell r="H75">
            <v>26763.422162906321</v>
          </cell>
          <cell r="I75">
            <v>27126.042208419414</v>
          </cell>
          <cell r="J75">
            <v>27184.145034583609</v>
          </cell>
          <cell r="K75">
            <v>27225.355002029693</v>
          </cell>
          <cell r="L75">
            <v>27281.505696203716</v>
          </cell>
          <cell r="M75">
            <v>27397.188730518985</v>
          </cell>
          <cell r="N75">
            <v>27711.958485595795</v>
          </cell>
          <cell r="O75">
            <v>27837.632746632429</v>
          </cell>
          <cell r="P75">
            <v>27934.378563531212</v>
          </cell>
          <cell r="Q75">
            <v>28046.972003121882</v>
          </cell>
          <cell r="R75">
            <v>28153.83201568629</v>
          </cell>
          <cell r="S75">
            <v>28533.175837619136</v>
          </cell>
          <cell r="T75">
            <v>28917.630925938684</v>
          </cell>
          <cell r="U75">
            <v>29307.266149682899</v>
          </cell>
          <cell r="V75">
            <v>29702.151305828946</v>
          </cell>
          <cell r="W75">
            <v>30102.357131796191</v>
          </cell>
          <cell r="X75">
            <v>30507.955318117707</v>
          </cell>
          <cell r="Z75" t="str">
            <v>Pivot and Linear_Upgrade from high pressure to MESA - Oregon</v>
          </cell>
          <cell r="AA75">
            <v>25931.762020400049</v>
          </cell>
        </row>
        <row r="76">
          <cell r="A76">
            <v>0.11902158164911975</v>
          </cell>
          <cell r="B76" t="str">
            <v>Pivot and Linear</v>
          </cell>
          <cell r="C76" t="str">
            <v>Pivot and Linear_Upgrade from MESA to LESA/LEPA/MDI</v>
          </cell>
          <cell r="D76" t="str">
            <v>Oregon</v>
          </cell>
          <cell r="E76">
            <v>57627.097500363685</v>
          </cell>
          <cell r="F76">
            <v>58832.091526148361</v>
          </cell>
          <cell r="G76">
            <v>59897.807052389609</v>
          </cell>
          <cell r="H76">
            <v>60855.716060850442</v>
          </cell>
          <cell r="I76">
            <v>62250.491443024657</v>
          </cell>
          <cell r="J76">
            <v>63072.459939218832</v>
          </cell>
          <cell r="K76">
            <v>63925.432231790721</v>
          </cell>
          <cell r="L76">
            <v>64829.526757376305</v>
          </cell>
          <cell r="M76">
            <v>65823.644589985954</v>
          </cell>
          <cell r="N76">
            <v>67162.317481984966</v>
          </cell>
          <cell r="O76">
            <v>67939.379637726233</v>
          </cell>
          <cell r="P76">
            <v>68484.858522850715</v>
          </cell>
          <cell r="Q76">
            <v>68927.30403048257</v>
          </cell>
          <cell r="R76">
            <v>69257.279214559778</v>
          </cell>
          <cell r="S76">
            <v>70137.367139600843</v>
          </cell>
          <cell r="T76">
            <v>71003.504355275756</v>
          </cell>
          <cell r="U76">
            <v>71871.033848459803</v>
          </cell>
          <cell r="V76">
            <v>72746.552092415135</v>
          </cell>
          <cell r="W76">
            <v>73632.993671114455</v>
          </cell>
          <cell r="X76">
            <v>74531.225923394231</v>
          </cell>
          <cell r="Z76" t="str">
            <v>Pivot and Linear_Upgrade from MESA to LESA/LEPA/MDI - Oregon</v>
          </cell>
          <cell r="AA76">
            <v>57426.792912223158</v>
          </cell>
        </row>
        <row r="77">
          <cell r="A77">
            <v>0.30000000000000004</v>
          </cell>
          <cell r="B77" t="str">
            <v>Wheel and Hand</v>
          </cell>
          <cell r="C77" t="str">
            <v>Wheel and Hand_Rebuilt or new impact sprinkler</v>
          </cell>
          <cell r="D77" t="str">
            <v>Montana</v>
          </cell>
          <cell r="E77">
            <v>14192.520000000004</v>
          </cell>
          <cell r="F77">
            <v>13983.463127095556</v>
          </cell>
          <cell r="G77">
            <v>13883.443760451075</v>
          </cell>
          <cell r="H77">
            <v>13759.025514095922</v>
          </cell>
          <cell r="I77">
            <v>13591.851305413593</v>
          </cell>
          <cell r="J77">
            <v>13449.735405623303</v>
          </cell>
          <cell r="K77">
            <v>13284.486017254159</v>
          </cell>
          <cell r="L77">
            <v>13116.456332877078</v>
          </cell>
          <cell r="M77">
            <v>12997.384809614108</v>
          </cell>
          <cell r="N77">
            <v>12871.380368741608</v>
          </cell>
          <cell r="O77">
            <v>12742.59563186117</v>
          </cell>
          <cell r="P77">
            <v>12616.003051448526</v>
          </cell>
          <cell r="Q77">
            <v>12567.365693719947</v>
          </cell>
          <cell r="R77">
            <v>12522.863135182661</v>
          </cell>
          <cell r="S77">
            <v>12531.720873105382</v>
          </cell>
          <cell r="T77">
            <v>12540.584876330235</v>
          </cell>
          <cell r="U77">
            <v>12549.455149288828</v>
          </cell>
          <cell r="V77">
            <v>12558.3316964159</v>
          </cell>
          <cell r="W77">
            <v>12567.214522149332</v>
          </cell>
          <cell r="X77">
            <v>12576.10363093014</v>
          </cell>
          <cell r="Z77" t="str">
            <v>Wheel and Hand_Rebuilt or new impact sprinkler - Montana</v>
          </cell>
          <cell r="AA77">
            <v>10689.688086290618</v>
          </cell>
        </row>
        <row r="78">
          <cell r="A78">
            <v>0.30000000000000004</v>
          </cell>
          <cell r="B78" t="str">
            <v>Wheel and Hand</v>
          </cell>
          <cell r="C78" t="str">
            <v>Wheel and Hand_Gaskets</v>
          </cell>
          <cell r="D78" t="str">
            <v>Montana</v>
          </cell>
          <cell r="E78">
            <v>14192.520000000004</v>
          </cell>
          <cell r="F78">
            <v>13983.463127095556</v>
          </cell>
          <cell r="G78">
            <v>13883.443760451075</v>
          </cell>
          <cell r="H78">
            <v>13759.025514095922</v>
          </cell>
          <cell r="I78">
            <v>13591.851305413593</v>
          </cell>
          <cell r="J78">
            <v>13449.735405623303</v>
          </cell>
          <cell r="K78">
            <v>13284.486017254159</v>
          </cell>
          <cell r="L78">
            <v>13116.456332877078</v>
          </cell>
          <cell r="M78">
            <v>12997.384809614108</v>
          </cell>
          <cell r="N78">
            <v>12871.380368741608</v>
          </cell>
          <cell r="O78">
            <v>12742.59563186117</v>
          </cell>
          <cell r="P78">
            <v>12616.003051448526</v>
          </cell>
          <cell r="Q78">
            <v>12567.365693719947</v>
          </cell>
          <cell r="R78">
            <v>12522.863135182661</v>
          </cell>
          <cell r="S78">
            <v>12531.720873105382</v>
          </cell>
          <cell r="T78">
            <v>12540.584876330235</v>
          </cell>
          <cell r="U78">
            <v>12549.455149288828</v>
          </cell>
          <cell r="V78">
            <v>12558.3316964159</v>
          </cell>
          <cell r="W78">
            <v>12567.214522149332</v>
          </cell>
          <cell r="X78">
            <v>12576.10363093014</v>
          </cell>
          <cell r="Z78" t="str">
            <v>Wheel and Hand_Gaskets - Montana</v>
          </cell>
          <cell r="AA78">
            <v>10689.688086290618</v>
          </cell>
        </row>
        <row r="79">
          <cell r="A79">
            <v>0.30000000000000004</v>
          </cell>
          <cell r="B79" t="str">
            <v>Wheel and Hand</v>
          </cell>
          <cell r="C79" t="str">
            <v>Wheel and Hand_Drains</v>
          </cell>
          <cell r="D79" t="str">
            <v>Montana</v>
          </cell>
          <cell r="E79">
            <v>14192.520000000004</v>
          </cell>
          <cell r="F79">
            <v>13983.463127095556</v>
          </cell>
          <cell r="G79">
            <v>13883.443760451075</v>
          </cell>
          <cell r="H79">
            <v>13759.025514095922</v>
          </cell>
          <cell r="I79">
            <v>13591.851305413593</v>
          </cell>
          <cell r="J79">
            <v>13449.735405623303</v>
          </cell>
          <cell r="K79">
            <v>13284.486017254159</v>
          </cell>
          <cell r="L79">
            <v>13116.456332877078</v>
          </cell>
          <cell r="M79">
            <v>12997.384809614108</v>
          </cell>
          <cell r="N79">
            <v>12871.380368741608</v>
          </cell>
          <cell r="O79">
            <v>12742.59563186117</v>
          </cell>
          <cell r="P79">
            <v>12616.003051448526</v>
          </cell>
          <cell r="Q79">
            <v>12567.365693719947</v>
          </cell>
          <cell r="R79">
            <v>12522.863135182661</v>
          </cell>
          <cell r="S79">
            <v>12531.720873105382</v>
          </cell>
          <cell r="T79">
            <v>12540.584876330235</v>
          </cell>
          <cell r="U79">
            <v>12549.455149288828</v>
          </cell>
          <cell r="V79">
            <v>12558.3316964159</v>
          </cell>
          <cell r="W79">
            <v>12567.214522149332</v>
          </cell>
          <cell r="X79">
            <v>12576.10363093014</v>
          </cell>
          <cell r="Z79" t="str">
            <v>Wheel and Hand_Drains - Montana</v>
          </cell>
          <cell r="AA79">
            <v>10689.688086290618</v>
          </cell>
        </row>
        <row r="80">
          <cell r="A80">
            <v>0.30000000000000004</v>
          </cell>
          <cell r="B80" t="str">
            <v>Wheel and Hand</v>
          </cell>
          <cell r="C80" t="str">
            <v>Wheel and Hand_Cut and press repair</v>
          </cell>
          <cell r="D80" t="str">
            <v>Montana</v>
          </cell>
          <cell r="E80">
            <v>14192.520000000004</v>
          </cell>
          <cell r="F80">
            <v>13983.463127095556</v>
          </cell>
          <cell r="G80">
            <v>13883.443760451075</v>
          </cell>
          <cell r="H80">
            <v>13759.025514095922</v>
          </cell>
          <cell r="I80">
            <v>13591.851305413593</v>
          </cell>
          <cell r="J80">
            <v>13449.735405623303</v>
          </cell>
          <cell r="K80">
            <v>13284.486017254159</v>
          </cell>
          <cell r="L80">
            <v>13116.456332877078</v>
          </cell>
          <cell r="M80">
            <v>12997.384809614108</v>
          </cell>
          <cell r="N80">
            <v>12871.380368741608</v>
          </cell>
          <cell r="O80">
            <v>12742.59563186117</v>
          </cell>
          <cell r="P80">
            <v>12616.003051448526</v>
          </cell>
          <cell r="Q80">
            <v>12567.365693719947</v>
          </cell>
          <cell r="R80">
            <v>12522.863135182661</v>
          </cell>
          <cell r="S80">
            <v>12531.720873105382</v>
          </cell>
          <cell r="T80">
            <v>12540.584876330235</v>
          </cell>
          <cell r="U80">
            <v>12549.455149288828</v>
          </cell>
          <cell r="V80">
            <v>12558.3316964159</v>
          </cell>
          <cell r="W80">
            <v>12567.214522149332</v>
          </cell>
          <cell r="X80">
            <v>12576.10363093014</v>
          </cell>
          <cell r="Z80" t="str">
            <v>Wheel and Hand_Cut and press repair - Montana</v>
          </cell>
          <cell r="AA80">
            <v>10689.688086290618</v>
          </cell>
        </row>
        <row r="81">
          <cell r="A81">
            <v>7.5000000000000011E-2</v>
          </cell>
          <cell r="B81" t="str">
            <v>Wheel and Hand</v>
          </cell>
          <cell r="C81" t="str">
            <v>Wheel and Hand_Hub gasket</v>
          </cell>
          <cell r="D81" t="str">
            <v>Montana</v>
          </cell>
          <cell r="E81">
            <v>3548.130000000001</v>
          </cell>
          <cell r="F81">
            <v>3495.865781773889</v>
          </cell>
          <cell r="G81">
            <v>3470.8609401127687</v>
          </cell>
          <cell r="H81">
            <v>3439.7563785239804</v>
          </cell>
          <cell r="I81">
            <v>3397.9628263533982</v>
          </cell>
          <cell r="J81">
            <v>3362.4338514058259</v>
          </cell>
          <cell r="K81">
            <v>3321.1215043135398</v>
          </cell>
          <cell r="L81">
            <v>3279.1140832192696</v>
          </cell>
          <cell r="M81">
            <v>3249.3462024035271</v>
          </cell>
          <cell r="N81">
            <v>3217.8450921854019</v>
          </cell>
          <cell r="O81">
            <v>3185.6489079652924</v>
          </cell>
          <cell r="P81">
            <v>3154.0007628621315</v>
          </cell>
          <cell r="Q81">
            <v>3141.8414234299867</v>
          </cell>
          <cell r="R81">
            <v>3130.7157837956652</v>
          </cell>
          <cell r="S81">
            <v>3132.9302182763454</v>
          </cell>
          <cell r="T81">
            <v>3135.1462190825587</v>
          </cell>
          <cell r="U81">
            <v>3137.3637873222069</v>
          </cell>
          <cell r="V81">
            <v>3139.5829241039751</v>
          </cell>
          <cell r="W81">
            <v>3141.803630537333</v>
          </cell>
          <cell r="X81">
            <v>3144.025907732535</v>
          </cell>
          <cell r="Z81" t="str">
            <v>Wheel and Hand_Hub gasket - Montana</v>
          </cell>
          <cell r="AA81">
            <v>2672.4220215726546</v>
          </cell>
        </row>
        <row r="82">
          <cell r="A82">
            <v>0.30000000000000004</v>
          </cell>
          <cell r="B82" t="str">
            <v>Wheel and Hand</v>
          </cell>
          <cell r="C82" t="str">
            <v>Wheel and Hand_Levelers</v>
          </cell>
          <cell r="D82" t="str">
            <v>Montana</v>
          </cell>
          <cell r="E82">
            <v>14192.520000000004</v>
          </cell>
          <cell r="F82">
            <v>13983.463127095556</v>
          </cell>
          <cell r="G82">
            <v>13883.443760451075</v>
          </cell>
          <cell r="H82">
            <v>13759.025514095922</v>
          </cell>
          <cell r="I82">
            <v>13591.851305413593</v>
          </cell>
          <cell r="J82">
            <v>13449.735405623303</v>
          </cell>
          <cell r="K82">
            <v>13284.486017254159</v>
          </cell>
          <cell r="L82">
            <v>13116.456332877078</v>
          </cell>
          <cell r="M82">
            <v>12997.384809614108</v>
          </cell>
          <cell r="N82">
            <v>12871.380368741608</v>
          </cell>
          <cell r="O82">
            <v>12742.59563186117</v>
          </cell>
          <cell r="P82">
            <v>12616.003051448526</v>
          </cell>
          <cell r="Q82">
            <v>12567.365693719947</v>
          </cell>
          <cell r="R82">
            <v>12522.863135182661</v>
          </cell>
          <cell r="S82">
            <v>12531.720873105382</v>
          </cell>
          <cell r="T82">
            <v>12540.584876330235</v>
          </cell>
          <cell r="U82">
            <v>12549.455149288828</v>
          </cell>
          <cell r="V82">
            <v>12558.3316964159</v>
          </cell>
          <cell r="W82">
            <v>12567.214522149332</v>
          </cell>
          <cell r="X82">
            <v>12576.10363093014</v>
          </cell>
          <cell r="Z82" t="str">
            <v>Wheel and Hand_Levelers - Montana</v>
          </cell>
          <cell r="AA82">
            <v>10689.688086290618</v>
          </cell>
        </row>
        <row r="83">
          <cell r="A83">
            <v>0.30000000000000004</v>
          </cell>
          <cell r="B83" t="str">
            <v>Pivot and Linear</v>
          </cell>
          <cell r="C83" t="str">
            <v>Pivot and Linear_Base boot gasket</v>
          </cell>
          <cell r="D83" t="str">
            <v>Montana</v>
          </cell>
          <cell r="E83">
            <v>42708.420000000013</v>
          </cell>
          <cell r="F83">
            <v>42079.32180377483</v>
          </cell>
          <cell r="G83">
            <v>41778.341490286708</v>
          </cell>
          <cell r="H83">
            <v>41403.939571459086</v>
          </cell>
          <cell r="I83">
            <v>40900.875540718065</v>
          </cell>
          <cell r="J83">
            <v>40473.21748302842</v>
          </cell>
          <cell r="K83">
            <v>39975.945660743688</v>
          </cell>
          <cell r="L83">
            <v>39470.307315133199</v>
          </cell>
          <cell r="M83">
            <v>39111.994864239721</v>
          </cell>
          <cell r="N83">
            <v>38732.819736591635</v>
          </cell>
          <cell r="O83">
            <v>38345.278085617792</v>
          </cell>
          <cell r="P83">
            <v>37964.33311649695</v>
          </cell>
          <cell r="Q83">
            <v>37817.972589855985</v>
          </cell>
          <cell r="R83">
            <v>37684.054585084101</v>
          </cell>
          <cell r="S83">
            <v>37710.709470295013</v>
          </cell>
          <cell r="T83">
            <v>37737.383209180589</v>
          </cell>
          <cell r="U83">
            <v>37764.075815076532</v>
          </cell>
          <cell r="V83">
            <v>37790.787301327939</v>
          </cell>
          <cell r="W83">
            <v>37817.51768128937</v>
          </cell>
          <cell r="X83">
            <v>37844.266968324831</v>
          </cell>
          <cell r="Z83" t="str">
            <v>Pivot and Linear_Base boot gasket - Montana</v>
          </cell>
          <cell r="AA83">
            <v>32167.626923076106</v>
          </cell>
        </row>
        <row r="84">
          <cell r="A84">
            <v>0.30000000000000004</v>
          </cell>
          <cell r="B84" t="str">
            <v>Pivot and Linear</v>
          </cell>
          <cell r="C84" t="str">
            <v>Pivot and Linear_Tower gasket</v>
          </cell>
          <cell r="D84" t="str">
            <v>Montana</v>
          </cell>
          <cell r="E84">
            <v>42708.420000000013</v>
          </cell>
          <cell r="F84">
            <v>42079.32180377483</v>
          </cell>
          <cell r="G84">
            <v>41778.341490286708</v>
          </cell>
          <cell r="H84">
            <v>41403.939571459086</v>
          </cell>
          <cell r="I84">
            <v>40900.875540718065</v>
          </cell>
          <cell r="J84">
            <v>40473.21748302842</v>
          </cell>
          <cell r="K84">
            <v>39975.945660743688</v>
          </cell>
          <cell r="L84">
            <v>39470.307315133199</v>
          </cell>
          <cell r="M84">
            <v>39111.994864239721</v>
          </cell>
          <cell r="N84">
            <v>38732.819736591635</v>
          </cell>
          <cell r="O84">
            <v>38345.278085617792</v>
          </cell>
          <cell r="P84">
            <v>37964.33311649695</v>
          </cell>
          <cell r="Q84">
            <v>37817.972589855985</v>
          </cell>
          <cell r="R84">
            <v>37684.054585084101</v>
          </cell>
          <cell r="S84">
            <v>37710.709470295013</v>
          </cell>
          <cell r="T84">
            <v>37737.383209180589</v>
          </cell>
          <cell r="U84">
            <v>37764.075815076532</v>
          </cell>
          <cell r="V84">
            <v>37790.787301327939</v>
          </cell>
          <cell r="W84">
            <v>37817.51768128937</v>
          </cell>
          <cell r="X84">
            <v>37844.266968324831</v>
          </cell>
          <cell r="Z84" t="str">
            <v>Pivot and Linear_Tower gasket - Montana</v>
          </cell>
          <cell r="AA84">
            <v>32167.626923076106</v>
          </cell>
        </row>
        <row r="85">
          <cell r="A85">
            <v>0.30000000000000004</v>
          </cell>
          <cell r="B85" t="str">
            <v>Wheel and Hand</v>
          </cell>
          <cell r="C85" t="str">
            <v>Wheel and Hand_Nozzle replacement</v>
          </cell>
          <cell r="D85" t="str">
            <v>Montana</v>
          </cell>
          <cell r="E85">
            <v>14192.520000000004</v>
          </cell>
          <cell r="F85">
            <v>13983.463127095556</v>
          </cell>
          <cell r="G85">
            <v>13883.443760451075</v>
          </cell>
          <cell r="H85">
            <v>13759.025514095922</v>
          </cell>
          <cell r="I85">
            <v>13591.851305413593</v>
          </cell>
          <cell r="J85">
            <v>13449.735405623303</v>
          </cell>
          <cell r="K85">
            <v>13284.486017254159</v>
          </cell>
          <cell r="L85">
            <v>13116.456332877078</v>
          </cell>
          <cell r="M85">
            <v>12997.384809614108</v>
          </cell>
          <cell r="N85">
            <v>12871.380368741608</v>
          </cell>
          <cell r="O85">
            <v>12742.59563186117</v>
          </cell>
          <cell r="P85">
            <v>12616.003051448526</v>
          </cell>
          <cell r="Q85">
            <v>12567.365693719947</v>
          </cell>
          <cell r="R85">
            <v>12522.863135182661</v>
          </cell>
          <cell r="S85">
            <v>12531.720873105382</v>
          </cell>
          <cell r="T85">
            <v>12540.584876330235</v>
          </cell>
          <cell r="U85">
            <v>12549.455149288828</v>
          </cell>
          <cell r="V85">
            <v>12558.3316964159</v>
          </cell>
          <cell r="W85">
            <v>12567.214522149332</v>
          </cell>
          <cell r="X85">
            <v>12576.10363093014</v>
          </cell>
          <cell r="Z85" t="str">
            <v>Wheel and Hand_Nozzle replacement - Montana</v>
          </cell>
          <cell r="AA85">
            <v>10689.688086290618</v>
          </cell>
        </row>
        <row r="86">
          <cell r="A86">
            <v>0.10907935153460624</v>
          </cell>
          <cell r="B86" t="str">
            <v>Pivot and Linear</v>
          </cell>
          <cell r="C86" t="str">
            <v>Pivot and Linear_Sprinkler package replacement, high pressure</v>
          </cell>
          <cell r="D86" t="str">
            <v>Montana</v>
          </cell>
          <cell r="E86">
            <v>15528.689195558694</v>
          </cell>
          <cell r="F86">
            <v>15299.950451239249</v>
          </cell>
          <cell r="G86">
            <v>15190.51465983936</v>
          </cell>
          <cell r="H86">
            <v>15054.382931442597</v>
          </cell>
          <cell r="I86">
            <v>14871.469937263877</v>
          </cell>
          <cell r="J86">
            <v>14715.974391892758</v>
          </cell>
          <cell r="K86">
            <v>14535.167432188589</v>
          </cell>
          <cell r="L86">
            <v>14351.318422687846</v>
          </cell>
          <cell r="M86">
            <v>14221.036790053726</v>
          </cell>
          <cell r="N86">
            <v>14083.169533247377</v>
          </cell>
          <cell r="O86">
            <v>13942.260226644452</v>
          </cell>
          <cell r="P86">
            <v>13803.749459304212</v>
          </cell>
          <cell r="Q86">
            <v>13750.533088183345</v>
          </cell>
          <cell r="R86">
            <v>13701.840791118928</v>
          </cell>
          <cell r="S86">
            <v>13711.532449765711</v>
          </cell>
          <cell r="T86">
            <v>13721.230963567854</v>
          </cell>
          <cell r="U86">
            <v>13730.93633737418</v>
          </cell>
          <cell r="V86">
            <v>13740.648576036943</v>
          </cell>
          <cell r="W86">
            <v>13750.367684411833</v>
          </cell>
          <cell r="X86">
            <v>13760.093667357969</v>
          </cell>
          <cell r="Z86" t="str">
            <v>Pivot and Linear_Sprinkler package replacement, high pressure - Montana</v>
          </cell>
          <cell r="AA86">
            <v>11696.079617254274</v>
          </cell>
        </row>
        <row r="87">
          <cell r="A87">
            <v>0.3934424102825036</v>
          </cell>
          <cell r="B87" t="str">
            <v>Pivot and Linear</v>
          </cell>
          <cell r="C87" t="str">
            <v>Pivot and Linear_Sprinkler package replacement, MESA</v>
          </cell>
          <cell r="D87" t="str">
            <v>Montana</v>
          </cell>
          <cell r="E87">
            <v>56011.012347191616</v>
          </cell>
          <cell r="F87">
            <v>55185.965978434244</v>
          </cell>
          <cell r="G87">
            <v>54791.237911813078</v>
          </cell>
          <cell r="H87">
            <v>54300.219267286637</v>
          </cell>
          <cell r="I87">
            <v>53640.463518016033</v>
          </cell>
          <cell r="J87">
            <v>53079.600794702208</v>
          </cell>
          <cell r="K87">
            <v>52427.44138028461</v>
          </cell>
          <cell r="L87">
            <v>51764.309482190452</v>
          </cell>
          <cell r="M87">
            <v>51294.391767811256</v>
          </cell>
          <cell r="N87">
            <v>50797.11318067446</v>
          </cell>
          <cell r="O87">
            <v>50288.862109861097</v>
          </cell>
          <cell r="P87">
            <v>49789.262420408093</v>
          </cell>
          <cell r="Q87">
            <v>49597.314292501971</v>
          </cell>
          <cell r="R87">
            <v>49421.684217243062</v>
          </cell>
          <cell r="S87">
            <v>49456.641424853668</v>
          </cell>
          <cell r="T87">
            <v>49491.62335858163</v>
          </cell>
          <cell r="U87">
            <v>49526.630035916365</v>
          </cell>
          <cell r="V87">
            <v>49561.661474359636</v>
          </cell>
          <cell r="W87">
            <v>49596.71769142562</v>
          </cell>
          <cell r="X87">
            <v>49631.798704640845</v>
          </cell>
          <cell r="Z87" t="str">
            <v>Pivot and Linear_Sprinkler package replacement, MESA - Montana</v>
          </cell>
          <cell r="AA87">
            <v>42187.028898944714</v>
          </cell>
        </row>
        <row r="88">
          <cell r="A88">
            <v>0.27474807606654172</v>
          </cell>
          <cell r="B88" t="str">
            <v>Pivot and Linear</v>
          </cell>
          <cell r="C88" t="str">
            <v>Pivot and Linear_Sprinkler package replacement, LESA/LEPA/MDI</v>
          </cell>
          <cell r="D88" t="str">
            <v>Montana</v>
          </cell>
          <cell r="E88">
            <v>39113.520756139376</v>
          </cell>
          <cell r="F88">
            <v>38537.375692573376</v>
          </cell>
          <cell r="G88">
            <v>38261.729819024156</v>
          </cell>
          <cell r="H88">
            <v>37918.842462779125</v>
          </cell>
          <cell r="I88">
            <v>37458.122880831201</v>
          </cell>
          <cell r="J88">
            <v>37066.462118949254</v>
          </cell>
          <cell r="K88">
            <v>36611.047197433145</v>
          </cell>
          <cell r="L88">
            <v>36147.969988626639</v>
          </cell>
          <cell r="M88">
            <v>35819.817800247743</v>
          </cell>
          <cell r="N88">
            <v>35472.559010869089</v>
          </cell>
          <cell r="O88">
            <v>35117.637934200036</v>
          </cell>
          <cell r="P88">
            <v>34768.758276356108</v>
          </cell>
          <cell r="Q88">
            <v>34634.71736600047</v>
          </cell>
          <cell r="R88">
            <v>34512.071652127983</v>
          </cell>
          <cell r="S88">
            <v>34536.482913559557</v>
          </cell>
          <cell r="T88">
            <v>34560.911441693941</v>
          </cell>
          <cell r="U88">
            <v>34585.357248744316</v>
          </cell>
          <cell r="V88">
            <v>34609.820346932487</v>
          </cell>
          <cell r="W88">
            <v>34634.300748488924</v>
          </cell>
          <cell r="X88">
            <v>34658.798465652741</v>
          </cell>
          <cell r="Z88" t="str">
            <v>Pivot and Linear_Sprinkler package replacement, LESA/LEPA/MDI - Montana</v>
          </cell>
          <cell r="AA88">
            <v>29459.978695804828</v>
          </cell>
        </row>
        <row r="89">
          <cell r="A89">
            <v>0.10907935153460624</v>
          </cell>
          <cell r="B89" t="str">
            <v>Pivot and Linear</v>
          </cell>
          <cell r="C89" t="str">
            <v>Pivot and Linear_Upgrade from high pressure to MESA</v>
          </cell>
          <cell r="D89" t="str">
            <v>Montana</v>
          </cell>
          <cell r="E89">
            <v>15528.689195558694</v>
          </cell>
          <cell r="F89">
            <v>15299.950451239249</v>
          </cell>
          <cell r="G89">
            <v>15190.51465983936</v>
          </cell>
          <cell r="H89">
            <v>15054.382931442597</v>
          </cell>
          <cell r="I89">
            <v>14871.469937263877</v>
          </cell>
          <cell r="J89">
            <v>14715.974391892758</v>
          </cell>
          <cell r="K89">
            <v>14535.167432188589</v>
          </cell>
          <cell r="L89">
            <v>14351.318422687846</v>
          </cell>
          <cell r="M89">
            <v>14221.036790053726</v>
          </cell>
          <cell r="N89">
            <v>14083.169533247377</v>
          </cell>
          <cell r="O89">
            <v>13942.260226644452</v>
          </cell>
          <cell r="P89">
            <v>13803.749459304212</v>
          </cell>
          <cell r="Q89">
            <v>13750.533088183345</v>
          </cell>
          <cell r="R89">
            <v>13701.840791118928</v>
          </cell>
          <cell r="S89">
            <v>13711.532449765711</v>
          </cell>
          <cell r="T89">
            <v>13721.230963567854</v>
          </cell>
          <cell r="U89">
            <v>13730.93633737418</v>
          </cell>
          <cell r="V89">
            <v>13740.648576036943</v>
          </cell>
          <cell r="W89">
            <v>13750.367684411833</v>
          </cell>
          <cell r="X89">
            <v>13760.093667357969</v>
          </cell>
          <cell r="Z89" t="str">
            <v>Pivot and Linear_Upgrade from high pressure to MESA - Montana</v>
          </cell>
          <cell r="AA89">
            <v>11696.079617254274</v>
          </cell>
        </row>
        <row r="90">
          <cell r="A90">
            <v>0.15737696411300142</v>
          </cell>
          <cell r="B90" t="str">
            <v>Pivot and Linear</v>
          </cell>
          <cell r="C90" t="str">
            <v>Pivot and Linear_Upgrade from MESA to LESA/LEPA/MDI</v>
          </cell>
          <cell r="D90" t="str">
            <v>Montana</v>
          </cell>
          <cell r="E90">
            <v>22574.677015905945</v>
          </cell>
          <cell r="F90">
            <v>22450.645851921094</v>
          </cell>
          <cell r="G90">
            <v>22543.019935993772</v>
          </cell>
          <cell r="H90">
            <v>22634.527551747036</v>
          </cell>
          <cell r="I90">
            <v>22695.038700320125</v>
          </cell>
          <cell r="J90">
            <v>22846.006207270431</v>
          </cell>
          <cell r="K90">
            <v>22991.807568277774</v>
          </cell>
          <cell r="L90">
            <v>23136.73727781144</v>
          </cell>
          <cell r="M90">
            <v>23331.808852226321</v>
          </cell>
          <cell r="N90">
            <v>23458.959602928826</v>
          </cell>
          <cell r="O90">
            <v>23505.455262842464</v>
          </cell>
          <cell r="P90">
            <v>23469.293346274964</v>
          </cell>
          <cell r="Q90">
            <v>23487.186515424655</v>
          </cell>
          <cell r="R90">
            <v>23462.356087543652</v>
          </cell>
          <cell r="S90">
            <v>23495.569394848688</v>
          </cell>
          <cell r="T90">
            <v>23516.559996131298</v>
          </cell>
          <cell r="U90">
            <v>23532.75001970998</v>
          </cell>
          <cell r="V90">
            <v>23547.239675858393</v>
          </cell>
          <cell r="W90">
            <v>23561.340636890338</v>
          </cell>
          <cell r="X90">
            <v>23575.38246841557</v>
          </cell>
          <cell r="Z90" t="str">
            <v>Pivot and Linear_Upgrade from MESA to LESA/LEPA/MDI - Montana</v>
          </cell>
          <cell r="AA90">
            <v>16874.811559577887</v>
          </cell>
        </row>
        <row r="91">
          <cell r="A91">
            <v>6.1919652943174475E-2</v>
          </cell>
          <cell r="B91" t="str">
            <v>Pivot and Linear</v>
          </cell>
          <cell r="C91" t="str">
            <v>Pivot and Linear_Pressure Reduction_High to Medium</v>
          </cell>
          <cell r="D91" t="str">
            <v>Idaho</v>
          </cell>
          <cell r="E91">
            <v>124086.79873916281</v>
          </cell>
          <cell r="F91">
            <v>123207.71890689687</v>
          </cell>
          <cell r="G91">
            <v>121990.72552525288</v>
          </cell>
          <cell r="H91">
            <v>120613.24245102273</v>
          </cell>
          <cell r="I91">
            <v>119232.63767480513</v>
          </cell>
          <cell r="J91">
            <v>117136.13683048598</v>
          </cell>
          <cell r="K91">
            <v>115082.57007925412</v>
          </cell>
          <cell r="L91">
            <v>113977.31652354343</v>
          </cell>
          <cell r="M91">
            <v>112627.28732158621</v>
          </cell>
          <cell r="N91">
            <v>111108.77173839006</v>
          </cell>
          <cell r="O91">
            <v>109546.50956432914</v>
          </cell>
          <cell r="P91">
            <v>107660.01801398565</v>
          </cell>
          <cell r="Q91">
            <v>106128.11759898048</v>
          </cell>
          <cell r="R91">
            <v>104996.26543181531</v>
          </cell>
          <cell r="S91">
            <v>104435.47091314355</v>
          </cell>
          <cell r="T91">
            <v>103877.67164854945</v>
          </cell>
          <cell r="U91">
            <v>103322.85164011097</v>
          </cell>
          <cell r="V91">
            <v>102770.99497535238</v>
          </cell>
          <cell r="W91">
            <v>102222.08582678798</v>
          </cell>
          <cell r="X91">
            <v>101676.10845146807</v>
          </cell>
          <cell r="Z91" t="str">
            <v>Pivot and Linear_Pressure Reduction_High to Medium - Idaho</v>
          </cell>
          <cell r="AA91">
            <v>86424.692183747859</v>
          </cell>
        </row>
        <row r="92">
          <cell r="A92">
            <v>8.5134790366795984E-2</v>
          </cell>
          <cell r="B92" t="str">
            <v>Pivot and Linear</v>
          </cell>
          <cell r="C92" t="str">
            <v>Pivot and Linear_Pressure Reduction_Medium to Low</v>
          </cell>
          <cell r="D92" t="str">
            <v>Idaho</v>
          </cell>
          <cell r="E92">
            <v>170609.86449068805</v>
          </cell>
          <cell r="F92">
            <v>169401.19690813034</v>
          </cell>
          <cell r="G92">
            <v>167727.92402142467</v>
          </cell>
          <cell r="H92">
            <v>165833.99007340951</v>
          </cell>
          <cell r="I92">
            <v>163935.76402374884</v>
          </cell>
          <cell r="J92">
            <v>161053.23559535595</v>
          </cell>
          <cell r="K92">
            <v>158229.73826356707</v>
          </cell>
          <cell r="L92">
            <v>156710.09909740539</v>
          </cell>
          <cell r="M92">
            <v>154853.91212550554</v>
          </cell>
          <cell r="N92">
            <v>152766.06925657409</v>
          </cell>
          <cell r="O92">
            <v>150618.07816869265</v>
          </cell>
          <cell r="P92">
            <v>148024.29646880782</v>
          </cell>
          <cell r="Q92">
            <v>145918.05047912244</v>
          </cell>
          <cell r="R92">
            <v>144361.84025510447</v>
          </cell>
          <cell r="S92">
            <v>143590.7906526498</v>
          </cell>
          <cell r="T92">
            <v>142823.85929562891</v>
          </cell>
          <cell r="U92">
            <v>142061.02418812169</v>
          </cell>
          <cell r="V92">
            <v>141302.26345169026</v>
          </cell>
          <cell r="W92">
            <v>140547.55532475142</v>
          </cell>
          <cell r="X92">
            <v>139796.87816195254</v>
          </cell>
          <cell r="Z92" t="str">
            <v>Pivot and Linear_Pressure Reduction_Medium to Low - Idaho</v>
          </cell>
          <cell r="AA92">
            <v>118827.34643765965</v>
          </cell>
        </row>
        <row r="93">
          <cell r="A93">
            <v>0</v>
          </cell>
          <cell r="B93" t="str">
            <v>Pivot and Linear</v>
          </cell>
          <cell r="C93" t="str">
            <v>Pivot and Linear_Pressure Reduction_Medium2 to Low</v>
          </cell>
          <cell r="D93" t="str">
            <v>Idaho</v>
          </cell>
          <cell r="E93">
            <v>175.04585605066293</v>
          </cell>
          <cell r="F93">
            <v>448.25238171416112</v>
          </cell>
          <cell r="G93">
            <v>989.26819759999717</v>
          </cell>
          <cell r="H93">
            <v>1925.3551428005526</v>
          </cell>
          <cell r="I93">
            <v>3364.8226748296261</v>
          </cell>
          <cell r="J93">
            <v>5344.6424348901764</v>
          </cell>
          <cell r="K93">
            <v>7820.2377971065616</v>
          </cell>
          <cell r="L93">
            <v>10680.694151653641</v>
          </cell>
          <cell r="M93">
            <v>13724.698056973471</v>
          </cell>
          <cell r="N93">
            <v>16727.660688233849</v>
          </cell>
          <cell r="O93">
            <v>19491.017095615411</v>
          </cell>
          <cell r="P93">
            <v>21867.31485771048</v>
          </cell>
          <cell r="Q93">
            <v>23796.420389327726</v>
          </cell>
          <cell r="R93">
            <v>25280.833931901059</v>
          </cell>
          <cell r="S93">
            <v>26368.770362658834</v>
          </cell>
          <cell r="T93">
            <v>27126.258327604366</v>
          </cell>
          <cell r="U93">
            <v>27628.553096564498</v>
          </cell>
          <cell r="V93">
            <v>27946.487984858544</v>
          </cell>
          <cell r="W93">
            <v>28138.979931446858</v>
          </cell>
          <cell r="X93">
            <v>28268.61696972248</v>
          </cell>
          <cell r="Z93" t="str">
            <v>Pivot and Linear_Pressure Reduction_Medium2 to Low - Idaho</v>
          </cell>
          <cell r="AA93">
            <v>28268.61696972248</v>
          </cell>
        </row>
        <row r="94">
          <cell r="A94">
            <v>2.2500000000000003E-2</v>
          </cell>
          <cell r="B94" t="str">
            <v>Wheel-Line (Alfalfa)</v>
          </cell>
          <cell r="C94" t="str">
            <v>Wheel-Line_Conversion to Low Pressure System (Alfalfa)</v>
          </cell>
          <cell r="D94" t="str">
            <v>Idaho</v>
          </cell>
          <cell r="E94">
            <v>13436.342111916587</v>
          </cell>
          <cell r="F94">
            <v>13341.153764001834</v>
          </cell>
          <cell r="G94">
            <v>13209.375528203524</v>
          </cell>
          <cell r="H94">
            <v>13060.219179367121</v>
          </cell>
          <cell r="I94">
            <v>12910.72480701572</v>
          </cell>
          <cell r="J94">
            <v>12683.711918711562</v>
          </cell>
          <cell r="K94">
            <v>12461.348011353382</v>
          </cell>
          <cell r="L94">
            <v>12341.669165208292</v>
          </cell>
          <cell r="M94">
            <v>12195.485571120213</v>
          </cell>
          <cell r="N94">
            <v>12031.057968140552</v>
          </cell>
          <cell r="O94">
            <v>11861.893405491841</v>
          </cell>
          <cell r="P94">
            <v>11657.620701874617</v>
          </cell>
          <cell r="Q94">
            <v>11491.743765193678</v>
          </cell>
          <cell r="R94">
            <v>11369.184773482453</v>
          </cell>
          <cell r="S94">
            <v>11308.460932719987</v>
          </cell>
          <cell r="T94">
            <v>11248.061423465047</v>
          </cell>
          <cell r="U94">
            <v>11187.984513433817</v>
          </cell>
          <cell r="V94">
            <v>11128.22847959476</v>
          </cell>
          <cell r="W94">
            <v>11068.791608119209</v>
          </cell>
          <cell r="X94">
            <v>11009.67219433221</v>
          </cell>
          <cell r="Z94" t="str">
            <v>Wheel-Line_Conversion to Low Pressure System (Alfalfa) - Idaho</v>
          </cell>
          <cell r="AA94">
            <v>9358.2213651823786</v>
          </cell>
        </row>
        <row r="95">
          <cell r="A95">
            <v>2.2500000000000003E-2</v>
          </cell>
          <cell r="B95" t="str">
            <v>Hand-Line (Alfalfa)</v>
          </cell>
          <cell r="C95" t="str">
            <v>Hand-Line_Conversion to Low Pressure System (Alfalfa)</v>
          </cell>
          <cell r="D95" t="str">
            <v>Idaho</v>
          </cell>
          <cell r="E95">
            <v>2065.8428880834135</v>
          </cell>
          <cell r="F95">
            <v>2051.207642126577</v>
          </cell>
          <cell r="G95">
            <v>2030.9466865063209</v>
          </cell>
          <cell r="H95">
            <v>2008.0138391666503</v>
          </cell>
          <cell r="I95">
            <v>1985.0290205785068</v>
          </cell>
          <cell r="J95">
            <v>1950.1256996523086</v>
          </cell>
          <cell r="K95">
            <v>1915.9371613763349</v>
          </cell>
          <cell r="L95">
            <v>1897.5364916774297</v>
          </cell>
          <cell r="M95">
            <v>1875.060706550353</v>
          </cell>
          <cell r="N95">
            <v>1849.779897875582</v>
          </cell>
          <cell r="O95">
            <v>1823.7707797872863</v>
          </cell>
          <cell r="P95">
            <v>1792.3637712069565</v>
          </cell>
          <cell r="Q95">
            <v>1766.8601269051742</v>
          </cell>
          <cell r="R95">
            <v>1748.0166336918867</v>
          </cell>
          <cell r="S95">
            <v>1738.6803192745128</v>
          </cell>
          <cell r="T95">
            <v>1729.3938709540744</v>
          </cell>
          <cell r="U95">
            <v>1720.1570223912522</v>
          </cell>
          <cell r="V95">
            <v>1710.9695086692698</v>
          </cell>
          <cell r="W95">
            <v>1701.8310662862943</v>
          </cell>
          <cell r="X95">
            <v>1692.741433147881</v>
          </cell>
          <cell r="Z95" t="str">
            <v>Hand-Line_Conversion to Low Pressure System (Alfalfa) - Idaho</v>
          </cell>
          <cell r="AA95">
            <v>1438.8302181756987</v>
          </cell>
        </row>
        <row r="96">
          <cell r="A96">
            <v>5.453967576730312E-2</v>
          </cell>
          <cell r="B96" t="str">
            <v>Pivot and Linear</v>
          </cell>
          <cell r="C96" t="str">
            <v>Pivot and Linear_Pressure Reduction_High to Medium</v>
          </cell>
          <cell r="D96" t="str">
            <v>Montana</v>
          </cell>
          <cell r="E96">
            <v>7764.3445977793472</v>
          </cell>
          <cell r="F96">
            <v>7649.9752256196243</v>
          </cell>
          <cell r="G96">
            <v>7595.2573299196802</v>
          </cell>
          <cell r="H96">
            <v>7527.1914657212983</v>
          </cell>
          <cell r="I96">
            <v>7435.7349686319385</v>
          </cell>
          <cell r="J96">
            <v>7357.987195946379</v>
          </cell>
          <cell r="K96">
            <v>7267.5837160942947</v>
          </cell>
          <cell r="L96">
            <v>7175.6592113439228</v>
          </cell>
          <cell r="M96">
            <v>7110.5183950268629</v>
          </cell>
          <cell r="N96">
            <v>7041.5847666236887</v>
          </cell>
          <cell r="O96">
            <v>6971.130113322226</v>
          </cell>
          <cell r="P96">
            <v>6901.874729652106</v>
          </cell>
          <cell r="Q96">
            <v>6875.2665440916726</v>
          </cell>
          <cell r="R96">
            <v>6850.9203955594639</v>
          </cell>
          <cell r="S96">
            <v>6855.7662248828556</v>
          </cell>
          <cell r="T96">
            <v>6860.615481783927</v>
          </cell>
          <cell r="U96">
            <v>6865.4681686870899</v>
          </cell>
          <cell r="V96">
            <v>6870.3242880184716</v>
          </cell>
          <cell r="W96">
            <v>6875.1838422059163</v>
          </cell>
          <cell r="X96">
            <v>6880.0468336789845</v>
          </cell>
          <cell r="Z96" t="str">
            <v>Pivot and Linear_Pressure Reduction_High to Medium - Montana</v>
          </cell>
          <cell r="AA96">
            <v>5848.0398086271371</v>
          </cell>
        </row>
        <row r="97">
          <cell r="A97">
            <v>7.8688482056500711E-2</v>
          </cell>
          <cell r="B97" t="str">
            <v>Pivot and Linear</v>
          </cell>
          <cell r="C97" t="str">
            <v>Pivot and Linear_Pressure Reduction_Medium to Low</v>
          </cell>
          <cell r="D97" t="str">
            <v>Montana</v>
          </cell>
          <cell r="E97">
            <v>11202.202469438322</v>
          </cell>
          <cell r="F97">
            <v>11037.193195686847</v>
          </cell>
          <cell r="G97">
            <v>10958.247582362614</v>
          </cell>
          <cell r="H97">
            <v>10860.043853457326</v>
          </cell>
          <cell r="I97">
            <v>10728.092703603206</v>
          </cell>
          <cell r="J97">
            <v>10615.92015894044</v>
          </cell>
          <cell r="K97">
            <v>10485.488276056922</v>
          </cell>
          <cell r="L97">
            <v>10352.861896438089</v>
          </cell>
          <cell r="M97">
            <v>10258.87835356225</v>
          </cell>
          <cell r="N97">
            <v>10159.42263613489</v>
          </cell>
          <cell r="O97">
            <v>10057.772421972219</v>
          </cell>
          <cell r="P97">
            <v>9957.852484081619</v>
          </cell>
          <cell r="Q97">
            <v>9919.462858500392</v>
          </cell>
          <cell r="R97">
            <v>9884.336843448611</v>
          </cell>
          <cell r="S97">
            <v>9891.3282849707321</v>
          </cell>
          <cell r="T97">
            <v>9898.3246717163256</v>
          </cell>
          <cell r="U97">
            <v>9905.3260071832719</v>
          </cell>
          <cell r="V97">
            <v>9912.3322948719269</v>
          </cell>
          <cell r="W97">
            <v>9919.3435382851221</v>
          </cell>
          <cell r="X97">
            <v>9926.3597409281683</v>
          </cell>
          <cell r="Z97" t="str">
            <v>Pivot and Linear_Pressure Reduction_Medium to Low - Montana</v>
          </cell>
          <cell r="AA97">
            <v>8437.4057797889436</v>
          </cell>
        </row>
        <row r="98">
          <cell r="A98">
            <v>0</v>
          </cell>
          <cell r="B98" t="str">
            <v>Pivot and Linear</v>
          </cell>
          <cell r="C98" t="str">
            <v>Pivot and Linear_Pressure Reduction_Medium2 to Low</v>
          </cell>
          <cell r="D98" t="str">
            <v>Montana</v>
          </cell>
          <cell r="E98">
            <v>10.952948747171426</v>
          </cell>
          <cell r="F98">
            <v>27.916359573588238</v>
          </cell>
          <cell r="G98">
            <v>61.600513213274141</v>
          </cell>
          <cell r="H98">
            <v>120.01951863838694</v>
          </cell>
          <cell r="I98">
            <v>209.78939434399365</v>
          </cell>
          <cell r="J98">
            <v>334.15313758309804</v>
          </cell>
          <cell r="K98">
            <v>490.48955351204404</v>
          </cell>
          <cell r="L98">
            <v>670.5750355641959</v>
          </cell>
          <cell r="M98">
            <v>862.75267100265398</v>
          </cell>
          <cell r="N98">
            <v>1053.0672212238683</v>
          </cell>
          <cell r="O98">
            <v>1228.9168867399319</v>
          </cell>
          <cell r="P98">
            <v>1381.2567226129131</v>
          </cell>
          <cell r="Q98">
            <v>1506.2293973537085</v>
          </cell>
          <cell r="R98">
            <v>1603.0861662343546</v>
          </cell>
          <cell r="S98">
            <v>1674.5047922202702</v>
          </cell>
          <cell r="T98">
            <v>1724.5331917511417</v>
          </cell>
          <cell r="U98">
            <v>1757.9090490068572</v>
          </cell>
          <cell r="V98">
            <v>1779.1632539075581</v>
          </cell>
          <cell r="W98">
            <v>1792.1097469304186</v>
          </cell>
          <cell r="X98">
            <v>1800.8818066433594</v>
          </cell>
          <cell r="Z98" t="str">
            <v>Pivot and Linear_Pressure Reduction_Medium2 to Low - Montana</v>
          </cell>
          <cell r="AA98">
            <v>1800.8818066433594</v>
          </cell>
        </row>
        <row r="99">
          <cell r="A99">
            <v>4.5000000000000005E-2</v>
          </cell>
          <cell r="B99" t="str">
            <v>Wheel-Line (Alfalfa)</v>
          </cell>
          <cell r="C99" t="str">
            <v>Wheel-Line_Conversion to Low Pressure System (Alfalfa)</v>
          </cell>
          <cell r="D99" t="str">
            <v>Montana</v>
          </cell>
          <cell r="E99">
            <v>4013.5980809307598</v>
          </cell>
          <cell r="F99">
            <v>3954.4774833276083</v>
          </cell>
          <cell r="G99">
            <v>3926.1923346704143</v>
          </cell>
          <cell r="H99">
            <v>3891.0072628999455</v>
          </cell>
          <cell r="I99">
            <v>3843.7309452940158</v>
          </cell>
          <cell r="J99">
            <v>3803.541035209827</v>
          </cell>
          <cell r="K99">
            <v>3756.8090504718534</v>
          </cell>
          <cell r="L99">
            <v>3709.290807146831</v>
          </cell>
          <cell r="M99">
            <v>3675.6177711206874</v>
          </cell>
          <cell r="N99">
            <v>3639.984128746069</v>
          </cell>
          <cell r="O99">
            <v>3603.5642277843999</v>
          </cell>
          <cell r="P99">
            <v>3567.7642614779047</v>
          </cell>
          <cell r="Q99">
            <v>3554.0097763236849</v>
          </cell>
          <cell r="R99">
            <v>3541.4245988117445</v>
          </cell>
          <cell r="S99">
            <v>3543.9295380281783</v>
          </cell>
          <cell r="T99">
            <v>3546.4362490514941</v>
          </cell>
          <cell r="U99">
            <v>3548.944733134937</v>
          </cell>
          <cell r="V99">
            <v>3551.4549915326365</v>
          </cell>
          <cell r="W99">
            <v>3553.9670254996095</v>
          </cell>
          <cell r="X99">
            <v>3556.4808362917615</v>
          </cell>
          <cell r="Z99" t="str">
            <v>Wheel-Line_Conversion to Low Pressure System (Alfalfa) - Montana</v>
          </cell>
          <cell r="AA99">
            <v>3023.008710847997</v>
          </cell>
        </row>
        <row r="100">
          <cell r="A100">
            <v>4.5000000000000005E-2</v>
          </cell>
          <cell r="B100" t="str">
            <v>Hand-Line (Alfalfa)</v>
          </cell>
          <cell r="C100" t="str">
            <v>Hand-Line_Conversion to Low Pressure System (Alfalfa)</v>
          </cell>
          <cell r="D100" t="str">
            <v>Montana</v>
          </cell>
          <cell r="E100">
            <v>614.95791906924114</v>
          </cell>
          <cell r="F100">
            <v>605.89954328196427</v>
          </cell>
          <cell r="G100">
            <v>601.56573212099261</v>
          </cell>
          <cell r="H100">
            <v>596.17472433148021</v>
          </cell>
          <cell r="I100">
            <v>588.93111266185906</v>
          </cell>
          <cell r="J100">
            <v>582.77327050263102</v>
          </cell>
          <cell r="K100">
            <v>575.61306075841685</v>
          </cell>
          <cell r="L100">
            <v>568.33238156639243</v>
          </cell>
          <cell r="M100">
            <v>563.17304579189999</v>
          </cell>
          <cell r="N100">
            <v>557.71330863793173</v>
          </cell>
          <cell r="O100">
            <v>552.1331020361531</v>
          </cell>
          <cell r="P100">
            <v>546.64788096053269</v>
          </cell>
          <cell r="Q100">
            <v>544.54043786390184</v>
          </cell>
          <cell r="R100">
            <v>542.61215445888661</v>
          </cell>
          <cell r="S100">
            <v>542.99595776376964</v>
          </cell>
          <cell r="T100">
            <v>543.38003254244029</v>
          </cell>
          <cell r="U100">
            <v>543.76437898691904</v>
          </cell>
          <cell r="V100">
            <v>544.14899728936177</v>
          </cell>
          <cell r="W100">
            <v>544.53388764206068</v>
          </cell>
          <cell r="X100">
            <v>544.9190502374438</v>
          </cell>
          <cell r="Z100" t="str">
            <v>Hand-Line_Conversion to Low Pressure System (Alfalfa) - Montana</v>
          </cell>
          <cell r="AA100">
            <v>463.18119270182723</v>
          </cell>
        </row>
        <row r="101">
          <cell r="A101">
            <v>2.6872816451148585E-2</v>
          </cell>
          <cell r="B101" t="str">
            <v>Pivot and Linear</v>
          </cell>
          <cell r="C101" t="str">
            <v>Pivot and Linear_Pressure Reduction_High to Medium</v>
          </cell>
          <cell r="D101" t="str">
            <v>Oregon</v>
          </cell>
          <cell r="E101">
            <v>12947.000492365974</v>
          </cell>
          <cell r="F101">
            <v>13139.185581130767</v>
          </cell>
          <cell r="G101">
            <v>13280.999516101891</v>
          </cell>
          <cell r="H101">
            <v>13381.711081453161</v>
          </cell>
          <cell r="I101">
            <v>13563.021104209707</v>
          </cell>
          <cell r="J101">
            <v>13592.072517291805</v>
          </cell>
          <cell r="K101">
            <v>13612.677501014847</v>
          </cell>
          <cell r="L101">
            <v>13640.752848101858</v>
          </cell>
          <cell r="M101">
            <v>13698.594365259492</v>
          </cell>
          <cell r="N101">
            <v>13855.979242797897</v>
          </cell>
          <cell r="O101">
            <v>13918.816373316215</v>
          </cell>
          <cell r="P101">
            <v>13967.189281765606</v>
          </cell>
          <cell r="Q101">
            <v>14023.486001560941</v>
          </cell>
          <cell r="R101">
            <v>14076.916007843145</v>
          </cell>
          <cell r="S101">
            <v>14266.587918809568</v>
          </cell>
          <cell r="T101">
            <v>14458.815462969342</v>
          </cell>
          <cell r="U101">
            <v>14653.633074841449</v>
          </cell>
          <cell r="V101">
            <v>14851.075652914473</v>
          </cell>
          <cell r="W101">
            <v>15051.178565898095</v>
          </cell>
          <cell r="X101">
            <v>15253.977659058854</v>
          </cell>
          <cell r="Z101" t="str">
            <v>Pivot and Linear_Pressure Reduction_High to Medium - Oregon</v>
          </cell>
          <cell r="AA101">
            <v>12965.881010200024</v>
          </cell>
        </row>
        <row r="102">
          <cell r="A102">
            <v>5.9510790824559873E-2</v>
          </cell>
          <cell r="B102" t="str">
            <v>Pivot and Linear</v>
          </cell>
          <cell r="C102" t="str">
            <v>Pivot and Linear_Pressure Reduction_Medium to Low</v>
          </cell>
          <cell r="D102" t="str">
            <v>Oregon</v>
          </cell>
          <cell r="E102">
            <v>28671.584889783051</v>
          </cell>
          <cell r="F102">
            <v>29097.185482779034</v>
          </cell>
          <cell r="G102">
            <v>29411.237395998334</v>
          </cell>
          <cell r="H102">
            <v>29634.26667579596</v>
          </cell>
          <cell r="I102">
            <v>30035.784055199631</v>
          </cell>
          <cell r="J102">
            <v>30100.11942437202</v>
          </cell>
          <cell r="K102">
            <v>30145.749880655399</v>
          </cell>
          <cell r="L102">
            <v>30207.923717583111</v>
          </cell>
          <cell r="M102">
            <v>30336.015778004123</v>
          </cell>
          <cell r="N102">
            <v>30684.550087504707</v>
          </cell>
          <cell r="O102">
            <v>30823.705108233142</v>
          </cell>
          <cell r="P102">
            <v>30930.828603886846</v>
          </cell>
          <cell r="Q102">
            <v>31055.499656582026</v>
          </cell>
          <cell r="R102">
            <v>31173.822272054633</v>
          </cell>
          <cell r="S102">
            <v>31593.857345019038</v>
          </cell>
          <cell r="T102">
            <v>32019.551956970376</v>
          </cell>
          <cell r="U102">
            <v>32450.982364353884</v>
          </cell>
          <cell r="V102">
            <v>32888.225851091694</v>
          </cell>
          <cell r="W102">
            <v>33331.360742427009</v>
          </cell>
          <cell r="X102">
            <v>33780.466418954798</v>
          </cell>
          <cell r="Z102" t="str">
            <v>Pivot and Linear_Pressure Reduction_Medium to Low - Oregon</v>
          </cell>
          <cell r="AA102">
            <v>28713.396456111579</v>
          </cell>
        </row>
        <row r="103">
          <cell r="A103">
            <v>0</v>
          </cell>
          <cell r="B103" t="str">
            <v>Pivot and Linear</v>
          </cell>
          <cell r="C103" t="str">
            <v>Pivot and Linear_Pressure Reduction_Medium2 to Low</v>
          </cell>
          <cell r="D103" t="str">
            <v>Oregon</v>
          </cell>
          <cell r="E103">
            <v>18.263979790779207</v>
          </cell>
          <cell r="F103">
            <v>47.399420934537972</v>
          </cell>
          <cell r="G103">
            <v>106.2992328509436</v>
          </cell>
          <cell r="H103">
            <v>210.15553248471318</v>
          </cell>
          <cell r="I103">
            <v>373.8986895302146</v>
          </cell>
          <cell r="J103">
            <v>603.63013260190269</v>
          </cell>
          <cell r="K103">
            <v>896.45884911085625</v>
          </cell>
          <cell r="L103">
            <v>1238.7969507198663</v>
          </cell>
          <cell r="M103">
            <v>1609.0320485978755</v>
          </cell>
          <cell r="N103">
            <v>1983.520824188083</v>
          </cell>
          <cell r="O103">
            <v>2334.6287742390546</v>
          </cell>
          <cell r="P103">
            <v>2642.9159289811823</v>
          </cell>
          <cell r="Q103">
            <v>2897.8227814742313</v>
          </cell>
          <cell r="R103">
            <v>3096.8390481363967</v>
          </cell>
          <cell r="S103">
            <v>3245.4584836957024</v>
          </cell>
          <cell r="T103">
            <v>3350.8938340145173</v>
          </cell>
          <cell r="U103">
            <v>3422.1311558936263</v>
          </cell>
          <cell r="V103">
            <v>3468.0748103253868</v>
          </cell>
          <cell r="W103">
            <v>3496.4173219965669</v>
          </cell>
          <cell r="X103">
            <v>3515.8661435118665</v>
          </cell>
          <cell r="Z103" t="str">
            <v>Pivot and Linear_Pressure Reduction_Medium2 to Low - Oregon</v>
          </cell>
          <cell r="AA103">
            <v>3515.8661435118665</v>
          </cell>
        </row>
        <row r="104">
          <cell r="A104">
            <v>4.5000000000000005E-2</v>
          </cell>
          <cell r="B104" t="str">
            <v>Wheel-Line (Alfalfa)</v>
          </cell>
          <cell r="C104" t="str">
            <v>Wheel-Line_Conversion to Low Pressure System (Alfalfa)</v>
          </cell>
          <cell r="D104" t="str">
            <v>Oregon</v>
          </cell>
          <cell r="E104">
            <v>8583.211455007704</v>
          </cell>
          <cell r="F104">
            <v>8710.6205221766031</v>
          </cell>
          <cell r="G104">
            <v>8804.6360427476866</v>
          </cell>
          <cell r="H104">
            <v>8871.4027553839042</v>
          </cell>
          <cell r="I104">
            <v>8991.6021996605377</v>
          </cell>
          <cell r="J104">
            <v>9010.8618283056003</v>
          </cell>
          <cell r="K104">
            <v>9024.5218982520055</v>
          </cell>
          <cell r="L104">
            <v>9043.1344441357141</v>
          </cell>
          <cell r="M104">
            <v>9081.4804666708314</v>
          </cell>
          <cell r="N104">
            <v>9185.8187405844801</v>
          </cell>
          <cell r="O104">
            <v>9227.4766040241739</v>
          </cell>
          <cell r="P104">
            <v>9259.5454142601575</v>
          </cell>
          <cell r="Q104">
            <v>9296.8673136847829</v>
          </cell>
          <cell r="R104">
            <v>9332.2887259441686</v>
          </cell>
          <cell r="S104">
            <v>9458.0316823810754</v>
          </cell>
          <cell r="T104">
            <v>9585.4688953458099</v>
          </cell>
          <cell r="U104">
            <v>9714.6231931960247</v>
          </cell>
          <cell r="V104">
            <v>9845.5177118779284</v>
          </cell>
          <cell r="W104">
            <v>9978.1758990707203</v>
          </cell>
          <cell r="X104">
            <v>10112.621518386866</v>
          </cell>
          <cell r="Z104" t="str">
            <v>Wheel-Line_Conversion to Low Pressure System (Alfalfa) - Oregon</v>
          </cell>
          <cell r="AA104">
            <v>8595.7282906288365</v>
          </cell>
        </row>
        <row r="105">
          <cell r="A105">
            <v>4.5000000000000005E-2</v>
          </cell>
          <cell r="B105" t="str">
            <v>Hand-Line (Alfalfa)</v>
          </cell>
          <cell r="C105" t="str">
            <v>Hand-Line_Conversion to Low Pressure System (Alfalfa)</v>
          </cell>
          <cell r="D105" t="str">
            <v>Oregon</v>
          </cell>
          <cell r="E105">
            <v>2709.0435449922975</v>
          </cell>
          <cell r="F105">
            <v>2749.2565483415306</v>
          </cell>
          <cell r="G105">
            <v>2778.9298402634704</v>
          </cell>
          <cell r="H105">
            <v>2800.0028305813285</v>
          </cell>
          <cell r="I105">
            <v>2837.9403240633628</v>
          </cell>
          <cell r="J105">
            <v>2844.0190712704371</v>
          </cell>
          <cell r="K105">
            <v>2848.3304790117509</v>
          </cell>
          <cell r="L105">
            <v>2854.204993177741</v>
          </cell>
          <cell r="M105">
            <v>2866.3078110297097</v>
          </cell>
          <cell r="N105">
            <v>2899.2391828039067</v>
          </cell>
          <cell r="O105">
            <v>2912.3872878740235</v>
          </cell>
          <cell r="P105">
            <v>2922.5088844140564</v>
          </cell>
          <cell r="Q105">
            <v>2934.2884672954901</v>
          </cell>
          <cell r="R105">
            <v>2945.4682161271253</v>
          </cell>
          <cell r="S105">
            <v>2985.1553595989212</v>
          </cell>
          <cell r="T105">
            <v>3025.3772463581599</v>
          </cell>
          <cell r="U105">
            <v>3066.1410815186009</v>
          </cell>
          <cell r="V105">
            <v>3107.4541672754713</v>
          </cell>
          <cell r="W105">
            <v>3149.3239042135419</v>
          </cell>
          <cell r="X105">
            <v>3191.757792632824</v>
          </cell>
          <cell r="Z105" t="str">
            <v>Hand-Line_Conversion to Low Pressure System (Alfalfa) - Oregon</v>
          </cell>
          <cell r="AA105">
            <v>2712.9941237379003</v>
          </cell>
        </row>
        <row r="106">
          <cell r="A106">
            <v>4.3372555379540656E-2</v>
          </cell>
          <cell r="B106" t="str">
            <v>Pivot and Linear</v>
          </cell>
          <cell r="C106" t="str">
            <v>Pivot and Linear_Pressure Reduction_High to Medium</v>
          </cell>
          <cell r="D106" t="str">
            <v>Washington</v>
          </cell>
          <cell r="E106">
            <v>45595.181979965215</v>
          </cell>
          <cell r="F106">
            <v>46068.655048184046</v>
          </cell>
          <cell r="G106">
            <v>46451.603467722671</v>
          </cell>
          <cell r="H106">
            <v>46894.356466632889</v>
          </cell>
          <cell r="I106">
            <v>47671.062218985375</v>
          </cell>
          <cell r="J106">
            <v>47970.611339252864</v>
          </cell>
          <cell r="K106">
            <v>48110.344987844073</v>
          </cell>
          <cell r="L106">
            <v>48326.608586874907</v>
          </cell>
          <cell r="M106">
            <v>48311.66099759558</v>
          </cell>
          <cell r="N106">
            <v>48890.734304062724</v>
          </cell>
          <cell r="O106">
            <v>49081.22717828468</v>
          </cell>
          <cell r="P106">
            <v>49244.370657469386</v>
          </cell>
          <cell r="Q106">
            <v>49491.439659334683</v>
          </cell>
          <cell r="R106">
            <v>49676.200965069882</v>
          </cell>
          <cell r="S106">
            <v>50147.042916241458</v>
          </cell>
          <cell r="T106">
            <v>50622.347610913457</v>
          </cell>
          <cell r="U106">
            <v>51102.157347949658</v>
          </cell>
          <cell r="V106">
            <v>51586.514827131774</v>
          </cell>
          <cell r="W106">
            <v>52075.463152959412</v>
          </cell>
          <cell r="X106">
            <v>52569.045838486105</v>
          </cell>
          <cell r="Z106" t="str">
            <v>Pivot and Linear_Pressure Reduction_High to Medium - Washington</v>
          </cell>
          <cell r="AA106">
            <v>44683.68896271319</v>
          </cell>
        </row>
        <row r="107">
          <cell r="A107">
            <v>8.0767103293088019E-2</v>
          </cell>
          <cell r="B107" t="str">
            <v>Pivot and Linear</v>
          </cell>
          <cell r="C107" t="str">
            <v>Pivot and Linear_Pressure Reduction_Medium to Low</v>
          </cell>
          <cell r="D107" t="str">
            <v>Washington</v>
          </cell>
          <cell r="E107">
            <v>84906.013501342313</v>
          </cell>
          <cell r="F107">
            <v>85787.701192387714</v>
          </cell>
          <cell r="G107">
            <v>86500.816531941586</v>
          </cell>
          <cell r="H107">
            <v>87325.298208969427</v>
          </cell>
          <cell r="I107">
            <v>88771.656930046302</v>
          </cell>
          <cell r="J107">
            <v>89329.46853524886</v>
          </cell>
          <cell r="K107">
            <v>89589.676446231431</v>
          </cell>
          <cell r="L107">
            <v>89992.396191208623</v>
          </cell>
          <cell r="M107">
            <v>89964.561227906568</v>
          </cell>
          <cell r="N107">
            <v>91042.894592137265</v>
          </cell>
          <cell r="O107">
            <v>91397.624847577536</v>
          </cell>
          <cell r="P107">
            <v>91701.42585998273</v>
          </cell>
          <cell r="Q107">
            <v>92161.510524571975</v>
          </cell>
          <cell r="R107">
            <v>92505.567620915448</v>
          </cell>
          <cell r="S107">
            <v>93382.355722797307</v>
          </cell>
          <cell r="T107">
            <v>94267.454215019694</v>
          </cell>
          <cell r="U107">
            <v>95160.941865288798</v>
          </cell>
          <cell r="V107">
            <v>96062.898187888481</v>
          </cell>
          <cell r="W107">
            <v>96973.403450756421</v>
          </cell>
          <cell r="X107">
            <v>97892.538682627477</v>
          </cell>
          <cell r="Z107" t="str">
            <v>Pivot and Linear_Pressure Reduction_Medium to Low - Washington</v>
          </cell>
          <cell r="AA107">
            <v>83208.657880233353</v>
          </cell>
        </row>
        <row r="108">
          <cell r="A108">
            <v>0</v>
          </cell>
          <cell r="B108" t="str">
            <v>Pivot and Linear</v>
          </cell>
          <cell r="C108" t="str">
            <v>Pivot and Linear_Pressure Reduction_Medium2 to Low</v>
          </cell>
          <cell r="D108" t="str">
            <v>Washington</v>
          </cell>
          <cell r="E108">
            <v>64.31987723565814</v>
          </cell>
          <cell r="F108">
            <v>166.47465535646299</v>
          </cell>
          <cell r="G108">
            <v>372.48254686697794</v>
          </cell>
          <cell r="H108">
            <v>736.43259082522377</v>
          </cell>
          <cell r="I108">
            <v>1311.9540891311146</v>
          </cell>
          <cell r="J108">
            <v>2122.7471270565352</v>
          </cell>
          <cell r="K108">
            <v>3157.6714152829372</v>
          </cell>
          <cell r="L108">
            <v>4370.510591027888</v>
          </cell>
          <cell r="M108">
            <v>5676.2410960098987</v>
          </cell>
          <cell r="N108">
            <v>6997.6223500090573</v>
          </cell>
          <cell r="O108">
            <v>8235.7167826355726</v>
          </cell>
          <cell r="P108">
            <v>9322.6503532199931</v>
          </cell>
          <cell r="Q108">
            <v>10222.263124788091</v>
          </cell>
          <cell r="R108">
            <v>10924.574060828298</v>
          </cell>
          <cell r="S108">
            <v>11446.971234952463</v>
          </cell>
          <cell r="T108">
            <v>11816.115233503875</v>
          </cell>
          <cell r="U108">
            <v>12064.543784506894</v>
          </cell>
          <cell r="V108">
            <v>12224.133100859985</v>
          </cell>
          <cell r="W108">
            <v>12322.195150667761</v>
          </cell>
          <cell r="X108">
            <v>12389.220684111831</v>
          </cell>
          <cell r="Z108" t="str">
            <v>Pivot and Linear_Pressure Reduction_Medium2 to Low - Washington</v>
          </cell>
          <cell r="AA108">
            <v>12389.220684111831</v>
          </cell>
        </row>
        <row r="109">
          <cell r="A109">
            <v>4.5000000000000005E-2</v>
          </cell>
          <cell r="B109" t="str">
            <v>Wheel-Line (Alfalfa)</v>
          </cell>
          <cell r="C109" t="str">
            <v>Wheel-Line_Conversion to Low Pressure System (Alfalfa)</v>
          </cell>
          <cell r="D109" t="str">
            <v>Washington</v>
          </cell>
          <cell r="E109">
            <v>9437.1725603830564</v>
          </cell>
          <cell r="F109">
            <v>9535.1707885607266</v>
          </cell>
          <cell r="G109">
            <v>9614.4324596403603</v>
          </cell>
          <cell r="H109">
            <v>9706.0723275145319</v>
          </cell>
          <cell r="I109">
            <v>9866.8328705213207</v>
          </cell>
          <cell r="J109">
            <v>9928.8327708510842</v>
          </cell>
          <cell r="K109">
            <v>9957.7544791760265</v>
          </cell>
          <cell r="L109">
            <v>10002.516158238524</v>
          </cell>
          <cell r="M109">
            <v>9999.4223449612218</v>
          </cell>
          <cell r="N109">
            <v>10119.27743668217</v>
          </cell>
          <cell r="O109">
            <v>10158.705157934515</v>
          </cell>
          <cell r="P109">
            <v>10192.472172305548</v>
          </cell>
          <cell r="Q109">
            <v>10243.6098737835</v>
          </cell>
          <cell r="R109">
            <v>10281.851289849588</v>
          </cell>
          <cell r="S109">
            <v>10379.304936242006</v>
          </cell>
          <cell r="T109">
            <v>10477.682269714453</v>
          </cell>
          <cell r="U109">
            <v>10576.992045176086</v>
          </cell>
          <cell r="V109">
            <v>10677.243100517026</v>
          </cell>
          <cell r="W109">
            <v>10778.444357394854</v>
          </cell>
          <cell r="X109">
            <v>10880.604822028583</v>
          </cell>
          <cell r="Z109" t="str">
            <v>Wheel-Line_Conversion to Low Pressure System (Alfalfa) - Washington</v>
          </cell>
          <cell r="AA109">
            <v>9248.5140987242958</v>
          </cell>
        </row>
        <row r="110">
          <cell r="A110">
            <v>4.5000000000000005E-2</v>
          </cell>
          <cell r="B110" t="str">
            <v>Hand-Line (Alfalfa)</v>
          </cell>
          <cell r="C110" t="str">
            <v>Hand-Line_Conversion to Low Pressure System (Alfalfa)</v>
          </cell>
          <cell r="D110" t="str">
            <v>Washington</v>
          </cell>
          <cell r="E110">
            <v>2864.8824396169448</v>
          </cell>
          <cell r="F110">
            <v>2894.6321767573231</v>
          </cell>
          <cell r="G110">
            <v>2918.6939779120448</v>
          </cell>
          <cell r="H110">
            <v>2946.5134806880837</v>
          </cell>
          <cell r="I110">
            <v>2995.3162395331274</v>
          </cell>
          <cell r="J110">
            <v>3014.1378118394764</v>
          </cell>
          <cell r="K110">
            <v>3022.917697316158</v>
          </cell>
          <cell r="L110">
            <v>3036.5061897902979</v>
          </cell>
          <cell r="M110">
            <v>3035.5669877917235</v>
          </cell>
          <cell r="N110">
            <v>3071.9519055595183</v>
          </cell>
          <cell r="O110">
            <v>3083.9211458724631</v>
          </cell>
          <cell r="P110">
            <v>3094.1719414249328</v>
          </cell>
          <cell r="Q110">
            <v>3109.696030025535</v>
          </cell>
          <cell r="R110">
            <v>3121.305138649207</v>
          </cell>
          <cell r="S110">
            <v>3150.8895547907882</v>
          </cell>
          <cell r="T110">
            <v>3180.7543785309731</v>
          </cell>
          <cell r="U110">
            <v>3210.9022676346126</v>
          </cell>
          <cell r="V110">
            <v>3241.3359050574368</v>
          </cell>
          <cell r="W110">
            <v>3272.0579991848208</v>
          </cell>
          <cell r="X110">
            <v>3303.0712840728097</v>
          </cell>
          <cell r="Z110" t="str">
            <v>Hand-Line_Conversion to Low Pressure System (Alfalfa) - Washington</v>
          </cell>
          <cell r="AA110">
            <v>2807.6105914618884</v>
          </cell>
        </row>
        <row r="111">
          <cell r="A111">
            <v>0.47499999999999998</v>
          </cell>
          <cell r="B111" t="str">
            <v>Pivot and Linear</v>
          </cell>
          <cell r="C111" t="str">
            <v>Variable Rate Irrigation</v>
          </cell>
          <cell r="D111" t="str">
            <v>Idaho</v>
          </cell>
          <cell r="E111">
            <v>951898.57499999995</v>
          </cell>
          <cell r="F111">
            <v>945154.94998792931</v>
          </cell>
          <cell r="G111">
            <v>935819.11186862644</v>
          </cell>
          <cell r="H111">
            <v>925252.12014372449</v>
          </cell>
          <cell r="I111">
            <v>914661.1811198059</v>
          </cell>
          <cell r="J111">
            <v>898578.4375365125</v>
          </cell>
          <cell r="K111">
            <v>882825.05132599338</v>
          </cell>
          <cell r="L111">
            <v>874346.39529340249</v>
          </cell>
          <cell r="M111">
            <v>863990.0085817686</v>
          </cell>
          <cell r="N111">
            <v>852341.12381362997</v>
          </cell>
          <cell r="O111">
            <v>840356.64881406946</v>
          </cell>
          <cell r="P111">
            <v>825884.93516871822</v>
          </cell>
          <cell r="Q111">
            <v>814133.37225548213</v>
          </cell>
          <cell r="R111">
            <v>805450.67211346328</v>
          </cell>
          <cell r="S111">
            <v>801148.68746549473</v>
          </cell>
          <cell r="T111">
            <v>796869.68010533787</v>
          </cell>
          <cell r="U111">
            <v>792613.52730922739</v>
          </cell>
          <cell r="V111">
            <v>788380.1070088764</v>
          </cell>
          <cell r="W111">
            <v>784169.29778797564</v>
          </cell>
          <cell r="X111">
            <v>779980.9788787117</v>
          </cell>
          <cell r="Z111" t="str">
            <v>Variable Rate Irrigation - Idaho</v>
          </cell>
          <cell r="AA111">
            <v>662983.83204690495</v>
          </cell>
        </row>
        <row r="112">
          <cell r="A112">
            <v>0.47499999999999998</v>
          </cell>
          <cell r="B112" t="str">
            <v>Pivot and Linear</v>
          </cell>
          <cell r="C112" t="str">
            <v>Variable Rate Irrigation</v>
          </cell>
          <cell r="D112" t="str">
            <v>Montana</v>
          </cell>
          <cell r="E112">
            <v>67621.665000000008</v>
          </cell>
          <cell r="F112">
            <v>66625.592855976793</v>
          </cell>
          <cell r="G112">
            <v>66149.040692953946</v>
          </cell>
          <cell r="H112">
            <v>65556.237654810204</v>
          </cell>
          <cell r="I112">
            <v>64759.719606136925</v>
          </cell>
          <cell r="J112">
            <v>64082.594348128318</v>
          </cell>
          <cell r="K112">
            <v>63295.247296177491</v>
          </cell>
          <cell r="L112">
            <v>62494.653248960887</v>
          </cell>
          <cell r="M112">
            <v>61927.325201712883</v>
          </cell>
          <cell r="N112">
            <v>61326.964582936751</v>
          </cell>
          <cell r="O112">
            <v>60713.356968894834</v>
          </cell>
          <cell r="P112">
            <v>60110.194101120156</v>
          </cell>
          <cell r="Q112">
            <v>59878.456600605292</v>
          </cell>
          <cell r="R112">
            <v>59666.419759716482</v>
          </cell>
          <cell r="S112">
            <v>59708.623327967085</v>
          </cell>
          <cell r="T112">
            <v>59750.856747869257</v>
          </cell>
          <cell r="U112">
            <v>59793.120040537826</v>
          </cell>
          <cell r="V112">
            <v>59835.413227102559</v>
          </cell>
          <cell r="W112">
            <v>59877.736328708161</v>
          </cell>
          <cell r="X112">
            <v>59920.089366514301</v>
          </cell>
          <cell r="Z112" t="str">
            <v>Variable Rate Irrigation - Montana</v>
          </cell>
          <cell r="AA112">
            <v>50932.075961537157</v>
          </cell>
        </row>
        <row r="113">
          <cell r="A113">
            <v>0.47499999999999998</v>
          </cell>
          <cell r="B113" t="str">
            <v>Pivot and Linear</v>
          </cell>
          <cell r="C113" t="str">
            <v>Variable Rate Irrigation</v>
          </cell>
          <cell r="D113" t="str">
            <v>Oregon</v>
          </cell>
          <cell r="E113">
            <v>228849.3</v>
          </cell>
          <cell r="F113">
            <v>232246.33571187733</v>
          </cell>
          <cell r="G113">
            <v>234753.01822629626</v>
          </cell>
          <cell r="H113">
            <v>236533.18122591398</v>
          </cell>
          <cell r="I113">
            <v>239737.99085075993</v>
          </cell>
          <cell r="J113">
            <v>240251.49940834197</v>
          </cell>
          <cell r="K113">
            <v>240615.71010751589</v>
          </cell>
          <cell r="L113">
            <v>241111.96586435378</v>
          </cell>
          <cell r="M113">
            <v>242134.36411947609</v>
          </cell>
          <cell r="N113">
            <v>244916.27635285302</v>
          </cell>
          <cell r="O113">
            <v>246026.97634406752</v>
          </cell>
          <cell r="P113">
            <v>246882.00884708899</v>
          </cell>
          <cell r="Q113">
            <v>247877.10148843512</v>
          </cell>
          <cell r="R113">
            <v>248821.52251814681</v>
          </cell>
          <cell r="S113">
            <v>252174.13566432861</v>
          </cell>
          <cell r="T113">
            <v>255571.92181160048</v>
          </cell>
          <cell r="U113">
            <v>259015.48961951799</v>
          </cell>
          <cell r="V113">
            <v>262505.45594869583</v>
          </cell>
          <cell r="W113">
            <v>266042.44597130874</v>
          </cell>
          <cell r="X113">
            <v>269627.09328308108</v>
          </cell>
          <cell r="Z113" t="str">
            <v>Variable Rate Irrigation - Oregon</v>
          </cell>
          <cell r="AA113">
            <v>229183.0292906189</v>
          </cell>
        </row>
        <row r="114">
          <cell r="A114">
            <v>0.47499999999999998</v>
          </cell>
          <cell r="B114" t="str">
            <v>Pivot and Linear</v>
          </cell>
          <cell r="C114" t="str">
            <v>Variable Rate Irrigation</v>
          </cell>
          <cell r="D114" t="str">
            <v>Washington</v>
          </cell>
          <cell r="E114">
            <v>499341.375</v>
          </cell>
          <cell r="F114">
            <v>504526.67490764696</v>
          </cell>
          <cell r="G114">
            <v>508720.58272998035</v>
          </cell>
          <cell r="H114">
            <v>513569.44793153496</v>
          </cell>
          <cell r="I114">
            <v>522075.63875056751</v>
          </cell>
          <cell r="J114">
            <v>525356.18864858383</v>
          </cell>
          <cell r="K114">
            <v>526886.49929087842</v>
          </cell>
          <cell r="L114">
            <v>529254.93731904461</v>
          </cell>
          <cell r="M114">
            <v>529091.23691344133</v>
          </cell>
          <cell r="N114">
            <v>535433.03112328041</v>
          </cell>
          <cell r="O114">
            <v>537519.23781466915</v>
          </cell>
          <cell r="P114">
            <v>539305.92416355072</v>
          </cell>
          <cell r="Q114">
            <v>542011.73143865936</v>
          </cell>
          <cell r="R114">
            <v>544035.16813627258</v>
          </cell>
          <cell r="S114">
            <v>549191.65303437004</v>
          </cell>
          <cell r="T114">
            <v>554397.01222968497</v>
          </cell>
          <cell r="U114">
            <v>559651.70896354876</v>
          </cell>
          <cell r="V114">
            <v>564956.21086799575</v>
          </cell>
          <cell r="W114">
            <v>570310.99000737933</v>
          </cell>
          <cell r="X114">
            <v>575716.52292038291</v>
          </cell>
          <cell r="Z114" t="str">
            <v>Variable Rate Irrigation - Washington</v>
          </cell>
          <cell r="AA114">
            <v>489359.04448232544</v>
          </cell>
        </row>
        <row r="116">
          <cell r="E116">
            <v>10467617.15068303</v>
          </cell>
          <cell r="F116">
            <v>10482409.527638718</v>
          </cell>
          <cell r="G116">
            <v>10474406.784745628</v>
          </cell>
          <cell r="H116">
            <v>10457835.409367541</v>
          </cell>
          <cell r="I116">
            <v>10472567.680713093</v>
          </cell>
          <cell r="J116">
            <v>10408783.493192466</v>
          </cell>
          <cell r="K116">
            <v>10337314.806067981</v>
          </cell>
          <cell r="L116">
            <v>10314587.268985936</v>
          </cell>
          <cell r="M116">
            <v>10272577.580382423</v>
          </cell>
          <cell r="N116">
            <v>10270184.311723884</v>
          </cell>
          <cell r="O116">
            <v>10227391.609751441</v>
          </cell>
          <cell r="P116">
            <v>10163683.613909785</v>
          </cell>
          <cell r="Q116">
            <v>10121667.219913254</v>
          </cell>
          <cell r="R116">
            <v>10091643.767754793</v>
          </cell>
          <cell r="S116">
            <v>10123327.062046258</v>
          </cell>
          <cell r="T116">
            <v>10154903.200466434</v>
          </cell>
          <cell r="U116">
            <v>10186690.531593066</v>
          </cell>
          <cell r="V116">
            <v>10218891.338405637</v>
          </cell>
          <cell r="W116">
            <v>10251643.750908876</v>
          </cell>
          <cell r="X116">
            <v>10285069.010198597</v>
          </cell>
          <cell r="AA116">
            <v>8910048.0984929111</v>
          </cell>
        </row>
        <row r="119">
          <cell r="A119" t="str">
            <v># UNITS ACHIEVABLE BY YEAR FOR MEASURE - Irrigation Hardware - Retro</v>
          </cell>
          <cell r="E119" t="str">
            <v>Achievability added to each row individually; different ramp rates assigned in "Overlap&amp;RampRate" sheet.</v>
          </cell>
        </row>
        <row r="120">
          <cell r="C120" t="str">
            <v>Irrigation Hardware - Retro</v>
          </cell>
          <cell r="E120">
            <v>2022</v>
          </cell>
          <cell r="F120">
            <v>2023</v>
          </cell>
          <cell r="G120">
            <v>2024</v>
          </cell>
          <cell r="H120">
            <v>2025</v>
          </cell>
          <cell r="I120">
            <v>2026</v>
          </cell>
          <cell r="J120">
            <v>2027</v>
          </cell>
          <cell r="K120">
            <v>2028</v>
          </cell>
          <cell r="L120">
            <v>2029</v>
          </cell>
          <cell r="M120">
            <v>2030</v>
          </cell>
          <cell r="N120">
            <v>2031</v>
          </cell>
          <cell r="O120">
            <v>2032</v>
          </cell>
          <cell r="P120">
            <v>2033</v>
          </cell>
          <cell r="Q120">
            <v>2034</v>
          </cell>
          <cell r="R120">
            <v>2035</v>
          </cell>
          <cell r="S120">
            <v>2036</v>
          </cell>
          <cell r="T120">
            <v>2037</v>
          </cell>
          <cell r="U120">
            <v>2038</v>
          </cell>
          <cell r="V120">
            <v>2039</v>
          </cell>
          <cell r="W120">
            <v>2040</v>
          </cell>
          <cell r="X120">
            <v>2041</v>
          </cell>
        </row>
        <row r="121">
          <cell r="B121" t="str">
            <v>Wheel and Hand_Rebuilt or new impact sprinkler - Idaho</v>
          </cell>
          <cell r="C121" t="str">
            <v>Wheel and Hand_Rebuilt or new impact sprinkler</v>
          </cell>
          <cell r="D121" t="str">
            <v>Idaho</v>
          </cell>
          <cell r="E121">
            <v>6391.014000000001</v>
          </cell>
          <cell r="F121">
            <v>6345.7375356845732</v>
          </cell>
          <cell r="G121">
            <v>6283.0570425215301</v>
          </cell>
          <cell r="H121">
            <v>6212.1106267736841</v>
          </cell>
          <cell r="I121">
            <v>6141.0034296912527</v>
          </cell>
          <cell r="J121">
            <v>6033.0244473724297</v>
          </cell>
          <cell r="K121">
            <v>5927.2567590251338</v>
          </cell>
          <cell r="L121">
            <v>5870.3313566465522</v>
          </cell>
          <cell r="M121">
            <v>5800.7989356494236</v>
          </cell>
          <cell r="N121">
            <v>5722.5887275528739</v>
          </cell>
          <cell r="O121">
            <v>5642.1253782881258</v>
          </cell>
          <cell r="P121">
            <v>5544.9627950670811</v>
          </cell>
          <cell r="Q121">
            <v>5466.0632094674575</v>
          </cell>
          <cell r="R121">
            <v>5407.7678620188653</v>
          </cell>
          <cell r="S121">
            <v>5378.8844863788163</v>
          </cell>
          <cell r="T121">
            <v>5350.1553794517831</v>
          </cell>
          <cell r="U121">
            <v>5321.5797172746643</v>
          </cell>
          <cell r="V121">
            <v>5293.1566802852158</v>
          </cell>
          <cell r="W121">
            <v>5264.8854532985533</v>
          </cell>
          <cell r="X121">
            <v>5236.7652254837667</v>
          </cell>
          <cell r="AA121">
            <v>114633.26904793177</v>
          </cell>
        </row>
        <row r="122">
          <cell r="B122" t="str">
            <v>Wheel and Hand_Gaskets - Idaho</v>
          </cell>
          <cell r="C122" t="str">
            <v>Wheel and Hand_Gaskets</v>
          </cell>
          <cell r="D122" t="str">
            <v>Idaho</v>
          </cell>
          <cell r="E122">
            <v>6391.014000000001</v>
          </cell>
          <cell r="F122">
            <v>6345.7375356845732</v>
          </cell>
          <cell r="G122">
            <v>6283.0570425215301</v>
          </cell>
          <cell r="H122">
            <v>6212.1106267736841</v>
          </cell>
          <cell r="I122">
            <v>6141.0034296912527</v>
          </cell>
          <cell r="J122">
            <v>6033.0244473724297</v>
          </cell>
          <cell r="K122">
            <v>5927.2567590251338</v>
          </cell>
          <cell r="L122">
            <v>5870.3313566465522</v>
          </cell>
          <cell r="M122">
            <v>5800.7989356494236</v>
          </cell>
          <cell r="N122">
            <v>5722.5887275528739</v>
          </cell>
          <cell r="O122">
            <v>5642.1253782881258</v>
          </cell>
          <cell r="P122">
            <v>5544.9627950670811</v>
          </cell>
          <cell r="Q122">
            <v>5466.0632094674575</v>
          </cell>
          <cell r="R122">
            <v>5407.7678620188653</v>
          </cell>
          <cell r="S122">
            <v>5378.8844863788163</v>
          </cell>
          <cell r="T122">
            <v>5350.1553794517831</v>
          </cell>
          <cell r="U122">
            <v>5321.5797172746643</v>
          </cell>
          <cell r="V122">
            <v>5293.1566802852158</v>
          </cell>
          <cell r="W122">
            <v>5264.8854532985533</v>
          </cell>
          <cell r="X122">
            <v>5236.7652254837667</v>
          </cell>
          <cell r="AA122">
            <v>114633.26904793177</v>
          </cell>
        </row>
        <row r="123">
          <cell r="B123" t="str">
            <v>Wheel and Hand_Drains - Idaho</v>
          </cell>
          <cell r="C123" t="str">
            <v>Wheel and Hand_Drains</v>
          </cell>
          <cell r="D123" t="str">
            <v>Idaho</v>
          </cell>
          <cell r="E123">
            <v>6391.014000000001</v>
          </cell>
          <cell r="F123">
            <v>6345.7375356845732</v>
          </cell>
          <cell r="G123">
            <v>6283.0570425215301</v>
          </cell>
          <cell r="H123">
            <v>6212.1106267736841</v>
          </cell>
          <cell r="I123">
            <v>6141.0034296912527</v>
          </cell>
          <cell r="J123">
            <v>6033.0244473724297</v>
          </cell>
          <cell r="K123">
            <v>5927.2567590251338</v>
          </cell>
          <cell r="L123">
            <v>5870.3313566465522</v>
          </cell>
          <cell r="M123">
            <v>5800.7989356494236</v>
          </cell>
          <cell r="N123">
            <v>5722.5887275528739</v>
          </cell>
          <cell r="O123">
            <v>5642.1253782881258</v>
          </cell>
          <cell r="P123">
            <v>5544.9627950670811</v>
          </cell>
          <cell r="Q123">
            <v>5466.0632094674575</v>
          </cell>
          <cell r="R123">
            <v>5407.7678620188653</v>
          </cell>
          <cell r="S123">
            <v>5378.8844863788163</v>
          </cell>
          <cell r="T123">
            <v>5350.1553794517831</v>
          </cell>
          <cell r="U123">
            <v>5321.5797172746643</v>
          </cell>
          <cell r="V123">
            <v>5293.1566802852158</v>
          </cell>
          <cell r="W123">
            <v>5264.8854532985533</v>
          </cell>
          <cell r="X123">
            <v>5236.7652254837667</v>
          </cell>
          <cell r="AA123">
            <v>114633.26904793177</v>
          </cell>
        </row>
        <row r="124">
          <cell r="B124" t="str">
            <v>Wheel and Hand_Cut and press repair - Idaho</v>
          </cell>
          <cell r="C124" t="str">
            <v>Wheel and Hand_Cut and press repair</v>
          </cell>
          <cell r="D124" t="str">
            <v>Idaho</v>
          </cell>
          <cell r="E124">
            <v>6391.014000000001</v>
          </cell>
          <cell r="F124">
            <v>6345.7375356845732</v>
          </cell>
          <cell r="G124">
            <v>6283.0570425215301</v>
          </cell>
          <cell r="H124">
            <v>6212.1106267736841</v>
          </cell>
          <cell r="I124">
            <v>6141.0034296912527</v>
          </cell>
          <cell r="J124">
            <v>6033.0244473724297</v>
          </cell>
          <cell r="K124">
            <v>5927.2567590251338</v>
          </cell>
          <cell r="L124">
            <v>5870.3313566465522</v>
          </cell>
          <cell r="M124">
            <v>5800.7989356494236</v>
          </cell>
          <cell r="N124">
            <v>5722.5887275528739</v>
          </cell>
          <cell r="O124">
            <v>5642.1253782881258</v>
          </cell>
          <cell r="P124">
            <v>5544.9627950670811</v>
          </cell>
          <cell r="Q124">
            <v>5466.0632094674575</v>
          </cell>
          <cell r="R124">
            <v>5407.7678620188653</v>
          </cell>
          <cell r="S124">
            <v>5378.8844863788163</v>
          </cell>
          <cell r="T124">
            <v>5350.1553794517831</v>
          </cell>
          <cell r="U124">
            <v>5321.5797172746643</v>
          </cell>
          <cell r="V124">
            <v>5293.1566802852158</v>
          </cell>
          <cell r="W124">
            <v>5264.8854532985533</v>
          </cell>
          <cell r="X124">
            <v>5236.7652254837667</v>
          </cell>
          <cell r="AA124">
            <v>114633.26904793177</v>
          </cell>
        </row>
        <row r="125">
          <cell r="B125" t="str">
            <v>Wheel and Hand_Hub gasket - Idaho</v>
          </cell>
          <cell r="C125" t="str">
            <v>Wheel and Hand_Hub gasket</v>
          </cell>
          <cell r="D125" t="str">
            <v>Idaho</v>
          </cell>
          <cell r="E125">
            <v>1597.7535000000003</v>
          </cell>
          <cell r="F125">
            <v>1586.4343839211433</v>
          </cell>
          <cell r="G125">
            <v>1570.7642606303825</v>
          </cell>
          <cell r="H125">
            <v>1553.027656693421</v>
          </cell>
          <cell r="I125">
            <v>1535.2508574228132</v>
          </cell>
          <cell r="J125">
            <v>1508.2561118431074</v>
          </cell>
          <cell r="K125">
            <v>1481.8141897562834</v>
          </cell>
          <cell r="L125">
            <v>1467.582839161638</v>
          </cell>
          <cell r="M125">
            <v>1450.1997339123559</v>
          </cell>
          <cell r="N125">
            <v>1430.6471818882185</v>
          </cell>
          <cell r="O125">
            <v>1410.5313445720315</v>
          </cell>
          <cell r="P125">
            <v>1386.2406987667703</v>
          </cell>
          <cell r="Q125">
            <v>1366.5158023668644</v>
          </cell>
          <cell r="R125">
            <v>1351.9419655047163</v>
          </cell>
          <cell r="S125">
            <v>1344.7211215947041</v>
          </cell>
          <cell r="T125">
            <v>1337.5388448629458</v>
          </cell>
          <cell r="U125">
            <v>1330.3949293186661</v>
          </cell>
          <cell r="V125">
            <v>1323.2891700713039</v>
          </cell>
          <cell r="W125">
            <v>1316.2213633246383</v>
          </cell>
          <cell r="X125">
            <v>1309.1913063709417</v>
          </cell>
          <cell r="AA125">
            <v>28658.317261982942</v>
          </cell>
        </row>
        <row r="126">
          <cell r="B126" t="str">
            <v>Wheel and Hand_Levelers - Idaho</v>
          </cell>
          <cell r="C126" t="str">
            <v>Wheel and Hand_Levelers</v>
          </cell>
          <cell r="D126" t="str">
            <v>Idaho</v>
          </cell>
          <cell r="E126">
            <v>6391.014000000001</v>
          </cell>
          <cell r="F126">
            <v>6345.7375356845732</v>
          </cell>
          <cell r="G126">
            <v>6283.0570425215301</v>
          </cell>
          <cell r="H126">
            <v>6212.1106267736841</v>
          </cell>
          <cell r="I126">
            <v>6141.0034296912527</v>
          </cell>
          <cell r="J126">
            <v>6033.0244473724297</v>
          </cell>
          <cell r="K126">
            <v>5927.2567590251338</v>
          </cell>
          <cell r="L126">
            <v>5870.3313566465522</v>
          </cell>
          <cell r="M126">
            <v>5800.7989356494236</v>
          </cell>
          <cell r="N126">
            <v>5722.5887275528739</v>
          </cell>
          <cell r="O126">
            <v>5642.1253782881258</v>
          </cell>
          <cell r="P126">
            <v>5544.9627950670811</v>
          </cell>
          <cell r="Q126">
            <v>5466.0632094674575</v>
          </cell>
          <cell r="R126">
            <v>5407.7678620188653</v>
          </cell>
          <cell r="S126">
            <v>5378.8844863788163</v>
          </cell>
          <cell r="T126">
            <v>5350.1553794517831</v>
          </cell>
          <cell r="U126">
            <v>5321.5797172746643</v>
          </cell>
          <cell r="V126">
            <v>5293.1566802852158</v>
          </cell>
          <cell r="W126">
            <v>5264.8854532985533</v>
          </cell>
          <cell r="X126">
            <v>5236.7652254837667</v>
          </cell>
          <cell r="AA126">
            <v>114633.26904793177</v>
          </cell>
        </row>
        <row r="127">
          <cell r="B127" t="str">
            <v>Pivot and Linear_Base boot gasket - Idaho</v>
          </cell>
          <cell r="C127" t="str">
            <v>Pivot and Linear_Base boot gasket</v>
          </cell>
          <cell r="D127" t="str">
            <v>Idaho</v>
          </cell>
          <cell r="E127">
            <v>25550.961750000002</v>
          </cell>
          <cell r="F127">
            <v>25369.948657570738</v>
          </cell>
          <cell r="G127">
            <v>25119.355108052609</v>
          </cell>
          <cell r="H127">
            <v>24835.714803857874</v>
          </cell>
          <cell r="I127">
            <v>24551.431703742168</v>
          </cell>
          <cell r="J127">
            <v>24119.737007559026</v>
          </cell>
          <cell r="K127">
            <v>23696.882956645091</v>
          </cell>
          <cell r="L127">
            <v>23469.297978928182</v>
          </cell>
          <cell r="M127">
            <v>23191.310756668532</v>
          </cell>
          <cell r="N127">
            <v>22878.630165523758</v>
          </cell>
          <cell r="O127">
            <v>22556.941626061875</v>
          </cell>
          <cell r="P127">
            <v>22168.490365055073</v>
          </cell>
          <cell r="Q127">
            <v>21853.053676331368</v>
          </cell>
          <cell r="R127">
            <v>21619.99172515086</v>
          </cell>
          <cell r="S127">
            <v>21504.517400389599</v>
          </cell>
          <cell r="T127">
            <v>21389.659834406444</v>
          </cell>
          <cell r="U127">
            <v>21275.415733037164</v>
          </cell>
          <cell r="V127">
            <v>21161.781819711949</v>
          </cell>
          <cell r="W127">
            <v>21048.754835361455</v>
          </cell>
          <cell r="X127">
            <v>20936.33153832332</v>
          </cell>
          <cell r="AA127">
            <v>458298.20944237709</v>
          </cell>
        </row>
      </sheetData>
      <sheetData sheetId="4">
        <row r="3">
          <cell r="A3" t="str">
            <v>RetroEven20</v>
          </cell>
        </row>
        <row r="4">
          <cell r="A4" t="str">
            <v>RetroEven20</v>
          </cell>
          <cell r="B4" t="str">
            <v>Wheel and Hand_Gaskets</v>
          </cell>
          <cell r="C4">
            <v>1</v>
          </cell>
          <cell r="D4" t="str">
            <v>More of a maintenance program measure in latest RTF analysis; 5% per year makes sense for this type of program.</v>
          </cell>
        </row>
        <row r="5">
          <cell r="A5" t="str">
            <v>RetroEven20</v>
          </cell>
          <cell r="B5" t="str">
            <v>Wheel and Hand_Drains</v>
          </cell>
          <cell r="C5">
            <v>1</v>
          </cell>
          <cell r="D5" t="str">
            <v>More of a maintenance program measure in latest RTF analysis; 5% per year makes sense for this type of program.</v>
          </cell>
        </row>
        <row r="6">
          <cell r="A6" t="str">
            <v>RetroEven20</v>
          </cell>
          <cell r="B6" t="str">
            <v>Wheel and Hand_Cut and press repair</v>
          </cell>
          <cell r="C6">
            <v>1</v>
          </cell>
          <cell r="D6" t="str">
            <v>More of a maintenance program measure in latest RTF analysis; 5% per year makes sense for this type of program.</v>
          </cell>
        </row>
        <row r="7">
          <cell r="A7" t="str">
            <v>RetroEven20</v>
          </cell>
          <cell r="B7" t="str">
            <v>Wheel and Hand_Hub gasket</v>
          </cell>
          <cell r="C7">
            <v>1</v>
          </cell>
          <cell r="D7" t="str">
            <v>More of a maintenance program measure in latest RTF analysis; 5% per year makes sense for this type of program.</v>
          </cell>
        </row>
        <row r="8">
          <cell r="A8" t="str">
            <v>RetroEven20</v>
          </cell>
          <cell r="B8" t="str">
            <v>Wheel and Hand_Levelers</v>
          </cell>
          <cell r="C8">
            <v>1</v>
          </cell>
          <cell r="D8" t="str">
            <v>More of a maintenance program measure in latest RTF analysis; 5% per year makes sense for this type of program.</v>
          </cell>
        </row>
        <row r="9">
          <cell r="A9" t="str">
            <v>RetroEven20</v>
          </cell>
          <cell r="B9" t="str">
            <v>Pivot and Linear_Base boot gasket</v>
          </cell>
          <cell r="C9">
            <v>1</v>
          </cell>
          <cell r="D9" t="str">
            <v>More of a maintenance program measure in latest RTF analysis; 5% per year makes sense for this type of program.</v>
          </cell>
        </row>
        <row r="10">
          <cell r="A10" t="str">
            <v>RetroEven20</v>
          </cell>
          <cell r="B10" t="str">
            <v>Pivot and Linear_Tower gasket</v>
          </cell>
          <cell r="C10">
            <v>1</v>
          </cell>
          <cell r="D10" t="str">
            <v>More of a maintenance program measure in latest RTF analysis; 5% per year makes sense for this type of program.</v>
          </cell>
        </row>
        <row r="11">
          <cell r="A11" t="str">
            <v>RetroEven20</v>
          </cell>
          <cell r="B11" t="str">
            <v>Wheel and Hand_Nozzle replacement</v>
          </cell>
          <cell r="C11">
            <v>1</v>
          </cell>
          <cell r="D11" t="str">
            <v>More of a maintenance program measure in latest RTF analysis; 5% per year makes sense for this type of program.</v>
          </cell>
        </row>
        <row r="12">
          <cell r="A12" t="str">
            <v>RetroEven20</v>
          </cell>
          <cell r="B12" t="str">
            <v>Pivot and Linear_Sprinkler package replacement, high pressure</v>
          </cell>
          <cell r="C12">
            <v>1</v>
          </cell>
        </row>
        <row r="13">
          <cell r="A13" t="str">
            <v>RetroEven20</v>
          </cell>
          <cell r="B13" t="str">
            <v>Pivot and Linear_Sprinkler package replacement, MESA</v>
          </cell>
          <cell r="C13">
            <v>1</v>
          </cell>
        </row>
        <row r="14">
          <cell r="A14" t="str">
            <v>RetroEven20</v>
          </cell>
          <cell r="B14" t="str">
            <v>Pivot and Linear_Sprinkler package replacement, LESA/LEPA/MDI</v>
          </cell>
          <cell r="C14">
            <v>1</v>
          </cell>
        </row>
        <row r="15">
          <cell r="A15" t="str">
            <v>Retro5Med</v>
          </cell>
          <cell r="B15" t="str">
            <v>Pivot and Linear_Upgrade from high pressure to MESA</v>
          </cell>
          <cell r="C15">
            <v>1</v>
          </cell>
        </row>
        <row r="16">
          <cell r="A16" t="str">
            <v>Retro1Slow</v>
          </cell>
          <cell r="B16" t="str">
            <v>Pivot and Linear_Upgrade from MESA to LESA/LEPA/MDI</v>
          </cell>
          <cell r="C16">
            <v>1</v>
          </cell>
        </row>
        <row r="17">
          <cell r="A17" t="str">
            <v>Retro3Slow</v>
          </cell>
          <cell r="B17" t="str">
            <v>Pivot and Linear_Pressure Reduction_High to Medium</v>
          </cell>
          <cell r="C17">
            <v>1</v>
          </cell>
        </row>
        <row r="18">
          <cell r="A18" t="str">
            <v>Retro1Slow</v>
          </cell>
          <cell r="B18" t="str">
            <v>Pivot and Linear_Pressure Reduction_Medium to Low</v>
          </cell>
          <cell r="C18">
            <v>1</v>
          </cell>
        </row>
        <row r="19">
          <cell r="A19" t="str">
            <v>Retro1Slow</v>
          </cell>
          <cell r="B19" t="str">
            <v>Pivot and Linear_Pressure Reduction_Medium2 to Low</v>
          </cell>
          <cell r="C19">
            <v>1</v>
          </cell>
        </row>
        <row r="20">
          <cell r="A20" t="str">
            <v>Retro1Slow</v>
          </cell>
          <cell r="B20" t="str">
            <v>Wheel-Line_Conversion to Low Pressure System (Alfalfa)</v>
          </cell>
          <cell r="C20">
            <v>1</v>
          </cell>
        </row>
        <row r="21">
          <cell r="A21" t="str">
            <v>Retro1Slow</v>
          </cell>
          <cell r="B21" t="str">
            <v>Hand-Line_Conversion to Low Pressure System (Alfalfa)</v>
          </cell>
          <cell r="C21">
            <v>1</v>
          </cell>
        </row>
        <row r="22">
          <cell r="A22" t="str">
            <v>Retro1Slow</v>
          </cell>
          <cell r="B22" t="str">
            <v>Variable Rate Irrigation</v>
          </cell>
          <cell r="C22">
            <v>1</v>
          </cell>
          <cell r="D22" t="str">
            <v>Slow uptake - emerging technology</v>
          </cell>
        </row>
      </sheetData>
      <sheetData sheetId="5">
        <row r="4">
          <cell r="A4" t="str">
            <v>Pivot and Linear_Pressure Reduction_Medium2 to Low - Washington</v>
          </cell>
          <cell r="C4">
            <v>300.04487255738945</v>
          </cell>
          <cell r="D4">
            <v>0.01</v>
          </cell>
          <cell r="E4">
            <v>2E-3</v>
          </cell>
          <cell r="F4">
            <v>1.2E-2</v>
          </cell>
          <cell r="G4">
            <v>1.175974353020493E-2</v>
          </cell>
          <cell r="H4">
            <v>69.957977346139799</v>
          </cell>
          <cell r="I4">
            <v>0.35034759669120408</v>
          </cell>
          <cell r="J4">
            <v>-2.9365800329758951</v>
          </cell>
          <cell r="K4">
            <v>-2.9346307801481122</v>
          </cell>
          <cell r="L4">
            <v>5948.9373357890472</v>
          </cell>
          <cell r="M4">
            <v>1.3952086573918614</v>
          </cell>
          <cell r="N4">
            <v>0</v>
          </cell>
          <cell r="O4">
            <v>9.1684732386846865E-2</v>
          </cell>
          <cell r="P4">
            <v>0</v>
          </cell>
          <cell r="Q4">
            <v>1.0893638484445467E-3</v>
          </cell>
          <cell r="R4">
            <v>0.10169818899292389</v>
          </cell>
          <cell r="S4">
            <v>1.8132463369850813</v>
          </cell>
          <cell r="T4">
            <v>6.8432697414892321</v>
          </cell>
          <cell r="U4">
            <v>10.095016078563361</v>
          </cell>
          <cell r="V4">
            <v>10.124641574727031</v>
          </cell>
          <cell r="W4">
            <v>9.892501545110127</v>
          </cell>
          <cell r="X4">
            <v>4.6298482918264092</v>
          </cell>
          <cell r="Y4">
            <v>2.5506689289374198</v>
          </cell>
          <cell r="Z4">
            <v>0.48994246553906268</v>
          </cell>
          <cell r="AA4">
            <v>1.8268236086721526E-3</v>
          </cell>
          <cell r="AC4">
            <v>0</v>
          </cell>
          <cell r="AD4">
            <v>1.6637394140636624E-2</v>
          </cell>
          <cell r="AE4">
            <v>0.69182837175890566</v>
          </cell>
          <cell r="AF4">
            <v>9.7539825522000836</v>
          </cell>
          <cell r="AG4">
            <v>38.563593854434814</v>
          </cell>
          <cell r="AH4">
            <v>53.420202768403612</v>
          </cell>
          <cell r="AI4">
            <v>55.925873038149653</v>
          </cell>
          <cell r="AJ4">
            <v>52.191886311911695</v>
          </cell>
          <cell r="AK4">
            <v>25.752187065631091</v>
          </cell>
          <cell r="AL4">
            <v>13.529740652799536</v>
          </cell>
          <cell r="AM4">
            <v>3.6240235737986124</v>
          </cell>
          <cell r="AN4">
            <v>3.1167634533147404E-2</v>
          </cell>
        </row>
        <row r="5">
          <cell r="A5" t="str">
            <v>Pivot and Linear_Pressure Reduction_Medium2 to Low - Idaho</v>
          </cell>
          <cell r="C5">
            <v>273.06560278872956</v>
          </cell>
          <cell r="D5">
            <v>0.01</v>
          </cell>
          <cell r="E5">
            <v>2E-3</v>
          </cell>
          <cell r="F5">
            <v>1.2E-2</v>
          </cell>
          <cell r="G5">
            <v>1.175974353020493E-2</v>
          </cell>
          <cell r="H5">
            <v>63.667534429371415</v>
          </cell>
          <cell r="I5">
            <v>0.38496243732804086</v>
          </cell>
          <cell r="J5">
            <v>-2.936301119142084</v>
          </cell>
          <cell r="K5">
            <v>-2.9341592773636926</v>
          </cell>
          <cell r="L5">
            <v>5414.0240614806944</v>
          </cell>
          <cell r="M5">
            <v>1.2697550529675949</v>
          </cell>
          <cell r="N5">
            <v>0</v>
          </cell>
          <cell r="O5">
            <v>8.3440675064190867E-2</v>
          </cell>
          <cell r="P5">
            <v>0</v>
          </cell>
          <cell r="Q5">
            <v>9.9141102927817514E-4</v>
          </cell>
          <cell r="R5">
            <v>9.2553747188475269E-2</v>
          </cell>
          <cell r="S5">
            <v>1.6502038504876726</v>
          </cell>
          <cell r="T5">
            <v>6.2279403779786726</v>
          </cell>
          <cell r="U5">
            <v>9.1872979769969803</v>
          </cell>
          <cell r="V5">
            <v>9.2142596240962842</v>
          </cell>
          <cell r="W5">
            <v>9.0029930339411433</v>
          </cell>
          <cell r="X5">
            <v>4.2135441404223144</v>
          </cell>
          <cell r="Y5">
            <v>2.3213192835400327</v>
          </cell>
          <cell r="Z5">
            <v>0.44588808848460237</v>
          </cell>
          <cell r="AA5">
            <v>1.6625602885292771E-3</v>
          </cell>
          <cell r="AC5">
            <v>0</v>
          </cell>
          <cell r="AD5">
            <v>1.5141402088041546E-2</v>
          </cell>
          <cell r="AE5">
            <v>0.62962092886475585</v>
          </cell>
          <cell r="AF5">
            <v>8.8769293156236966</v>
          </cell>
          <cell r="AG5">
            <v>35.09605383956977</v>
          </cell>
          <cell r="AH5">
            <v>48.616794367183196</v>
          </cell>
          <cell r="AI5">
            <v>50.897161156211169</v>
          </cell>
          <cell r="AJ5">
            <v>47.498924994017599</v>
          </cell>
          <cell r="AK5">
            <v>23.436616077682395</v>
          </cell>
          <cell r="AL5">
            <v>12.313180876721157</v>
          </cell>
          <cell r="AM5">
            <v>3.298160615994544</v>
          </cell>
          <cell r="AN5">
            <v>2.8365120319344437E-2</v>
          </cell>
        </row>
        <row r="6">
          <cell r="A6" t="str">
            <v>Pivot and Linear_Pressure Reduction_Medium2 to Low - Oregon</v>
          </cell>
          <cell r="C6">
            <v>227.85411250507542</v>
          </cell>
          <cell r="D6">
            <v>0.01</v>
          </cell>
          <cell r="E6">
            <v>2E-3</v>
          </cell>
          <cell r="F6">
            <v>1.2E-2</v>
          </cell>
          <cell r="G6">
            <v>1.175974353020493E-2</v>
          </cell>
          <cell r="H6">
            <v>53.12609645680908</v>
          </cell>
          <cell r="I6">
            <v>0.46134782841656397</v>
          </cell>
          <cell r="J6">
            <v>-2.9356856333595927</v>
          </cell>
          <cell r="K6">
            <v>-2.9331188009690581</v>
          </cell>
          <cell r="L6">
            <v>4517.6237322144461</v>
          </cell>
          <cell r="M6">
            <v>1.0595216231486024</v>
          </cell>
          <cell r="N6">
            <v>0</v>
          </cell>
          <cell r="O6">
            <v>6.9625396862179584E-2</v>
          </cell>
          <cell r="P6">
            <v>0</v>
          </cell>
          <cell r="Q6">
            <v>8.2726303824761911E-4</v>
          </cell>
          <cell r="R6">
            <v>7.7229617019780719E-2</v>
          </cell>
          <cell r="S6">
            <v>1.3769794875857793</v>
          </cell>
          <cell r="T6">
            <v>5.1967798692564742</v>
          </cell>
          <cell r="U6">
            <v>7.6661564308704016</v>
          </cell>
          <cell r="V6">
            <v>7.6886540362397602</v>
          </cell>
          <cell r="W6">
            <v>7.5123668696755503</v>
          </cell>
          <cell r="X6">
            <v>3.5159073527092848</v>
          </cell>
          <cell r="Y6">
            <v>1.9369782930922939</v>
          </cell>
          <cell r="Z6">
            <v>0.37206236758003308</v>
          </cell>
          <cell r="AA6">
            <v>1.3872900693468664E-3</v>
          </cell>
          <cell r="AC6">
            <v>0</v>
          </cell>
          <cell r="AD6">
            <v>1.2634439122390987E-2</v>
          </cell>
          <cell r="AE6">
            <v>0.52537454917782622</v>
          </cell>
          <cell r="AF6">
            <v>7.4071755297083</v>
          </cell>
          <cell r="AG6">
            <v>29.285197836626132</v>
          </cell>
          <cell r="AH6">
            <v>40.567308442531846</v>
          </cell>
          <cell r="AI6">
            <v>42.47011474839244</v>
          </cell>
          <cell r="AJ6">
            <v>39.634524776929254</v>
          </cell>
          <cell r="AK6">
            <v>19.556213971900934</v>
          </cell>
          <cell r="AL6">
            <v>10.274486687913091</v>
          </cell>
          <cell r="AM6">
            <v>2.7520839402026902</v>
          </cell>
          <cell r="AN6">
            <v>2.3668705433633124E-2</v>
          </cell>
        </row>
        <row r="7">
          <cell r="A7" t="str">
            <v>Pivot and Linear_Pressure Reduction_Medium2 to Low - Montana</v>
          </cell>
          <cell r="C7">
            <v>143.74355921844517</v>
          </cell>
          <cell r="D7">
            <v>0.01</v>
          </cell>
          <cell r="E7">
            <v>2E-3</v>
          </cell>
          <cell r="F7">
            <v>1.2E-2</v>
          </cell>
          <cell r="G7">
            <v>1.175974353020493E-2</v>
          </cell>
          <cell r="H7">
            <v>33.515015849951197</v>
          </cell>
          <cell r="I7">
            <v>0.73130233153786417</v>
          </cell>
          <cell r="J7">
            <v>-2.9335104378644363</v>
          </cell>
          <cell r="K7">
            <v>-2.9294416411860009</v>
          </cell>
          <cell r="L7">
            <v>2849.9784679714994</v>
          </cell>
          <cell r="M7">
            <v>0.66840755036577115</v>
          </cell>
          <cell r="N7">
            <v>0</v>
          </cell>
          <cell r="O7">
            <v>4.3923729297374543E-2</v>
          </cell>
          <cell r="P7">
            <v>0</v>
          </cell>
          <cell r="Q7">
            <v>5.2188539508993368E-4</v>
          </cell>
          <cell r="R7">
            <v>4.8720911400067055E-2</v>
          </cell>
          <cell r="S7">
            <v>0.8686783413310647</v>
          </cell>
          <cell r="T7">
            <v>3.2784294593982901</v>
          </cell>
          <cell r="U7">
            <v>4.8362550878871575</v>
          </cell>
          <cell r="V7">
            <v>4.8504478792049417</v>
          </cell>
          <cell r="W7">
            <v>4.7392357334688846</v>
          </cell>
          <cell r="X7">
            <v>2.2180378102654452</v>
          </cell>
          <cell r="Y7">
            <v>1.221957992844009</v>
          </cell>
          <cell r="Z7">
            <v>0.23471847130257129</v>
          </cell>
          <cell r="AA7">
            <v>8.7518285294008137E-4</v>
          </cell>
          <cell r="AC7">
            <v>0</v>
          </cell>
          <cell r="AD7">
            <v>7.9705353053076688E-3</v>
          </cell>
          <cell r="AE7">
            <v>0.33143666704687902</v>
          </cell>
          <cell r="AF7">
            <v>4.672874949195073</v>
          </cell>
          <cell r="AG7">
            <v>18.474797418278694</v>
          </cell>
          <cell r="AH7">
            <v>25.592205641283371</v>
          </cell>
          <cell r="AI7">
            <v>26.792605967178783</v>
          </cell>
          <cell r="AJ7">
            <v>25.003751728380841</v>
          </cell>
          <cell r="AK7">
            <v>12.337191417143766</v>
          </cell>
          <cell r="AL7">
            <v>6.4817407481739622</v>
          </cell>
          <cell r="AM7">
            <v>1.7361738021026305</v>
          </cell>
          <cell r="AN7">
            <v>1.4931589005432561E-2</v>
          </cell>
        </row>
        <row r="8">
          <cell r="A8" t="str">
            <v>Pivot and Linear_Pressure Reduction_Medium to Low - Washington</v>
          </cell>
          <cell r="C8">
            <v>300.04487255738945</v>
          </cell>
          <cell r="D8">
            <v>35.989643204399584</v>
          </cell>
          <cell r="E8">
            <v>7.1979286408799172</v>
          </cell>
          <cell r="F8">
            <v>43.1875718452795</v>
          </cell>
          <cell r="G8">
            <v>42.322897382732187</v>
          </cell>
          <cell r="H8">
            <v>69.957977346139799</v>
          </cell>
          <cell r="I8">
            <v>1260.8885002435318</v>
          </cell>
          <cell r="J8">
            <v>7.2203793042759106</v>
          </cell>
          <cell r="K8">
            <v>14.235670682982754</v>
          </cell>
          <cell r="L8">
            <v>1.6529581307607444</v>
          </cell>
          <cell r="M8">
            <v>1.3952086573918614</v>
          </cell>
          <cell r="N8">
            <v>0</v>
          </cell>
          <cell r="O8">
            <v>9.1684732386846865E-2</v>
          </cell>
          <cell r="P8">
            <v>0</v>
          </cell>
          <cell r="Q8">
            <v>1.0893638484445467E-3</v>
          </cell>
          <cell r="R8">
            <v>0.10169818899292389</v>
          </cell>
          <cell r="S8">
            <v>1.8132463369850813</v>
          </cell>
          <cell r="T8">
            <v>6.8432697414892321</v>
          </cell>
          <cell r="U8">
            <v>10.095016078563361</v>
          </cell>
          <cell r="V8">
            <v>10.124641574727031</v>
          </cell>
          <cell r="W8">
            <v>9.892501545110127</v>
          </cell>
          <cell r="X8">
            <v>4.6298482918264092</v>
          </cell>
          <cell r="Y8">
            <v>2.5506689289374198</v>
          </cell>
          <cell r="Z8">
            <v>0.48994246553906268</v>
          </cell>
          <cell r="AA8">
            <v>1.8268236086721526E-3</v>
          </cell>
          <cell r="AC8">
            <v>0</v>
          </cell>
          <cell r="AD8">
            <v>1.6637394140636624E-2</v>
          </cell>
          <cell r="AE8">
            <v>0.69182837175890566</v>
          </cell>
          <cell r="AF8">
            <v>9.7539825522000836</v>
          </cell>
          <cell r="AG8">
            <v>38.563593854434814</v>
          </cell>
          <cell r="AH8">
            <v>53.420202768403612</v>
          </cell>
          <cell r="AI8">
            <v>55.925873038149653</v>
          </cell>
          <cell r="AJ8">
            <v>52.191886311911695</v>
          </cell>
          <cell r="AK8">
            <v>25.752187065631091</v>
          </cell>
          <cell r="AL8">
            <v>13.529740652799536</v>
          </cell>
          <cell r="AM8">
            <v>3.6240235737986124</v>
          </cell>
          <cell r="AN8">
            <v>3.1167634533147404E-2</v>
          </cell>
        </row>
        <row r="9">
          <cell r="A9" t="str">
            <v>Pivot and Linear_Base boot gasket - Washington</v>
          </cell>
          <cell r="C9">
            <v>22.865509556478727</v>
          </cell>
          <cell r="D9">
            <v>2.4405750787636538</v>
          </cell>
          <cell r="E9">
            <v>0.48811501575273075</v>
          </cell>
          <cell r="F9">
            <v>2.9286900945163845</v>
          </cell>
          <cell r="G9">
            <v>2.8700536992470265</v>
          </cell>
          <cell r="H9">
            <v>4.1753109822347927</v>
          </cell>
          <cell r="I9">
            <v>1122.0097747917598</v>
          </cell>
          <cell r="J9">
            <v>7.9751892091136014</v>
          </cell>
          <cell r="K9">
            <v>15.511673981124044</v>
          </cell>
          <cell r="L9">
            <v>1.4547849691210333</v>
          </cell>
          <cell r="M9">
            <v>8.5059695550100956E-2</v>
          </cell>
          <cell r="N9">
            <v>0</v>
          </cell>
          <cell r="O9">
            <v>6.9870153310940524E-3</v>
          </cell>
          <cell r="P9">
            <v>0</v>
          </cell>
          <cell r="Q9">
            <v>8.3017114322881546E-5</v>
          </cell>
          <cell r="R9">
            <v>7.7501104833894675E-3</v>
          </cell>
          <cell r="S9">
            <v>0.13818200288909196</v>
          </cell>
          <cell r="T9">
            <v>0.52150482805419329</v>
          </cell>
          <cell r="U9">
            <v>0.76931055228429746</v>
          </cell>
          <cell r="V9">
            <v>0.77156822147848192</v>
          </cell>
          <cell r="W9">
            <v>0.75387753401428825</v>
          </cell>
          <cell r="X9">
            <v>0.35282669375246511</v>
          </cell>
          <cell r="Y9">
            <v>0.19437874166263794</v>
          </cell>
          <cell r="Z9">
            <v>3.7337029066428835E-2</v>
          </cell>
          <cell r="AA9">
            <v>1.392166855779363E-4</v>
          </cell>
          <cell r="AC9">
            <v>0</v>
          </cell>
          <cell r="AD9">
            <v>1.2678853382000941E-3</v>
          </cell>
          <cell r="AE9">
            <v>5.2722141561911469E-2</v>
          </cell>
          <cell r="AF9">
            <v>0.74332142175967009</v>
          </cell>
          <cell r="AG9">
            <v>2.9388145056272759</v>
          </cell>
          <cell r="AH9">
            <v>4.0709916036853189</v>
          </cell>
          <cell r="AI9">
            <v>4.2619411340336644</v>
          </cell>
          <cell r="AJ9">
            <v>3.9773853326135677</v>
          </cell>
          <cell r="AK9">
            <v>1.9624960574415049</v>
          </cell>
          <cell r="AL9">
            <v>1.0310604929070883</v>
          </cell>
          <cell r="AM9">
            <v>0.27617584314408428</v>
          </cell>
          <cell r="AN9">
            <v>2.3751908812712922E-3</v>
          </cell>
        </row>
        <row r="10">
          <cell r="A10" t="str">
            <v>Pivot and Linear_Base boot gasket - Oregon</v>
          </cell>
          <cell r="C10">
            <v>22.865509556478727</v>
          </cell>
          <cell r="D10">
            <v>2.4405750787636538</v>
          </cell>
          <cell r="E10">
            <v>0.48811501575273075</v>
          </cell>
          <cell r="F10">
            <v>2.9286900945163845</v>
          </cell>
          <cell r="G10">
            <v>2.8700536992470265</v>
          </cell>
          <cell r="H10">
            <v>4.1753109822347927</v>
          </cell>
          <cell r="I10">
            <v>1122.0097747917598</v>
          </cell>
          <cell r="J10">
            <v>7.9751892091136014</v>
          </cell>
          <cell r="K10">
            <v>15.511673981124044</v>
          </cell>
          <cell r="L10">
            <v>1.4547849691210333</v>
          </cell>
          <cell r="M10">
            <v>8.5059695550100956E-2</v>
          </cell>
          <cell r="N10">
            <v>0</v>
          </cell>
          <cell r="O10">
            <v>6.9870153310940524E-3</v>
          </cell>
          <cell r="P10">
            <v>0</v>
          </cell>
          <cell r="Q10">
            <v>8.3017114322881546E-5</v>
          </cell>
          <cell r="R10">
            <v>7.7501104833894675E-3</v>
          </cell>
          <cell r="S10">
            <v>0.13818200288909196</v>
          </cell>
          <cell r="T10">
            <v>0.52150482805419329</v>
          </cell>
          <cell r="U10">
            <v>0.76931055228429746</v>
          </cell>
          <cell r="V10">
            <v>0.77156822147848192</v>
          </cell>
          <cell r="W10">
            <v>0.75387753401428825</v>
          </cell>
          <cell r="X10">
            <v>0.35282669375246511</v>
          </cell>
          <cell r="Y10">
            <v>0.19437874166263794</v>
          </cell>
          <cell r="Z10">
            <v>3.7337029066428835E-2</v>
          </cell>
          <cell r="AA10">
            <v>1.392166855779363E-4</v>
          </cell>
          <cell r="AC10">
            <v>0</v>
          </cell>
          <cell r="AD10">
            <v>1.2678853382000941E-3</v>
          </cell>
          <cell r="AE10">
            <v>5.2722141561911469E-2</v>
          </cell>
          <cell r="AF10">
            <v>0.74332142175967009</v>
          </cell>
          <cell r="AG10">
            <v>2.9388145056272759</v>
          </cell>
          <cell r="AH10">
            <v>4.0709916036853189</v>
          </cell>
          <cell r="AI10">
            <v>4.2619411340336644</v>
          </cell>
          <cell r="AJ10">
            <v>3.9773853326135677</v>
          </cell>
          <cell r="AK10">
            <v>1.9624960574415049</v>
          </cell>
          <cell r="AL10">
            <v>1.0310604929070883</v>
          </cell>
          <cell r="AM10">
            <v>0.27617584314408428</v>
          </cell>
          <cell r="AN10">
            <v>2.3751908812712922E-3</v>
          </cell>
        </row>
        <row r="11">
          <cell r="A11" t="str">
            <v>Wheel and Hand_Hub gasket - Washington</v>
          </cell>
          <cell r="C11">
            <v>128.54672461746318</v>
          </cell>
          <cell r="D11">
            <v>28.461673476483401</v>
          </cell>
          <cell r="E11">
            <v>5.6923346952966805</v>
          </cell>
          <cell r="F11">
            <v>34.154008171780085</v>
          </cell>
          <cell r="G11">
            <v>16.27031287617746</v>
          </cell>
          <cell r="H11">
            <v>29.971746465985348</v>
          </cell>
          <cell r="I11">
            <v>2327.473628559093</v>
          </cell>
          <cell r="J11">
            <v>15.814535502778343</v>
          </cell>
          <cell r="K11">
            <v>12.472075906797334</v>
          </cell>
          <cell r="L11">
            <v>1.409362190458574</v>
          </cell>
          <cell r="M11">
            <v>0.59774226947120401</v>
          </cell>
          <cell r="N11">
            <v>0</v>
          </cell>
          <cell r="O11">
            <v>3.9280031500966747E-2</v>
          </cell>
          <cell r="P11">
            <v>0</v>
          </cell>
          <cell r="Q11">
            <v>4.6671070710410748E-4</v>
          </cell>
          <cell r="R11">
            <v>4.3570046650497754E-2</v>
          </cell>
          <cell r="S11">
            <v>0.7768400624791969</v>
          </cell>
          <cell r="T11">
            <v>2.9318278410972636</v>
          </cell>
          <cell r="U11">
            <v>4.3249572665559901</v>
          </cell>
          <cell r="V11">
            <v>4.3376495697590007</v>
          </cell>
          <cell r="W11">
            <v>4.2381949774991501</v>
          </cell>
          <cell r="X11">
            <v>1.9835427558463188</v>
          </cell>
          <cell r="Y11">
            <v>1.0927703366626429</v>
          </cell>
          <cell r="Z11">
            <v>0.20990360094890334</v>
          </cell>
          <cell r="AA11">
            <v>7.8265690510589633E-4</v>
          </cell>
          <cell r="AC11">
            <v>0</v>
          </cell>
          <cell r="AD11">
            <v>7.1278755898071429E-3</v>
          </cell>
          <cell r="AE11">
            <v>0.29639657038308476</v>
          </cell>
          <cell r="AF11">
            <v>4.1788499779191621</v>
          </cell>
          <cell r="AG11">
            <v>16.521607708918811</v>
          </cell>
          <cell r="AH11">
            <v>22.886550387444387</v>
          </cell>
          <cell r="AI11">
            <v>23.960042173529157</v>
          </cell>
          <cell r="AJ11">
            <v>22.360308909194949</v>
          </cell>
          <cell r="AK11">
            <v>11.032880751494616</v>
          </cell>
          <cell r="AL11">
            <v>5.7964791433270095</v>
          </cell>
          <cell r="AM11">
            <v>1.5526223007166398</v>
          </cell>
          <cell r="AN11">
            <v>1.3352993834426929E-2</v>
          </cell>
        </row>
        <row r="12">
          <cell r="A12" t="str">
            <v>Wheel and Hand_Hub gasket - Oregon</v>
          </cell>
          <cell r="C12">
            <v>128.54672461746318</v>
          </cell>
          <cell r="D12">
            <v>28.461673476483401</v>
          </cell>
          <cell r="E12">
            <v>5.6923346952966805</v>
          </cell>
          <cell r="F12">
            <v>34.154008171780085</v>
          </cell>
          <cell r="G12">
            <v>16.27031287617746</v>
          </cell>
          <cell r="H12">
            <v>29.971746465985348</v>
          </cell>
          <cell r="I12">
            <v>2327.473628559093</v>
          </cell>
          <cell r="J12">
            <v>15.814535502778343</v>
          </cell>
          <cell r="K12">
            <v>12.472075906797334</v>
          </cell>
          <cell r="L12">
            <v>1.409362190458574</v>
          </cell>
          <cell r="M12">
            <v>0.59774226947120401</v>
          </cell>
          <cell r="N12">
            <v>0</v>
          </cell>
          <cell r="O12">
            <v>3.9280031500966747E-2</v>
          </cell>
          <cell r="P12">
            <v>0</v>
          </cell>
          <cell r="Q12">
            <v>4.6671070710410748E-4</v>
          </cell>
          <cell r="R12">
            <v>4.3570046650497754E-2</v>
          </cell>
          <cell r="S12">
            <v>0.7768400624791969</v>
          </cell>
          <cell r="T12">
            <v>2.9318278410972636</v>
          </cell>
          <cell r="U12">
            <v>4.3249572665559901</v>
          </cell>
          <cell r="V12">
            <v>4.3376495697590007</v>
          </cell>
          <cell r="W12">
            <v>4.2381949774991501</v>
          </cell>
          <cell r="X12">
            <v>1.9835427558463188</v>
          </cell>
          <cell r="Y12">
            <v>1.0927703366626429</v>
          </cell>
          <cell r="Z12">
            <v>0.20990360094890334</v>
          </cell>
          <cell r="AA12">
            <v>7.8265690510589633E-4</v>
          </cell>
          <cell r="AC12">
            <v>0</v>
          </cell>
          <cell r="AD12">
            <v>7.1278755898071429E-3</v>
          </cell>
          <cell r="AE12">
            <v>0.29639657038308476</v>
          </cell>
          <cell r="AF12">
            <v>4.1788499779191621</v>
          </cell>
          <cell r="AG12">
            <v>16.521607708918811</v>
          </cell>
          <cell r="AH12">
            <v>22.886550387444387</v>
          </cell>
          <cell r="AI12">
            <v>23.960042173529157</v>
          </cell>
          <cell r="AJ12">
            <v>22.360308909194949</v>
          </cell>
          <cell r="AK12">
            <v>11.032880751494616</v>
          </cell>
          <cell r="AL12">
            <v>5.7964791433270095</v>
          </cell>
          <cell r="AM12">
            <v>1.5526223007166398</v>
          </cell>
          <cell r="AN12">
            <v>1.3352993834426929E-2</v>
          </cell>
        </row>
        <row r="13">
          <cell r="A13" t="str">
            <v>Pivot and Linear_Pressure Reduction_Medium to Low - Oregon</v>
          </cell>
          <cell r="C13">
            <v>227.85411250507542</v>
          </cell>
          <cell r="D13">
            <v>32.770851672462449</v>
          </cell>
          <cell r="E13">
            <v>6.5541703344924898</v>
          </cell>
          <cell r="F13">
            <v>39.325022006954939</v>
          </cell>
          <cell r="G13">
            <v>38.537681093454573</v>
          </cell>
          <cell r="H13">
            <v>53.12609645680908</v>
          </cell>
          <cell r="I13">
            <v>1511.8761254451874</v>
          </cell>
          <cell r="J13">
            <v>9.2427465749322728</v>
          </cell>
          <cell r="K13">
            <v>17.654474928755633</v>
          </cell>
          <cell r="L13">
            <v>1.378549382044481</v>
          </cell>
          <cell r="M13">
            <v>1.0595216231486024</v>
          </cell>
          <cell r="N13">
            <v>0</v>
          </cell>
          <cell r="O13">
            <v>6.9625396862179584E-2</v>
          </cell>
          <cell r="P13">
            <v>0</v>
          </cell>
          <cell r="Q13">
            <v>8.2726303824761911E-4</v>
          </cell>
          <cell r="R13">
            <v>7.7229617019780719E-2</v>
          </cell>
          <cell r="S13">
            <v>1.3769794875857793</v>
          </cell>
          <cell r="T13">
            <v>5.1967798692564742</v>
          </cell>
          <cell r="U13">
            <v>7.6661564308704016</v>
          </cell>
          <cell r="V13">
            <v>7.6886540362397602</v>
          </cell>
          <cell r="W13">
            <v>7.5123668696755503</v>
          </cell>
          <cell r="X13">
            <v>3.5159073527092848</v>
          </cell>
          <cell r="Y13">
            <v>1.9369782930922939</v>
          </cell>
          <cell r="Z13">
            <v>0.37206236758003308</v>
          </cell>
          <cell r="AA13">
            <v>1.3872900693468664E-3</v>
          </cell>
          <cell r="AC13">
            <v>0</v>
          </cell>
          <cell r="AD13">
            <v>1.2634439122390987E-2</v>
          </cell>
          <cell r="AE13">
            <v>0.52537454917782622</v>
          </cell>
          <cell r="AF13">
            <v>7.4071755297083</v>
          </cell>
          <cell r="AG13">
            <v>29.285197836626132</v>
          </cell>
          <cell r="AH13">
            <v>40.567308442531846</v>
          </cell>
          <cell r="AI13">
            <v>42.47011474839244</v>
          </cell>
          <cell r="AJ13">
            <v>39.634524776929254</v>
          </cell>
          <cell r="AK13">
            <v>19.556213971900934</v>
          </cell>
          <cell r="AL13">
            <v>10.274486687913091</v>
          </cell>
          <cell r="AM13">
            <v>2.7520839402026902</v>
          </cell>
          <cell r="AN13">
            <v>2.3668705433633124E-2</v>
          </cell>
        </row>
        <row r="14">
          <cell r="A14" t="str">
            <v>Wheel and Hand_Nozzle replacement - Washington</v>
          </cell>
          <cell r="C14">
            <v>62.548467908076994</v>
          </cell>
          <cell r="D14">
            <v>4.9428547606377915</v>
          </cell>
          <cell r="E14">
            <v>0.9885709521275583</v>
          </cell>
          <cell r="F14">
            <v>5.9314257127653498</v>
          </cell>
          <cell r="G14">
            <v>3.1319813071487563</v>
          </cell>
          <cell r="H14">
            <v>4.8406013258261931</v>
          </cell>
          <cell r="I14">
            <v>830.70442780765325</v>
          </cell>
          <cell r="J14">
            <v>12.115823490499325</v>
          </cell>
          <cell r="K14">
            <v>10.773991238894952</v>
          </cell>
          <cell r="L14">
            <v>1.2939475133648854</v>
          </cell>
          <cell r="M14">
            <v>0.1163401503090233</v>
          </cell>
          <cell r="N14">
            <v>0</v>
          </cell>
          <cell r="O14">
            <v>1.9112939649593368E-2</v>
          </cell>
          <cell r="P14">
            <v>0</v>
          </cell>
          <cell r="Q14">
            <v>2.2709283159511498E-4</v>
          </cell>
          <cell r="R14">
            <v>2.1200381983920658E-2</v>
          </cell>
          <cell r="S14">
            <v>0.37799606222784737</v>
          </cell>
          <cell r="T14">
            <v>1.4265734127150707</v>
          </cell>
          <cell r="U14">
            <v>2.1044445247127785</v>
          </cell>
          <cell r="V14">
            <v>2.1106203656137081</v>
          </cell>
          <cell r="W14">
            <v>2.0622275933296366</v>
          </cell>
          <cell r="X14">
            <v>0.96515536103747124</v>
          </cell>
          <cell r="Y14">
            <v>0.53172191307903816</v>
          </cell>
          <cell r="Z14">
            <v>0.10213522504608938</v>
          </cell>
          <cell r="AA14">
            <v>3.8082643068293763E-4</v>
          </cell>
          <cell r="AC14">
            <v>0</v>
          </cell>
          <cell r="AD14">
            <v>3.4682929410186623E-3</v>
          </cell>
          <cell r="AE14">
            <v>0.14422111046267685</v>
          </cell>
          <cell r="AF14">
            <v>2.0333514098813232</v>
          </cell>
          <cell r="AG14">
            <v>8.0391099240093524</v>
          </cell>
          <cell r="AH14">
            <v>11.136173766353432</v>
          </cell>
          <cell r="AI14">
            <v>11.658515091901183</v>
          </cell>
          <cell r="AJ14">
            <v>10.880114358288884</v>
          </cell>
          <cell r="AK14">
            <v>5.3683965085233458</v>
          </cell>
          <cell r="AL14">
            <v>2.8204599592495012</v>
          </cell>
          <cell r="AM14">
            <v>0.755477406668566</v>
          </cell>
          <cell r="AN14">
            <v>6.4973207898907353E-3</v>
          </cell>
        </row>
        <row r="15">
          <cell r="A15" t="str">
            <v>Wheel and Hand_Nozzle replacement - Oregon</v>
          </cell>
          <cell r="C15">
            <v>62.548467908076994</v>
          </cell>
          <cell r="D15">
            <v>4.9428547606377915</v>
          </cell>
          <cell r="E15">
            <v>0.9885709521275583</v>
          </cell>
          <cell r="F15">
            <v>5.9314257127653498</v>
          </cell>
          <cell r="G15">
            <v>3.1319813071487563</v>
          </cell>
          <cell r="H15">
            <v>4.8406013258261931</v>
          </cell>
          <cell r="I15">
            <v>830.70442780765325</v>
          </cell>
          <cell r="J15">
            <v>12.115823490499325</v>
          </cell>
          <cell r="K15">
            <v>10.773991238894952</v>
          </cell>
          <cell r="L15">
            <v>1.2939475133648854</v>
          </cell>
          <cell r="M15">
            <v>0.1163401503090233</v>
          </cell>
          <cell r="N15">
            <v>0</v>
          </cell>
          <cell r="O15">
            <v>1.9112939649593368E-2</v>
          </cell>
          <cell r="P15">
            <v>0</v>
          </cell>
          <cell r="Q15">
            <v>2.2709283159511498E-4</v>
          </cell>
          <cell r="R15">
            <v>2.1200381983920658E-2</v>
          </cell>
          <cell r="S15">
            <v>0.37799606222784737</v>
          </cell>
          <cell r="T15">
            <v>1.4265734127150707</v>
          </cell>
          <cell r="U15">
            <v>2.1044445247127785</v>
          </cell>
          <cell r="V15">
            <v>2.1106203656137081</v>
          </cell>
          <cell r="W15">
            <v>2.0622275933296366</v>
          </cell>
          <cell r="X15">
            <v>0.96515536103747124</v>
          </cell>
          <cell r="Y15">
            <v>0.53172191307903816</v>
          </cell>
          <cell r="Z15">
            <v>0.10213522504608938</v>
          </cell>
          <cell r="AA15">
            <v>3.8082643068293763E-4</v>
          </cell>
          <cell r="AC15">
            <v>0</v>
          </cell>
          <cell r="AD15">
            <v>3.4682929410186623E-3</v>
          </cell>
          <cell r="AE15">
            <v>0.14422111046267685</v>
          </cell>
          <cell r="AF15">
            <v>2.0333514098813232</v>
          </cell>
          <cell r="AG15">
            <v>8.0391099240093524</v>
          </cell>
          <cell r="AH15">
            <v>11.136173766353432</v>
          </cell>
          <cell r="AI15">
            <v>11.658515091901183</v>
          </cell>
          <cell r="AJ15">
            <v>10.880114358288884</v>
          </cell>
          <cell r="AK15">
            <v>5.3683965085233458</v>
          </cell>
          <cell r="AL15">
            <v>2.8204599592495012</v>
          </cell>
          <cell r="AM15">
            <v>0.755477406668566</v>
          </cell>
          <cell r="AN15">
            <v>6.4973207898907353E-3</v>
          </cell>
        </row>
        <row r="16">
          <cell r="A16" t="str">
            <v>Pivot and Linear_Pressure Reduction_High to Medium - Washington</v>
          </cell>
          <cell r="C16">
            <v>309.85077046453728</v>
          </cell>
          <cell r="D16">
            <v>50.822779311810613</v>
          </cell>
          <cell r="E16">
            <v>10.164555862362123</v>
          </cell>
          <cell r="F16">
            <v>60.987335174172735</v>
          </cell>
          <cell r="G16">
            <v>59.76628501990978</v>
          </cell>
          <cell r="H16">
            <v>72.244304647119094</v>
          </cell>
          <cell r="I16">
            <v>1724.2140638372191</v>
          </cell>
          <cell r="J16">
            <v>10.953688684439371</v>
          </cell>
          <cell r="K16">
            <v>20.546816113824374</v>
          </cell>
          <cell r="L16">
            <v>1.2087802449667491</v>
          </cell>
          <cell r="M16">
            <v>1.4408060826600995</v>
          </cell>
          <cell r="N16">
            <v>0</v>
          </cell>
          <cell r="O16">
            <v>9.4681121286169331E-2</v>
          </cell>
          <cell r="P16">
            <v>0</v>
          </cell>
          <cell r="Q16">
            <v>1.124965825543961E-3</v>
          </cell>
          <cell r="R16">
            <v>0.10502183205373204</v>
          </cell>
          <cell r="S16">
            <v>1.8725058347709818</v>
          </cell>
          <cell r="T16">
            <v>7.0669176374328035</v>
          </cell>
          <cell r="U16">
            <v>10.424935720894439</v>
          </cell>
          <cell r="V16">
            <v>10.455529420874937</v>
          </cell>
          <cell r="W16">
            <v>10.215802721267028</v>
          </cell>
          <cell r="X16">
            <v>4.7811583918400293</v>
          </cell>
          <cell r="Y16">
            <v>2.634028457460309</v>
          </cell>
          <cell r="Z16">
            <v>0.50595448986230251</v>
          </cell>
          <cell r="AA16">
            <v>1.8865268312212402E-3</v>
          </cell>
          <cell r="AC16">
            <v>0</v>
          </cell>
          <cell r="AD16">
            <v>1.7181128106138258E-2</v>
          </cell>
          <cell r="AE16">
            <v>0.71443831781435296</v>
          </cell>
          <cell r="AF16">
            <v>10.072756728474937</v>
          </cell>
          <cell r="AG16">
            <v>39.823907557002663</v>
          </cell>
          <cell r="AH16">
            <v>55.166051814452238</v>
          </cell>
          <cell r="AI16">
            <v>57.753610991829611</v>
          </cell>
          <cell r="AJ16">
            <v>53.897592209812622</v>
          </cell>
          <cell r="AK16">
            <v>26.593805571219956</v>
          </cell>
          <cell r="AL16">
            <v>13.971912033435823</v>
          </cell>
          <cell r="AM16">
            <v>3.74246187562618</v>
          </cell>
          <cell r="AN16">
            <v>3.2186237649522546E-2</v>
          </cell>
        </row>
        <row r="17">
          <cell r="A17" t="str">
            <v>Pivot and Linear_Pressure Reduction_Medium to Low - Idaho</v>
          </cell>
          <cell r="C17">
            <v>273.06560278872956</v>
          </cell>
          <cell r="D17">
            <v>46.026573045679669</v>
          </cell>
          <cell r="E17">
            <v>9.2053146091359341</v>
          </cell>
          <cell r="F17">
            <v>55.231887654815601</v>
          </cell>
          <cell r="G17">
            <v>54.126069459143608</v>
          </cell>
          <cell r="H17">
            <v>63.667534429371415</v>
          </cell>
          <cell r="I17">
            <v>1771.8501741521955</v>
          </cell>
          <cell r="J17">
            <v>11.337523187534801</v>
          </cell>
          <cell r="K17">
            <v>21.195686894071368</v>
          </cell>
          <cell r="L17">
            <v>1.1762822437611151</v>
          </cell>
          <cell r="M17">
            <v>1.2697550529675949</v>
          </cell>
          <cell r="N17">
            <v>0</v>
          </cell>
          <cell r="O17">
            <v>8.3440675064190867E-2</v>
          </cell>
          <cell r="P17">
            <v>0</v>
          </cell>
          <cell r="Q17">
            <v>9.9141102927817514E-4</v>
          </cell>
          <cell r="R17">
            <v>9.2553747188475269E-2</v>
          </cell>
          <cell r="S17">
            <v>1.6502038504876726</v>
          </cell>
          <cell r="T17">
            <v>6.2279403779786726</v>
          </cell>
          <cell r="U17">
            <v>9.1872979769969803</v>
          </cell>
          <cell r="V17">
            <v>9.2142596240962842</v>
          </cell>
          <cell r="W17">
            <v>9.0029930339411433</v>
          </cell>
          <cell r="X17">
            <v>4.2135441404223144</v>
          </cell>
          <cell r="Y17">
            <v>2.3213192835400327</v>
          </cell>
          <cell r="Z17">
            <v>0.44588808848460237</v>
          </cell>
          <cell r="AA17">
            <v>1.6625602885292771E-3</v>
          </cell>
          <cell r="AC17">
            <v>0</v>
          </cell>
          <cell r="AD17">
            <v>1.5141402088041546E-2</v>
          </cell>
          <cell r="AE17">
            <v>0.62962092886475585</v>
          </cell>
          <cell r="AF17">
            <v>8.8769293156236966</v>
          </cell>
          <cell r="AG17">
            <v>35.09605383956977</v>
          </cell>
          <cell r="AH17">
            <v>48.616794367183196</v>
          </cell>
          <cell r="AI17">
            <v>50.897161156211169</v>
          </cell>
          <cell r="AJ17">
            <v>47.498924994017599</v>
          </cell>
          <cell r="AK17">
            <v>23.436616077682395</v>
          </cell>
          <cell r="AL17">
            <v>12.313180876721157</v>
          </cell>
          <cell r="AM17">
            <v>3.298160615994544</v>
          </cell>
          <cell r="AN17">
            <v>2.8365120319344437E-2</v>
          </cell>
        </row>
        <row r="18">
          <cell r="A18" t="str">
            <v>Wheel and Hand_Hub gasket - Idaho</v>
          </cell>
          <cell r="C18">
            <v>93.693293078920959</v>
          </cell>
          <cell r="D18">
            <v>28.461673476483401</v>
          </cell>
          <cell r="E18">
            <v>5.6923346952966805</v>
          </cell>
          <cell r="F18">
            <v>34.154008171780085</v>
          </cell>
          <cell r="G18">
            <v>16.270488262071694</v>
          </cell>
          <cell r="H18">
            <v>21.845376722599021</v>
          </cell>
          <cell r="I18">
            <v>3193.2820563023292</v>
          </cell>
          <cell r="J18">
            <v>22.790905853784864</v>
          </cell>
          <cell r="K18">
            <v>18.205296106396005</v>
          </cell>
          <cell r="L18">
            <v>1.1665627568681076</v>
          </cell>
          <cell r="M18">
            <v>0.4356738128169832</v>
          </cell>
          <cell r="N18">
            <v>0</v>
          </cell>
          <cell r="O18">
            <v>2.8629866023590276E-2</v>
          </cell>
          <cell r="P18">
            <v>0</v>
          </cell>
          <cell r="Q18">
            <v>3.4016940683555258E-4</v>
          </cell>
          <cell r="R18">
            <v>3.1756710740281059E-2</v>
          </cell>
          <cell r="S18">
            <v>0.56621204364333366</v>
          </cell>
          <cell r="T18">
            <v>2.1369086298411122</v>
          </cell>
          <cell r="U18">
            <v>3.1523128258235666</v>
          </cell>
          <cell r="V18">
            <v>3.1615638097547798</v>
          </cell>
          <cell r="W18">
            <v>3.0890747728821832</v>
          </cell>
          <cell r="X18">
            <v>1.4457361967885765</v>
          </cell>
          <cell r="Y18">
            <v>0.79648277095793851</v>
          </cell>
          <cell r="Z18">
            <v>0.15299152631505286</v>
          </cell>
          <cell r="AA18">
            <v>5.7045174047449881E-4</v>
          </cell>
          <cell r="AC18">
            <v>0</v>
          </cell>
          <cell r="AD18">
            <v>5.1952637350602812E-3</v>
          </cell>
          <cell r="AE18">
            <v>0.21603328143233574</v>
          </cell>
          <cell r="AF18">
            <v>3.0458202406880521</v>
          </cell>
          <cell r="AG18">
            <v>12.042032481288112</v>
          </cell>
          <cell r="AH18">
            <v>16.681220617619779</v>
          </cell>
          <cell r="AI18">
            <v>17.463651915116962</v>
          </cell>
          <cell r="AJ18">
            <v>16.297661276075804</v>
          </cell>
          <cell r="AK18">
            <v>8.041487893454585</v>
          </cell>
          <cell r="AL18">
            <v>4.2248545874486698</v>
          </cell>
          <cell r="AM18">
            <v>1.1316530755241849</v>
          </cell>
          <cell r="AN18">
            <v>9.7325386433068685E-3</v>
          </cell>
        </row>
        <row r="19">
          <cell r="A19" t="str">
            <v>Pivot and Linear_Base boot gasket - Idaho</v>
          </cell>
          <cell r="C19">
            <v>17.64343032715102</v>
          </cell>
          <cell r="D19">
            <v>2.4405750787636542</v>
          </cell>
          <cell r="E19">
            <v>0.48811501575273086</v>
          </cell>
          <cell r="F19">
            <v>2.928690094516385</v>
          </cell>
          <cell r="G19">
            <v>2.8700536992470269</v>
          </cell>
          <cell r="H19">
            <v>3.2217435709135653</v>
          </cell>
          <cell r="I19">
            <v>1454.1007475447229</v>
          </cell>
          <cell r="J19">
            <v>11.205675812387243</v>
          </cell>
          <cell r="K19">
            <v>20.972799403510773</v>
          </cell>
          <cell r="L19">
            <v>1.1225377322238974</v>
          </cell>
          <cell r="M19">
            <v>6.5633560817001821E-2</v>
          </cell>
          <cell r="N19">
            <v>0</v>
          </cell>
          <cell r="O19">
            <v>5.3913042210758499E-3</v>
          </cell>
          <cell r="P19">
            <v>0</v>
          </cell>
          <cell r="Q19">
            <v>6.405746912829593E-5</v>
          </cell>
          <cell r="R19">
            <v>5.980121895103851E-3</v>
          </cell>
          <cell r="S19">
            <v>0.1066236697860551</v>
          </cell>
          <cell r="T19">
            <v>0.40240232024219103</v>
          </cell>
          <cell r="U19">
            <v>0.59361358624628657</v>
          </cell>
          <cell r="V19">
            <v>0.5953556436026276</v>
          </cell>
          <cell r="W19">
            <v>0.58170519724179115</v>
          </cell>
          <cell r="X19">
            <v>0.27224729776541773</v>
          </cell>
          <cell r="Y19">
            <v>0.14998606425686767</v>
          </cell>
          <cell r="Z19">
            <v>2.8809909935713553E-2</v>
          </cell>
          <cell r="AA19">
            <v>1.0742204919178158E-4</v>
          </cell>
          <cell r="AC19">
            <v>0</v>
          </cell>
          <cell r="AD19">
            <v>9.7832268168331201E-4</v>
          </cell>
          <cell r="AE19">
            <v>4.0681333999933317E-2</v>
          </cell>
          <cell r="AF19">
            <v>0.5735599149059698</v>
          </cell>
          <cell r="AG19">
            <v>2.2676410882679932</v>
          </cell>
          <cell r="AH19">
            <v>3.1412488991170298</v>
          </cell>
          <cell r="AI19">
            <v>3.2885889234616292</v>
          </cell>
          <cell r="AJ19">
            <v>3.069020649938524</v>
          </cell>
          <cell r="AK19">
            <v>1.5142965596831426</v>
          </cell>
          <cell r="AL19">
            <v>0.79558445547651613</v>
          </cell>
          <cell r="AM19">
            <v>0.21310214996604829</v>
          </cell>
          <cell r="AN19">
            <v>1.8327391621815248E-3</v>
          </cell>
        </row>
        <row r="20">
          <cell r="A20" t="str">
            <v>Wheel and Hand_Cut and press repair - Washington</v>
          </cell>
          <cell r="C20">
            <v>112.31436575471476</v>
          </cell>
          <cell r="D20">
            <v>30.388468755978995</v>
          </cell>
          <cell r="E20">
            <v>6.0776937511957989</v>
          </cell>
          <cell r="F20">
            <v>36.466162507174793</v>
          </cell>
          <cell r="G20">
            <v>17.994623319961022</v>
          </cell>
          <cell r="H20">
            <v>20.508941803377567</v>
          </cell>
          <cell r="I20">
            <v>2844.1916705516501</v>
          </cell>
          <cell r="J20">
            <v>24.72808525001663</v>
          </cell>
          <cell r="K20">
            <v>20.612176216392399</v>
          </cell>
          <cell r="L20">
            <v>1.0703580218842299</v>
          </cell>
          <cell r="M20">
            <v>0.41780944060753933</v>
          </cell>
          <cell r="N20">
            <v>0</v>
          </cell>
          <cell r="O20">
            <v>3.4319908484521287E-2</v>
          </cell>
          <cell r="P20">
            <v>0</v>
          </cell>
          <cell r="Q20">
            <v>4.0777637248496019E-4</v>
          </cell>
          <cell r="R20">
            <v>3.8068197925824061E-2</v>
          </cell>
          <cell r="S20">
            <v>0.67874385107709656</v>
          </cell>
          <cell r="T20">
            <v>2.5616085159288451</v>
          </cell>
          <cell r="U20">
            <v>3.7788192095521551</v>
          </cell>
          <cell r="V20">
            <v>3.7899087802001419</v>
          </cell>
          <cell r="W20">
            <v>3.7030129103574851</v>
          </cell>
          <cell r="X20">
            <v>1.7330690239926454</v>
          </cell>
          <cell r="Y20">
            <v>0.95477973198515365</v>
          </cell>
          <cell r="Z20">
            <v>0.18339782581285707</v>
          </cell>
          <cell r="AA20">
            <v>6.8382616641618368E-4</v>
          </cell>
          <cell r="AC20">
            <v>0</v>
          </cell>
          <cell r="AD20">
            <v>6.227796378554677E-3</v>
          </cell>
          <cell r="AE20">
            <v>0.25896881397417121</v>
          </cell>
          <cell r="AF20">
            <v>3.6511617565581562</v>
          </cell>
          <cell r="AG20">
            <v>14.435326116612195</v>
          </cell>
          <cell r="AH20">
            <v>19.996529656656335</v>
          </cell>
          <cell r="AI20">
            <v>20.934465255216328</v>
          </cell>
          <cell r="AJ20">
            <v>19.536739817286286</v>
          </cell>
          <cell r="AK20">
            <v>9.6396933312696689</v>
          </cell>
          <cell r="AL20">
            <v>5.0645232737790238</v>
          </cell>
          <cell r="AM20">
            <v>1.35656345566603</v>
          </cell>
          <cell r="AN20">
            <v>1.1666831946930346E-2</v>
          </cell>
        </row>
        <row r="21">
          <cell r="A21" t="str">
            <v>Wheel and Hand_Cut and press repair - Oregon</v>
          </cell>
          <cell r="C21">
            <v>112.31436575471476</v>
          </cell>
          <cell r="D21">
            <v>30.388468755978995</v>
          </cell>
          <cell r="E21">
            <v>6.0776937511957989</v>
          </cell>
          <cell r="F21">
            <v>36.466162507174793</v>
          </cell>
          <cell r="G21">
            <v>17.994623319961022</v>
          </cell>
          <cell r="H21">
            <v>20.508941803377567</v>
          </cell>
          <cell r="I21">
            <v>2844.1916705516501</v>
          </cell>
          <cell r="J21">
            <v>24.72808525001663</v>
          </cell>
          <cell r="K21">
            <v>20.612176216392399</v>
          </cell>
          <cell r="L21">
            <v>1.0703580218842299</v>
          </cell>
          <cell r="M21">
            <v>0.41780944060753933</v>
          </cell>
          <cell r="N21">
            <v>0</v>
          </cell>
          <cell r="O21">
            <v>3.4319908484521287E-2</v>
          </cell>
          <cell r="P21">
            <v>0</v>
          </cell>
          <cell r="Q21">
            <v>4.0777637248496019E-4</v>
          </cell>
          <cell r="R21">
            <v>3.8068197925824061E-2</v>
          </cell>
          <cell r="S21">
            <v>0.67874385107709656</v>
          </cell>
          <cell r="T21">
            <v>2.5616085159288451</v>
          </cell>
          <cell r="U21">
            <v>3.7788192095521551</v>
          </cell>
          <cell r="V21">
            <v>3.7899087802001419</v>
          </cell>
          <cell r="W21">
            <v>3.7030129103574851</v>
          </cell>
          <cell r="X21">
            <v>1.7330690239926454</v>
          </cell>
          <cell r="Y21">
            <v>0.95477973198515365</v>
          </cell>
          <cell r="Z21">
            <v>0.18339782581285707</v>
          </cell>
          <cell r="AA21">
            <v>6.8382616641618368E-4</v>
          </cell>
          <cell r="AC21">
            <v>0</v>
          </cell>
          <cell r="AD21">
            <v>6.227796378554677E-3</v>
          </cell>
          <cell r="AE21">
            <v>0.25896881397417121</v>
          </cell>
          <cell r="AF21">
            <v>3.6511617565581562</v>
          </cell>
          <cell r="AG21">
            <v>14.435326116612195</v>
          </cell>
          <cell r="AH21">
            <v>19.996529656656335</v>
          </cell>
          <cell r="AI21">
            <v>20.934465255216328</v>
          </cell>
          <cell r="AJ21">
            <v>19.536739817286286</v>
          </cell>
          <cell r="AK21">
            <v>9.6396933312696689</v>
          </cell>
          <cell r="AL21">
            <v>5.0645232737790238</v>
          </cell>
          <cell r="AM21">
            <v>1.35656345566603</v>
          </cell>
          <cell r="AN21">
            <v>1.1666831946930346E-2</v>
          </cell>
        </row>
        <row r="22">
          <cell r="A22" t="str">
            <v>Wheel and Hand_Nozzle replacement - Idaho</v>
          </cell>
          <cell r="C22">
            <v>45.589430246383756</v>
          </cell>
          <cell r="D22">
            <v>4.9428547606377924</v>
          </cell>
          <cell r="E22">
            <v>0.98857095212755852</v>
          </cell>
          <cell r="F22">
            <v>5.9314257127653507</v>
          </cell>
          <cell r="G22">
            <v>3.1320012889232034</v>
          </cell>
          <cell r="H22">
            <v>3.528148072605453</v>
          </cell>
          <cell r="I22">
            <v>1139.7222769184748</v>
          </cell>
          <cell r="J22">
            <v>17.716291664685556</v>
          </cell>
          <cell r="K22">
            <v>15.875424632779584</v>
          </cell>
          <cell r="L22">
            <v>1.0681522870608939</v>
          </cell>
          <cell r="M22">
            <v>8.4796340258273803E-2</v>
          </cell>
          <cell r="N22">
            <v>0</v>
          </cell>
          <cell r="O22">
            <v>1.393076534247069E-2</v>
          </cell>
          <cell r="P22">
            <v>0</v>
          </cell>
          <cell r="Q22">
            <v>1.6552016622812212E-4</v>
          </cell>
          <cell r="R22">
            <v>1.5452230373940687E-2</v>
          </cell>
          <cell r="S22">
            <v>0.27550834878433367</v>
          </cell>
          <cell r="T22">
            <v>1.0397803697749892</v>
          </cell>
          <cell r="U22">
            <v>1.533857344160279</v>
          </cell>
          <cell r="V22">
            <v>1.5383587025049708</v>
          </cell>
          <cell r="W22">
            <v>1.503086872670288</v>
          </cell>
          <cell r="X22">
            <v>0.70346859772178705</v>
          </cell>
          <cell r="Y22">
            <v>0.38755384228460477</v>
          </cell>
          <cell r="Z22">
            <v>7.4442858053380453E-2</v>
          </cell>
          <cell r="AA22">
            <v>2.7757130715198766E-4</v>
          </cell>
          <cell r="AC22">
            <v>0</v>
          </cell>
          <cell r="AD22">
            <v>2.5279196181266892E-3</v>
          </cell>
          <cell r="AE22">
            <v>0.10511781463867283</v>
          </cell>
          <cell r="AF22">
            <v>1.4820400142079295</v>
          </cell>
          <cell r="AG22">
            <v>5.8594311480538952</v>
          </cell>
          <cell r="AH22">
            <v>8.1167746247421562</v>
          </cell>
          <cell r="AI22">
            <v>8.4974912789191919</v>
          </cell>
          <cell r="AJ22">
            <v>7.9301417156828187</v>
          </cell>
          <cell r="AK22">
            <v>3.9128398559647399</v>
          </cell>
          <cell r="AL22">
            <v>2.0557364053088074</v>
          </cell>
          <cell r="AM22">
            <v>0.55064153744983979</v>
          </cell>
          <cell r="AN22">
            <v>4.7356739956351942E-3</v>
          </cell>
        </row>
        <row r="23">
          <cell r="A23" t="str">
            <v>Pivot and Linear_Pressure Reduction_Medium to Low - Montana</v>
          </cell>
          <cell r="C23">
            <v>143.74355921844517</v>
          </cell>
          <cell r="D23">
            <v>28.178627478849705</v>
          </cell>
          <cell r="E23">
            <v>5.6357254957699414</v>
          </cell>
          <cell r="F23">
            <v>33.814352974619645</v>
          </cell>
          <cell r="G23">
            <v>33.137343218445771</v>
          </cell>
          <cell r="H23">
            <v>33.515015849951197</v>
          </cell>
          <cell r="I23">
            <v>2060.7095974819717</v>
          </cell>
          <cell r="J23">
            <v>13.665047674423153</v>
          </cell>
          <cell r="K23">
            <v>25.130358263298813</v>
          </cell>
          <cell r="L23">
            <v>1.0113971910486534</v>
          </cell>
          <cell r="M23">
            <v>0.66840755036577115</v>
          </cell>
          <cell r="N23">
            <v>0</v>
          </cell>
          <cell r="O23">
            <v>4.3923729297374543E-2</v>
          </cell>
          <cell r="P23">
            <v>0</v>
          </cell>
          <cell r="Q23">
            <v>5.2188539508993368E-4</v>
          </cell>
          <cell r="R23">
            <v>4.8720911400067055E-2</v>
          </cell>
          <cell r="S23">
            <v>0.8686783413310647</v>
          </cell>
          <cell r="T23">
            <v>3.2784294593982901</v>
          </cell>
          <cell r="U23">
            <v>4.8362550878871575</v>
          </cell>
          <cell r="V23">
            <v>4.8504478792049417</v>
          </cell>
          <cell r="W23">
            <v>4.7392357334688846</v>
          </cell>
          <cell r="X23">
            <v>2.2180378102654452</v>
          </cell>
          <cell r="Y23">
            <v>1.221957992844009</v>
          </cell>
          <cell r="Z23">
            <v>0.23471847130257129</v>
          </cell>
          <cell r="AA23">
            <v>8.7518285294008137E-4</v>
          </cell>
          <cell r="AC23">
            <v>0</v>
          </cell>
          <cell r="AD23">
            <v>7.9705353053076688E-3</v>
          </cell>
          <cell r="AE23">
            <v>0.33143666704687902</v>
          </cell>
          <cell r="AF23">
            <v>4.672874949195073</v>
          </cell>
          <cell r="AG23">
            <v>18.474797418278694</v>
          </cell>
          <cell r="AH23">
            <v>25.592205641283371</v>
          </cell>
          <cell r="AI23">
            <v>26.792605967178783</v>
          </cell>
          <cell r="AJ23">
            <v>25.003751728380841</v>
          </cell>
          <cell r="AK23">
            <v>12.337191417143766</v>
          </cell>
          <cell r="AL23">
            <v>6.4817407481739622</v>
          </cell>
          <cell r="AM23">
            <v>1.7361738021026305</v>
          </cell>
          <cell r="AN23">
            <v>1.4931589005432561E-2</v>
          </cell>
        </row>
        <row r="24">
          <cell r="A24" t="str">
            <v>Pivot and Linear_Pressure Reduction_High to Medium - Oregon</v>
          </cell>
          <cell r="C24">
            <v>235.43139725150806</v>
          </cell>
          <cell r="D24">
            <v>47.407842670896066</v>
          </cell>
          <cell r="E24">
            <v>9.481568534179214</v>
          </cell>
          <cell r="F24">
            <v>56.889411205075277</v>
          </cell>
          <cell r="G24">
            <v>55.750407113004329</v>
          </cell>
          <cell r="H24">
            <v>54.892803916656732</v>
          </cell>
          <cell r="I24">
            <v>2116.7577815633394</v>
          </cell>
          <cell r="J24">
            <v>14.116663617539128</v>
          </cell>
          <cell r="K24">
            <v>25.89381331233276</v>
          </cell>
          <cell r="L24">
            <v>0.98461709535843811</v>
          </cell>
          <cell r="M24">
            <v>1.0947559972195127</v>
          </cell>
          <cell r="N24">
            <v>0</v>
          </cell>
          <cell r="O24">
            <v>7.1940788284383383E-2</v>
          </cell>
          <cell r="P24">
            <v>0</v>
          </cell>
          <cell r="Q24">
            <v>8.5477365691534924E-4</v>
          </cell>
          <cell r="R24">
            <v>7.9797886657678008E-2</v>
          </cell>
          <cell r="S24">
            <v>1.4227709176930676</v>
          </cell>
          <cell r="T24">
            <v>5.3695986979401482</v>
          </cell>
          <cell r="U24">
            <v>7.9210943363080615</v>
          </cell>
          <cell r="V24">
            <v>7.9443400991722415</v>
          </cell>
          <cell r="W24">
            <v>7.7621905057968004</v>
          </cell>
          <cell r="X24">
            <v>3.6328287936289039</v>
          </cell>
          <cell r="Y24">
            <v>2.0013924742236195</v>
          </cell>
          <cell r="Z24">
            <v>0.38443529546617339</v>
          </cell>
          <cell r="AA24">
            <v>1.4334243776802538E-3</v>
          </cell>
          <cell r="AC24">
            <v>0</v>
          </cell>
          <cell r="AD24">
            <v>1.3054597186642264E-2</v>
          </cell>
          <cell r="AE24">
            <v>0.54284587112976335</v>
          </cell>
          <cell r="AF24">
            <v>7.6535010295570576</v>
          </cell>
          <cell r="AG24">
            <v>30.259076606792224</v>
          </cell>
          <cell r="AH24">
            <v>41.916373614478559</v>
          </cell>
          <cell r="AI24">
            <v>43.882457712599717</v>
          </cell>
          <cell r="AJ24">
            <v>40.952570243489106</v>
          </cell>
          <cell r="AK24">
            <v>20.206555544401439</v>
          </cell>
          <cell r="AL24">
            <v>10.616164572950233</v>
          </cell>
          <cell r="AM24">
            <v>2.8436044461603593</v>
          </cell>
          <cell r="AN24">
            <v>2.4455807841741211E-2</v>
          </cell>
        </row>
        <row r="25">
          <cell r="A25" t="str">
            <v>Wheel and Hand_Gaskets - Washington</v>
          </cell>
          <cell r="C25">
            <v>39.067471514574713</v>
          </cell>
          <cell r="D25">
            <v>6.9373406404505005</v>
          </cell>
          <cell r="E25">
            <v>1.3874681280901002</v>
          </cell>
          <cell r="F25">
            <v>8.3248087685406009</v>
          </cell>
          <cell r="G25">
            <v>4.3235198858648083</v>
          </cell>
          <cell r="H25">
            <v>4.0685862414638443</v>
          </cell>
          <cell r="I25">
            <v>1866.6507451143789</v>
          </cell>
          <cell r="J25">
            <v>24.613493343147702</v>
          </cell>
          <cell r="K25">
            <v>21.745308477934003</v>
          </cell>
          <cell r="L25">
            <v>0.96875098847084884</v>
          </cell>
          <cell r="M25">
            <v>9.0831871271386214E-2</v>
          </cell>
          <cell r="N25">
            <v>0</v>
          </cell>
          <cell r="O25">
            <v>1.1937849963289868E-2</v>
          </cell>
          <cell r="P25">
            <v>0</v>
          </cell>
          <cell r="Q25">
            <v>1.4184108781920487E-4</v>
          </cell>
          <cell r="R25">
            <v>1.3241656381929865E-2</v>
          </cell>
          <cell r="S25">
            <v>0.23609451818085064</v>
          </cell>
          <cell r="T25">
            <v>0.89103087619351273</v>
          </cell>
          <cell r="U25">
            <v>1.3144259047886699</v>
          </cell>
          <cell r="V25">
            <v>1.3182833052421903</v>
          </cell>
          <cell r="W25">
            <v>1.2880574129709723</v>
          </cell>
          <cell r="X25">
            <v>0.60283138557261784</v>
          </cell>
          <cell r="Y25">
            <v>0.33211094352333503</v>
          </cell>
          <cell r="Z25">
            <v>6.379316917860936E-2</v>
          </cell>
          <cell r="AA25">
            <v>2.3786235267293597E-4</v>
          </cell>
          <cell r="AC25">
            <v>0</v>
          </cell>
          <cell r="AD25">
            <v>2.1662790506168433E-3</v>
          </cell>
          <cell r="AE25">
            <v>9.0079810317358497E-2</v>
          </cell>
          <cell r="AF25">
            <v>1.2700214879987648</v>
          </cell>
          <cell r="AG25">
            <v>5.021189302675376</v>
          </cell>
          <cell r="AH25">
            <v>6.9556004479237856</v>
          </cell>
          <cell r="AI25">
            <v>7.2818523216980884</v>
          </cell>
          <cell r="AJ25">
            <v>6.7956669760871593</v>
          </cell>
          <cell r="AK25">
            <v>3.3530745786436023</v>
          </cell>
          <cell r="AL25">
            <v>1.7616456933511817</v>
          </cell>
          <cell r="AM25">
            <v>0.47186754611327109</v>
          </cell>
          <cell r="AN25">
            <v>4.0581952423383392E-3</v>
          </cell>
        </row>
        <row r="26">
          <cell r="A26" t="str">
            <v>Wheel and Hand_Gaskets - Oregon</v>
          </cell>
          <cell r="C26">
            <v>39.067471514574713</v>
          </cell>
          <cell r="D26">
            <v>6.9373406404505005</v>
          </cell>
          <cell r="E26">
            <v>1.3874681280901002</v>
          </cell>
          <cell r="F26">
            <v>8.3248087685406009</v>
          </cell>
          <cell r="G26">
            <v>4.3235198858648083</v>
          </cell>
          <cell r="H26">
            <v>4.0685862414638443</v>
          </cell>
          <cell r="I26">
            <v>1866.6507451143789</v>
          </cell>
          <cell r="J26">
            <v>24.613493343147702</v>
          </cell>
          <cell r="K26">
            <v>21.745308477934003</v>
          </cell>
          <cell r="L26">
            <v>0.96875098847084884</v>
          </cell>
          <cell r="M26">
            <v>9.0831871271386214E-2</v>
          </cell>
          <cell r="N26">
            <v>0</v>
          </cell>
          <cell r="O26">
            <v>1.1937849963289868E-2</v>
          </cell>
          <cell r="P26">
            <v>0</v>
          </cell>
          <cell r="Q26">
            <v>1.4184108781920487E-4</v>
          </cell>
          <cell r="R26">
            <v>1.3241656381929865E-2</v>
          </cell>
          <cell r="S26">
            <v>0.23609451818085064</v>
          </cell>
          <cell r="T26">
            <v>0.89103087619351273</v>
          </cell>
          <cell r="U26">
            <v>1.3144259047886699</v>
          </cell>
          <cell r="V26">
            <v>1.3182833052421903</v>
          </cell>
          <cell r="W26">
            <v>1.2880574129709723</v>
          </cell>
          <cell r="X26">
            <v>0.60283138557261784</v>
          </cell>
          <cell r="Y26">
            <v>0.33211094352333503</v>
          </cell>
          <cell r="Z26">
            <v>6.379316917860936E-2</v>
          </cell>
          <cell r="AA26">
            <v>2.3786235267293597E-4</v>
          </cell>
          <cell r="AC26">
            <v>0</v>
          </cell>
          <cell r="AD26">
            <v>2.1662790506168433E-3</v>
          </cell>
          <cell r="AE26">
            <v>9.0079810317358497E-2</v>
          </cell>
          <cell r="AF26">
            <v>1.2700214879987648</v>
          </cell>
          <cell r="AG26">
            <v>5.021189302675376</v>
          </cell>
          <cell r="AH26">
            <v>6.9556004479237856</v>
          </cell>
          <cell r="AI26">
            <v>7.2818523216980884</v>
          </cell>
          <cell r="AJ26">
            <v>6.7956669760871593</v>
          </cell>
          <cell r="AK26">
            <v>3.3530745786436023</v>
          </cell>
          <cell r="AL26">
            <v>1.7616456933511817</v>
          </cell>
          <cell r="AM26">
            <v>0.47186754611327109</v>
          </cell>
          <cell r="AN26">
            <v>4.0581952423383392E-3</v>
          </cell>
        </row>
        <row r="27">
          <cell r="A27" t="str">
            <v>Pivot and Linear_Pressure Reduction_High to Medium - Idaho</v>
          </cell>
          <cell r="C27">
            <v>303.86918994887674</v>
          </cell>
          <cell r="D27">
            <v>62.768561959299596</v>
          </cell>
          <cell r="E27">
            <v>12.55371239185992</v>
          </cell>
          <cell r="F27">
            <v>75.322274351159521</v>
          </cell>
          <cell r="G27">
            <v>73.814219040114068</v>
          </cell>
          <cell r="H27">
            <v>70.849649005641083</v>
          </cell>
          <cell r="I27">
            <v>2171.4051478110259</v>
          </cell>
          <cell r="J27">
            <v>14.556992278516313</v>
          </cell>
          <cell r="K27">
            <v>26.638187253469432</v>
          </cell>
          <cell r="L27">
            <v>0.95983741245217402</v>
          </cell>
          <cell r="M27">
            <v>1.4129917332622777</v>
          </cell>
          <cell r="N27">
            <v>0</v>
          </cell>
          <cell r="O27">
            <v>9.2853329315740585E-2</v>
          </cell>
          <cell r="P27">
            <v>0</v>
          </cell>
          <cell r="Q27">
            <v>1.1032486819887932E-3</v>
          </cell>
          <cell r="R27">
            <v>0.10299441561907298</v>
          </cell>
          <cell r="S27">
            <v>1.8363576451120225</v>
          </cell>
          <cell r="T27">
            <v>6.9304928133716226</v>
          </cell>
          <cell r="U27">
            <v>10.223685318025899</v>
          </cell>
          <cell r="V27">
            <v>10.253688415377168</v>
          </cell>
          <cell r="W27">
            <v>10.018589571150443</v>
          </cell>
          <cell r="X27">
            <v>4.6888594963554677</v>
          </cell>
          <cell r="Y27">
            <v>2.5831792913432827</v>
          </cell>
          <cell r="Z27">
            <v>0.49618718312353266</v>
          </cell>
          <cell r="AA27">
            <v>1.8501079702353991E-3</v>
          </cell>
          <cell r="AC27">
            <v>0</v>
          </cell>
          <cell r="AD27">
            <v>1.6849451341343812E-2</v>
          </cell>
          <cell r="AE27">
            <v>0.70064629039717818</v>
          </cell>
          <cell r="AF27">
            <v>9.8783050403422781</v>
          </cell>
          <cell r="AG27">
            <v>39.055118410074599</v>
          </cell>
          <cell r="AH27">
            <v>54.101086960033676</v>
          </cell>
          <cell r="AI27">
            <v>56.638694047457179</v>
          </cell>
          <cell r="AJ27">
            <v>52.857114605319687</v>
          </cell>
          <cell r="AK27">
            <v>26.080419759709507</v>
          </cell>
          <cell r="AL27">
            <v>13.702188267184004</v>
          </cell>
          <cell r="AM27">
            <v>3.6702147193506396</v>
          </cell>
          <cell r="AN27">
            <v>3.1564891536010657E-2</v>
          </cell>
        </row>
        <row r="28">
          <cell r="A28" t="str">
            <v>Wheel and Hand_Cut and press repair - Idaho</v>
          </cell>
          <cell r="C28">
            <v>81.862084148350505</v>
          </cell>
          <cell r="D28">
            <v>30.388468755978995</v>
          </cell>
          <cell r="E28">
            <v>6.0776937511957989</v>
          </cell>
          <cell r="F28">
            <v>36.466162507174793</v>
          </cell>
          <cell r="G28">
            <v>17.994788438880789</v>
          </cell>
          <cell r="H28">
            <v>14.948263371475617</v>
          </cell>
          <cell r="I28">
            <v>3902.2165986386981</v>
          </cell>
          <cell r="J28">
            <v>35.020251061633921</v>
          </cell>
          <cell r="K28">
            <v>29.373541168903749</v>
          </cell>
          <cell r="L28">
            <v>0.9147492735001157</v>
          </cell>
          <cell r="M28">
            <v>0.304526953031864</v>
          </cell>
          <cell r="N28">
            <v>0</v>
          </cell>
          <cell r="O28">
            <v>2.5014602695253459E-2</v>
          </cell>
          <cell r="P28">
            <v>0</v>
          </cell>
          <cell r="Q28">
            <v>2.9721419422850314E-4</v>
          </cell>
          <cell r="R28">
            <v>2.7746602146921297E-2</v>
          </cell>
          <cell r="S28">
            <v>0.49471308392903707</v>
          </cell>
          <cell r="T28">
            <v>1.867068477634132</v>
          </cell>
          <cell r="U28">
            <v>2.7542515513050141</v>
          </cell>
          <cell r="V28">
            <v>2.7623343585172027</v>
          </cell>
          <cell r="W28">
            <v>2.69899894312841</v>
          </cell>
          <cell r="X28">
            <v>1.263174495298524</v>
          </cell>
          <cell r="Y28">
            <v>0.69590615802081557</v>
          </cell>
          <cell r="Z28">
            <v>0.13367237706799232</v>
          </cell>
          <cell r="AA28">
            <v>4.9841740904507268E-4</v>
          </cell>
          <cell r="AC28">
            <v>0</v>
          </cell>
          <cell r="AD28">
            <v>4.5392269081004381E-3</v>
          </cell>
          <cell r="AE28">
            <v>0.18875347511333121</v>
          </cell>
          <cell r="AF28">
            <v>2.6612064177734638</v>
          </cell>
          <cell r="AG28">
            <v>10.521413474815295</v>
          </cell>
          <cell r="AH28">
            <v>14.574783754761762</v>
          </cell>
          <cell r="AI28">
            <v>15.258412802382756</v>
          </cell>
          <cell r="AJ28">
            <v>14.239658730744189</v>
          </cell>
          <cell r="AK28">
            <v>7.0260414270786624</v>
          </cell>
          <cell r="AL28">
            <v>3.6913570906397988</v>
          </cell>
          <cell r="AM28">
            <v>0.98875251633291605</v>
          </cell>
          <cell r="AN28">
            <v>8.5035531489361937E-3</v>
          </cell>
        </row>
        <row r="29">
          <cell r="A29" t="str">
            <v>Wheel and Hand_Gaskets - Idaho</v>
          </cell>
          <cell r="C29">
            <v>28.474938349150136</v>
          </cell>
          <cell r="D29">
            <v>6.9373406404505005</v>
          </cell>
          <cell r="E29">
            <v>1.3874681280901002</v>
          </cell>
          <cell r="F29">
            <v>8.3248087685406009</v>
          </cell>
          <cell r="G29">
            <v>4.3235502804821255</v>
          </cell>
          <cell r="H29">
            <v>2.9654527898142278</v>
          </cell>
          <cell r="I29">
            <v>2561.0353890227893</v>
          </cell>
          <cell r="J29">
            <v>34.863031544509447</v>
          </cell>
          <cell r="K29">
            <v>30.928134493295598</v>
          </cell>
          <cell r="L29">
            <v>0.83352842955148221</v>
          </cell>
          <cell r="M29">
            <v>6.620423166177411E-2</v>
          </cell>
          <cell r="N29">
            <v>0</v>
          </cell>
          <cell r="O29">
            <v>8.7010888738798305E-3</v>
          </cell>
          <cell r="P29">
            <v>0</v>
          </cell>
          <cell r="Q29">
            <v>1.0338309786753079E-4</v>
          </cell>
          <cell r="R29">
            <v>9.6513885976832973E-3</v>
          </cell>
          <cell r="S29">
            <v>0.17208118644852646</v>
          </cell>
          <cell r="T29">
            <v>0.64944180626929171</v>
          </cell>
          <cell r="U29">
            <v>0.95803990256753901</v>
          </cell>
          <cell r="V29">
            <v>0.96085142928897016</v>
          </cell>
          <cell r="W29">
            <v>0.93882081441669996</v>
          </cell>
          <cell r="X29">
            <v>0.43938309477512943</v>
          </cell>
          <cell r="Y29">
            <v>0.24206426152706176</v>
          </cell>
          <cell r="Z29">
            <v>4.6496650257494422E-2</v>
          </cell>
          <cell r="AA29">
            <v>1.7336970029961744E-4</v>
          </cell>
          <cell r="AC29">
            <v>0</v>
          </cell>
          <cell r="AD29">
            <v>1.578926406597819E-3</v>
          </cell>
          <cell r="AE29">
            <v>6.5656080259327856E-2</v>
          </cell>
          <cell r="AF29">
            <v>0.92567504808621415</v>
          </cell>
          <cell r="AG29">
            <v>3.659772447258415</v>
          </cell>
          <cell r="AH29">
            <v>5.0696983003382101</v>
          </cell>
          <cell r="AI29">
            <v>5.3074920871347837</v>
          </cell>
          <cell r="AJ29">
            <v>4.9531282850810294</v>
          </cell>
          <cell r="AK29">
            <v>2.4439409105695362</v>
          </cell>
          <cell r="AL29">
            <v>1.2840030482266243</v>
          </cell>
          <cell r="AM29">
            <v>0.3439280496954481</v>
          </cell>
          <cell r="AN29">
            <v>2.9578791473947419E-3</v>
          </cell>
        </row>
        <row r="30">
          <cell r="A30" t="str">
            <v>Wheel and Hand_Hub gasket - Montana</v>
          </cell>
          <cell r="C30">
            <v>42.943337563705313</v>
          </cell>
          <cell r="D30">
            <v>28.461673476483401</v>
          </cell>
          <cell r="E30">
            <v>5.6923346952966805</v>
          </cell>
          <cell r="F30">
            <v>34.154008171780085</v>
          </cell>
          <cell r="G30">
            <v>16.270312876177464</v>
          </cell>
          <cell r="H30">
            <v>10.012599151730917</v>
          </cell>
          <cell r="I30">
            <v>6967.0670366725535</v>
          </cell>
          <cell r="J30">
            <v>53.198696774406663</v>
          </cell>
          <cell r="K30">
            <v>43.19336748223941</v>
          </cell>
          <cell r="L30">
            <v>0.81303625049807393</v>
          </cell>
          <cell r="M30">
            <v>0.19968651967122986</v>
          </cell>
          <cell r="N30">
            <v>0</v>
          </cell>
          <cell r="O30">
            <v>1.3122198619052469E-2</v>
          </cell>
          <cell r="P30">
            <v>0</v>
          </cell>
          <cell r="Q30">
            <v>1.559130775164422E-4</v>
          </cell>
          <cell r="R30">
            <v>1.4555355078448497E-2</v>
          </cell>
          <cell r="S30">
            <v>0.25951734776073848</v>
          </cell>
          <cell r="T30">
            <v>0.97942964345125927</v>
          </cell>
          <cell r="U30">
            <v>1.4448294999270854</v>
          </cell>
          <cell r="V30">
            <v>1.4490695913220997</v>
          </cell>
          <cell r="W30">
            <v>1.415845002050105</v>
          </cell>
          <cell r="X30">
            <v>0.66263801267464584</v>
          </cell>
          <cell r="Y30">
            <v>0.36505951891467076</v>
          </cell>
          <cell r="Z30">
            <v>7.0122060427524086E-2</v>
          </cell>
          <cell r="AA30">
            <v>2.6146056830732696E-4</v>
          </cell>
          <cell r="AC30">
            <v>0</v>
          </cell>
          <cell r="AD30">
            <v>2.3811946082335262E-3</v>
          </cell>
          <cell r="AE30">
            <v>9.9016587256990321E-2</v>
          </cell>
          <cell r="AF30">
            <v>1.3960197411788906</v>
          </cell>
          <cell r="AG30">
            <v>5.519339205651228</v>
          </cell>
          <cell r="AH30">
            <v>7.6456623992678328</v>
          </cell>
          <cell r="AI30">
            <v>8.0042815727931664</v>
          </cell>
          <cell r="AJ30">
            <v>7.4698620005588108</v>
          </cell>
          <cell r="AK30">
            <v>3.6857315798708061</v>
          </cell>
          <cell r="AL30">
            <v>1.9364177599516459</v>
          </cell>
          <cell r="AM30">
            <v>0.51868131037197673</v>
          </cell>
          <cell r="AN30">
            <v>4.4608069433452642E-3</v>
          </cell>
        </row>
        <row r="31">
          <cell r="A31" t="str">
            <v>Pivot and Linear_Sprinkler package replacement, high pressure - Washington</v>
          </cell>
          <cell r="C31">
            <v>36.857021047878419</v>
          </cell>
          <cell r="D31">
            <v>8.4091036407101392</v>
          </cell>
          <cell r="E31">
            <v>1.6818207281420279</v>
          </cell>
          <cell r="F31">
            <v>10.090924368852168</v>
          </cell>
          <cell r="G31">
            <v>5.3283288075375985</v>
          </cell>
          <cell r="H31">
            <v>2.8523503599250555</v>
          </cell>
          <cell r="I31">
            <v>2398.3625089047532</v>
          </cell>
          <cell r="J31">
            <v>40.527189424386165</v>
          </cell>
          <cell r="K31">
            <v>36.653127775310246</v>
          </cell>
          <cell r="L31">
            <v>0.74962019051785278</v>
          </cell>
          <cell r="M31">
            <v>6.8554059149053881E-2</v>
          </cell>
          <cell r="N31">
            <v>0</v>
          </cell>
          <cell r="O31">
            <v>1.1262402461834343E-2</v>
          </cell>
          <cell r="P31">
            <v>0</v>
          </cell>
          <cell r="Q31">
            <v>1.3381567213163718E-4</v>
          </cell>
          <cell r="R31">
            <v>1.2492439081845596E-2</v>
          </cell>
          <cell r="S31">
            <v>0.22273621221260786</v>
          </cell>
          <cell r="T31">
            <v>0.84061605435412201</v>
          </cell>
          <cell r="U31">
            <v>1.2400552521193799</v>
          </cell>
          <cell r="V31">
            <v>1.24369439957873</v>
          </cell>
          <cell r="W31">
            <v>1.2151786982947201</v>
          </cell>
          <cell r="X31">
            <v>0.56872298628496376</v>
          </cell>
          <cell r="Y31">
            <v>0.31331999643498226</v>
          </cell>
          <cell r="Z31">
            <v>6.0183730555731348E-2</v>
          </cell>
          <cell r="AA31">
            <v>2.2440402204411042E-4</v>
          </cell>
          <cell r="AC31">
            <v>0</v>
          </cell>
          <cell r="AD31">
            <v>2.0437102650571227E-3</v>
          </cell>
          <cell r="AE31">
            <v>8.498306483994425E-2</v>
          </cell>
          <cell r="AF31">
            <v>1.1981632519259777</v>
          </cell>
          <cell r="AG31">
            <v>4.7370887502931076</v>
          </cell>
          <cell r="AH31">
            <v>6.5620502727984205</v>
          </cell>
          <cell r="AI31">
            <v>6.8698427075896831</v>
          </cell>
          <cell r="AJ31">
            <v>6.4111658897242894</v>
          </cell>
          <cell r="AK31">
            <v>3.1633565093678584</v>
          </cell>
          <cell r="AL31">
            <v>1.6619711970488318</v>
          </cell>
          <cell r="AM31">
            <v>0.4451691242014309</v>
          </cell>
          <cell r="AN31">
            <v>3.8285812125687163E-3</v>
          </cell>
        </row>
        <row r="32">
          <cell r="A32" t="str">
            <v>Pivot and Linear_Sprinkler package replacement, high pressure - Oregon</v>
          </cell>
          <cell r="C32">
            <v>36.857021047878419</v>
          </cell>
          <cell r="D32">
            <v>8.4091036407101392</v>
          </cell>
          <cell r="E32">
            <v>1.6818207281420279</v>
          </cell>
          <cell r="F32">
            <v>10.090924368852168</v>
          </cell>
          <cell r="G32">
            <v>5.3283288075375985</v>
          </cell>
          <cell r="H32">
            <v>2.8523503599250555</v>
          </cell>
          <cell r="I32">
            <v>2398.3625089047532</v>
          </cell>
          <cell r="J32">
            <v>40.527189424386165</v>
          </cell>
          <cell r="K32">
            <v>36.653127775310246</v>
          </cell>
          <cell r="L32">
            <v>0.74962019051785278</v>
          </cell>
          <cell r="M32">
            <v>6.8554059149053881E-2</v>
          </cell>
          <cell r="N32">
            <v>0</v>
          </cell>
          <cell r="O32">
            <v>1.1262402461834343E-2</v>
          </cell>
          <cell r="P32">
            <v>0</v>
          </cell>
          <cell r="Q32">
            <v>1.3381567213163718E-4</v>
          </cell>
          <cell r="R32">
            <v>1.2492439081845596E-2</v>
          </cell>
          <cell r="S32">
            <v>0.22273621221260786</v>
          </cell>
          <cell r="T32">
            <v>0.84061605435412201</v>
          </cell>
          <cell r="U32">
            <v>1.2400552521193799</v>
          </cell>
          <cell r="V32">
            <v>1.24369439957873</v>
          </cell>
          <cell r="W32">
            <v>1.2151786982947201</v>
          </cell>
          <cell r="X32">
            <v>0.56872298628496376</v>
          </cell>
          <cell r="Y32">
            <v>0.31331999643498226</v>
          </cell>
          <cell r="Z32">
            <v>6.0183730555731348E-2</v>
          </cell>
          <cell r="AA32">
            <v>2.2440402204411042E-4</v>
          </cell>
          <cell r="AC32">
            <v>0</v>
          </cell>
          <cell r="AD32">
            <v>2.0437102650571227E-3</v>
          </cell>
          <cell r="AE32">
            <v>8.498306483994425E-2</v>
          </cell>
          <cell r="AF32">
            <v>1.1981632519259777</v>
          </cell>
          <cell r="AG32">
            <v>4.7370887502931076</v>
          </cell>
          <cell r="AH32">
            <v>6.5620502727984205</v>
          </cell>
          <cell r="AI32">
            <v>6.8698427075896831</v>
          </cell>
          <cell r="AJ32">
            <v>6.4111658897242894</v>
          </cell>
          <cell r="AK32">
            <v>3.1633565093678584</v>
          </cell>
          <cell r="AL32">
            <v>1.6619711970488318</v>
          </cell>
          <cell r="AM32">
            <v>0.4451691242014309</v>
          </cell>
          <cell r="AN32">
            <v>3.8285812125687163E-3</v>
          </cell>
        </row>
        <row r="33">
          <cell r="A33" t="str">
            <v>Wheel and Hand_Nozzle replacement - Montana</v>
          </cell>
          <cell r="C33">
            <v>20.895436888512037</v>
          </cell>
          <cell r="D33">
            <v>4.9428547606377915</v>
          </cell>
          <cell r="E33">
            <v>0.9885709521275583</v>
          </cell>
          <cell r="F33">
            <v>5.9314257127653498</v>
          </cell>
          <cell r="G33">
            <v>3.1319813071487563</v>
          </cell>
          <cell r="H33">
            <v>1.6170896408669302</v>
          </cell>
          <cell r="I33">
            <v>2486.6333028141094</v>
          </cell>
          <cell r="J33">
            <v>42.126960354842033</v>
          </cell>
          <cell r="K33">
            <v>38.11031538229102</v>
          </cell>
          <cell r="L33">
            <v>0.73938111841542409</v>
          </cell>
          <cell r="M33">
            <v>3.8865512612632401E-2</v>
          </cell>
          <cell r="N33">
            <v>0</v>
          </cell>
          <cell r="O33">
            <v>6.3850200901634851E-3</v>
          </cell>
          <cell r="P33">
            <v>0</v>
          </cell>
          <cell r="Q33">
            <v>7.5864431042546143E-5</v>
          </cell>
          <cell r="R33">
            <v>7.082367619433848E-3</v>
          </cell>
          <cell r="S33">
            <v>0.12627636018192734</v>
          </cell>
          <cell r="T33">
            <v>0.47657241990363325</v>
          </cell>
          <cell r="U33">
            <v>0.70302741573358707</v>
          </cell>
          <cell r="V33">
            <v>0.70509056608874077</v>
          </cell>
          <cell r="W33">
            <v>0.68892409306484481</v>
          </cell>
          <cell r="X33">
            <v>0.32242744880347879</v>
          </cell>
          <cell r="Y33">
            <v>0.17763123620086624</v>
          </cell>
          <cell r="Z33">
            <v>3.4120102704689056E-2</v>
          </cell>
          <cell r="AA33">
            <v>1.2722189549881936E-4</v>
          </cell>
          <cell r="AC33">
            <v>0</v>
          </cell>
          <cell r="AD33">
            <v>1.1586454262386319E-3</v>
          </cell>
          <cell r="AE33">
            <v>4.8179647119299639E-2</v>
          </cell>
          <cell r="AF33">
            <v>0.67927748637717866</v>
          </cell>
          <cell r="AG33">
            <v>2.6856087714860974</v>
          </cell>
          <cell r="AH33">
            <v>3.7202384630158654</v>
          </cell>
          <cell r="AI33">
            <v>3.8947359458044941</v>
          </cell>
          <cell r="AJ33">
            <v>3.6346972278766496</v>
          </cell>
          <cell r="AK33">
            <v>1.7934090823969262</v>
          </cell>
          <cell r="AL33">
            <v>0.9422252062462243</v>
          </cell>
          <cell r="AM33">
            <v>0.2523807696607272</v>
          </cell>
          <cell r="AN33">
            <v>2.1705464746011398E-3</v>
          </cell>
        </row>
        <row r="34">
          <cell r="A34" t="str">
            <v>Wheel and Hand_Drains - Washington</v>
          </cell>
          <cell r="C34">
            <v>25.400713640160003</v>
          </cell>
          <cell r="D34">
            <v>9.9983998095375899</v>
          </cell>
          <cell r="E34">
            <v>1.9996799619075181</v>
          </cell>
          <cell r="F34">
            <v>11.998079771445108</v>
          </cell>
          <cell r="G34">
            <v>6.2312466179483295</v>
          </cell>
          <cell r="H34">
            <v>2.6452951786542829</v>
          </cell>
          <cell r="I34">
            <v>4137.8041690799155</v>
          </cell>
          <cell r="J34">
            <v>58.137094396685256</v>
          </cell>
          <cell r="K34">
            <v>51.779189832033595</v>
          </cell>
          <cell r="L34">
            <v>0.69501670317484909</v>
          </cell>
          <cell r="M34">
            <v>5.9056659213372026E-2</v>
          </cell>
          <cell r="N34">
            <v>0</v>
          </cell>
          <cell r="O34">
            <v>7.7616978176741243E-3</v>
          </cell>
          <cell r="P34">
            <v>0</v>
          </cell>
          <cell r="Q34">
            <v>9.2221603150342263E-5</v>
          </cell>
          <cell r="R34">
            <v>8.6094008349969151E-3</v>
          </cell>
          <cell r="S34">
            <v>0.15350287632733223</v>
          </cell>
          <cell r="T34">
            <v>0.57932646401978594</v>
          </cell>
          <cell r="U34">
            <v>0.85460754726062993</v>
          </cell>
          <cell r="V34">
            <v>0.85711553460961265</v>
          </cell>
          <cell r="W34">
            <v>0.83746339935911129</v>
          </cell>
          <cell r="X34">
            <v>0.39194621009753461</v>
          </cell>
          <cell r="Y34">
            <v>0.21593040568423943</v>
          </cell>
          <cell r="Z34">
            <v>4.1476756997176685E-2</v>
          </cell>
          <cell r="AA34">
            <v>1.5465227903899492E-4</v>
          </cell>
          <cell r="AC34">
            <v>0</v>
          </cell>
          <cell r="AD34">
            <v>1.408461610034532E-3</v>
          </cell>
          <cell r="AE34">
            <v>5.856768759087843E-2</v>
          </cell>
          <cell r="AF34">
            <v>0.82573688244635057</v>
          </cell>
          <cell r="AG34">
            <v>3.2646543701378401</v>
          </cell>
          <cell r="AH34">
            <v>4.5223611440317715</v>
          </cell>
          <cell r="AI34">
            <v>4.7344821259902554</v>
          </cell>
          <cell r="AJ34">
            <v>4.4183763156795397</v>
          </cell>
          <cell r="AK34">
            <v>2.1800870106081005</v>
          </cell>
          <cell r="AL34">
            <v>1.145378906222301</v>
          </cell>
          <cell r="AM34">
            <v>0.30679672756494419</v>
          </cell>
          <cell r="AN34">
            <v>2.6385392053857376E-3</v>
          </cell>
        </row>
        <row r="35">
          <cell r="A35" t="str">
            <v>Wheel and Hand_Drains - Oregon</v>
          </cell>
          <cell r="C35">
            <v>25.400713640160003</v>
          </cell>
          <cell r="D35">
            <v>9.9983998095375899</v>
          </cell>
          <cell r="E35">
            <v>1.9996799619075181</v>
          </cell>
          <cell r="F35">
            <v>11.998079771445108</v>
          </cell>
          <cell r="G35">
            <v>6.2312466179483295</v>
          </cell>
          <cell r="H35">
            <v>2.6452951786542829</v>
          </cell>
          <cell r="I35">
            <v>4137.8041690799155</v>
          </cell>
          <cell r="J35">
            <v>58.137094396685256</v>
          </cell>
          <cell r="K35">
            <v>51.779189832033595</v>
          </cell>
          <cell r="L35">
            <v>0.69501670317484909</v>
          </cell>
          <cell r="M35">
            <v>5.9056659213372026E-2</v>
          </cell>
          <cell r="N35">
            <v>0</v>
          </cell>
          <cell r="O35">
            <v>7.7616978176741243E-3</v>
          </cell>
          <cell r="P35">
            <v>0</v>
          </cell>
          <cell r="Q35">
            <v>9.2221603150342263E-5</v>
          </cell>
          <cell r="R35">
            <v>8.6094008349969151E-3</v>
          </cell>
          <cell r="S35">
            <v>0.15350287632733223</v>
          </cell>
          <cell r="T35">
            <v>0.57932646401978594</v>
          </cell>
          <cell r="U35">
            <v>0.85460754726062993</v>
          </cell>
          <cell r="V35">
            <v>0.85711553460961265</v>
          </cell>
          <cell r="W35">
            <v>0.83746339935911129</v>
          </cell>
          <cell r="X35">
            <v>0.39194621009753461</v>
          </cell>
          <cell r="Y35">
            <v>0.21593040568423943</v>
          </cell>
          <cell r="Z35">
            <v>4.1476756997176685E-2</v>
          </cell>
          <cell r="AA35">
            <v>1.5465227903899492E-4</v>
          </cell>
          <cell r="AC35">
            <v>0</v>
          </cell>
          <cell r="AD35">
            <v>1.408461610034532E-3</v>
          </cell>
          <cell r="AE35">
            <v>5.856768759087843E-2</v>
          </cell>
          <cell r="AF35">
            <v>0.82573688244635057</v>
          </cell>
          <cell r="AG35">
            <v>3.2646543701378401</v>
          </cell>
          <cell r="AH35">
            <v>4.5223611440317715</v>
          </cell>
          <cell r="AI35">
            <v>4.7344821259902554</v>
          </cell>
          <cell r="AJ35">
            <v>4.4183763156795397</v>
          </cell>
          <cell r="AK35">
            <v>2.1800870106081005</v>
          </cell>
          <cell r="AL35">
            <v>1.145378906222301</v>
          </cell>
          <cell r="AM35">
            <v>0.30679672756494419</v>
          </cell>
          <cell r="AN35">
            <v>2.6385392053857376E-3</v>
          </cell>
        </row>
        <row r="36">
          <cell r="A36" t="str">
            <v>Wheel and Hand_Cut and press repair - Montana</v>
          </cell>
          <cell r="C36">
            <v>37.520627119914572</v>
          </cell>
          <cell r="D36">
            <v>30.388468755978995</v>
          </cell>
          <cell r="E36">
            <v>6.0776937511957989</v>
          </cell>
          <cell r="F36">
            <v>36.466162507174793</v>
          </cell>
          <cell r="G36">
            <v>17.994623319961022</v>
          </cell>
          <cell r="H36">
            <v>6.8513796330302057</v>
          </cell>
          <cell r="I36">
            <v>8513.8124835152939</v>
          </cell>
          <cell r="J36">
            <v>79.880545222318347</v>
          </cell>
          <cell r="K36">
            <v>67.55996989882523</v>
          </cell>
          <cell r="L36">
            <v>0.68817928661088512</v>
          </cell>
          <cell r="M36">
            <v>0.13957673288608224</v>
          </cell>
          <cell r="N36">
            <v>0</v>
          </cell>
          <cell r="O36">
            <v>1.146518061500303E-2</v>
          </cell>
          <cell r="P36">
            <v>0</v>
          </cell>
          <cell r="Q36">
            <v>1.3622500663658263E-4</v>
          </cell>
          <cell r="R36">
            <v>1.2717363891110171E-2</v>
          </cell>
          <cell r="S36">
            <v>0.22674654996330701</v>
          </cell>
          <cell r="T36">
            <v>0.8557512416823605</v>
          </cell>
          <cell r="U36">
            <v>1.2623822924381773</v>
          </cell>
          <cell r="V36">
            <v>1.2660869622941402</v>
          </cell>
          <cell r="W36">
            <v>1.2370578393612166</v>
          </cell>
          <cell r="X36">
            <v>0.57896277279714481</v>
          </cell>
          <cell r="Y36">
            <v>0.31896128393498141</v>
          </cell>
          <cell r="Z36">
            <v>6.1267331126235683E-2</v>
          </cell>
          <cell r="AA36">
            <v>2.2844438850303723E-4</v>
          </cell>
          <cell r="AC36">
            <v>0</v>
          </cell>
          <cell r="AD36">
            <v>2.0805070137583474E-3</v>
          </cell>
          <cell r="AE36">
            <v>8.651317433454421E-2</v>
          </cell>
          <cell r="AF36">
            <v>1.2197360320005202</v>
          </cell>
          <cell r="AG36">
            <v>4.8223794430592184</v>
          </cell>
          <cell r="AH36">
            <v>6.6801991704095096</v>
          </cell>
          <cell r="AI36">
            <v>6.9935333696420425</v>
          </cell>
          <cell r="AJ36">
            <v>6.5265981328164644</v>
          </cell>
          <cell r="AK36">
            <v>3.2203123492037653</v>
          </cell>
          <cell r="AL36">
            <v>1.6918947813905536</v>
          </cell>
          <cell r="AM36">
            <v>0.45318433882008741</v>
          </cell>
          <cell r="AN36">
            <v>3.8975143403069492E-3</v>
          </cell>
        </row>
        <row r="37">
          <cell r="A37" t="str">
            <v>Pivot and Linear_Sprinkler package replacement, high pressure - Idaho</v>
          </cell>
          <cell r="C37">
            <v>28.439527285335735</v>
          </cell>
          <cell r="D37">
            <v>8.4091036407101392</v>
          </cell>
          <cell r="E37">
            <v>1.6818207281420279</v>
          </cell>
          <cell r="F37">
            <v>10.090924368852168</v>
          </cell>
          <cell r="G37">
            <v>5.3283628018223563</v>
          </cell>
          <cell r="H37">
            <v>2.2009238289510442</v>
          </cell>
          <cell r="I37">
            <v>3108.2266798690721</v>
          </cell>
          <cell r="J37">
            <v>53.392374101971001</v>
          </cell>
          <cell r="K37">
            <v>48.37200015777475</v>
          </cell>
          <cell r="L37">
            <v>0.68374216869714155</v>
          </cell>
          <cell r="M37">
            <v>5.2897520750724479E-2</v>
          </cell>
          <cell r="N37">
            <v>0</v>
          </cell>
          <cell r="O37">
            <v>8.6902683126694868E-3</v>
          </cell>
          <cell r="P37">
            <v>0</v>
          </cell>
          <cell r="Q37">
            <v>1.0325453198861548E-4</v>
          </cell>
          <cell r="R37">
            <v>9.6393862560683816E-3</v>
          </cell>
          <cell r="S37">
            <v>0.17186718851814048</v>
          </cell>
          <cell r="T37">
            <v>0.64863416886676062</v>
          </cell>
          <cell r="U37">
            <v>0.95684849657709981</v>
          </cell>
          <cell r="V37">
            <v>0.95965652692038517</v>
          </cell>
          <cell r="W37">
            <v>0.93765330903488087</v>
          </cell>
          <cell r="X37">
            <v>0.43883668366030021</v>
          </cell>
          <cell r="Y37">
            <v>0.2417632335526719</v>
          </cell>
          <cell r="Z37">
            <v>4.6438827626616865E-2</v>
          </cell>
          <cell r="AA37">
            <v>1.7315409999012714E-4</v>
          </cell>
          <cell r="AC37">
            <v>0</v>
          </cell>
          <cell r="AD37">
            <v>1.5769628742081537E-3</v>
          </cell>
          <cell r="AE37">
            <v>6.5574431209930131E-2</v>
          </cell>
          <cell r="AF37">
            <v>0.92452389060881224</v>
          </cell>
          <cell r="AG37">
            <v>3.6552212017355274</v>
          </cell>
          <cell r="AH37">
            <v>5.0633936893209084</v>
          </cell>
          <cell r="AI37">
            <v>5.3008917588500495</v>
          </cell>
          <cell r="AJ37">
            <v>4.9469686390219829</v>
          </cell>
          <cell r="AK37">
            <v>2.4409016573679438</v>
          </cell>
          <cell r="AL37">
            <v>1.2824062786982366</v>
          </cell>
          <cell r="AM37">
            <v>0.34350034523596884</v>
          </cell>
          <cell r="AN37">
            <v>2.9542007672711617E-3</v>
          </cell>
        </row>
        <row r="38">
          <cell r="A38" t="str">
            <v>Wheel and Hand_Gaskets - Montana</v>
          </cell>
          <cell r="C38">
            <v>13.051189145451847</v>
          </cell>
          <cell r="D38">
            <v>6.9373406404505005</v>
          </cell>
          <cell r="E38">
            <v>1.3874681280901002</v>
          </cell>
          <cell r="F38">
            <v>8.3248087685406009</v>
          </cell>
          <cell r="G38">
            <v>4.3235198858648083</v>
          </cell>
          <cell r="H38">
            <v>1.3591841635340527</v>
          </cell>
          <cell r="I38">
            <v>5587.6383369885571</v>
          </cell>
          <cell r="J38">
            <v>79.537525440173624</v>
          </cell>
          <cell r="K38">
            <v>70.951891650679499</v>
          </cell>
          <cell r="L38">
            <v>0.63664050156638241</v>
          </cell>
          <cell r="M38">
            <v>3.0344014763175546E-2</v>
          </cell>
          <cell r="N38">
            <v>0</v>
          </cell>
          <cell r="O38">
            <v>3.9880527666807603E-3</v>
          </cell>
          <cell r="P38">
            <v>0</v>
          </cell>
          <cell r="Q38">
            <v>4.7384557893245597E-5</v>
          </cell>
          <cell r="R38">
            <v>4.4236126716102773E-3</v>
          </cell>
          <cell r="S38">
            <v>7.8871605802107531E-2</v>
          </cell>
          <cell r="T38">
            <v>0.29766483595696341</v>
          </cell>
          <cell r="U38">
            <v>0.43910753463220026</v>
          </cell>
          <cell r="V38">
            <v>0.44039616839775803</v>
          </cell>
          <cell r="W38">
            <v>0.43029866728421534</v>
          </cell>
          <cell r="X38">
            <v>0.20138663012751915</v>
          </cell>
          <cell r="Y38">
            <v>0.11094761378607501</v>
          </cell>
          <cell r="Z38">
            <v>2.131125165925403E-2</v>
          </cell>
          <cell r="AA38">
            <v>7.946218260269347E-5</v>
          </cell>
          <cell r="AC38">
            <v>0</v>
          </cell>
          <cell r="AD38">
            <v>7.2368434749821959E-4</v>
          </cell>
          <cell r="AE38">
            <v>3.0092775320759553E-2</v>
          </cell>
          <cell r="AF38">
            <v>0.42427344325256422</v>
          </cell>
          <cell r="AG38">
            <v>1.6774182915801938</v>
          </cell>
          <cell r="AH38">
            <v>2.3236430090484994</v>
          </cell>
          <cell r="AI38">
            <v>2.4326332955608478</v>
          </cell>
          <cell r="AJ38">
            <v>2.2702143659675182</v>
          </cell>
          <cell r="AK38">
            <v>1.1201546669934341</v>
          </cell>
          <cell r="AL38">
            <v>0.58850932143431867</v>
          </cell>
          <cell r="AM38">
            <v>0.15763581202400126</v>
          </cell>
          <cell r="AN38">
            <v>1.3557128640170979E-3</v>
          </cell>
        </row>
        <row r="39">
          <cell r="A39" t="str">
            <v>Wheel and Hand_Drains - Idaho</v>
          </cell>
          <cell r="C39">
            <v>18.51370787224203</v>
          </cell>
          <cell r="D39">
            <v>9.9983998095375899</v>
          </cell>
          <cell r="E39">
            <v>1.9996799619075181</v>
          </cell>
          <cell r="F39">
            <v>11.998079771445108</v>
          </cell>
          <cell r="G39">
            <v>6.2312904240048201</v>
          </cell>
          <cell r="H39">
            <v>1.9280648121643555</v>
          </cell>
          <cell r="I39">
            <v>5677.0464092415777</v>
          </cell>
          <cell r="J39">
            <v>80.857242775668567</v>
          </cell>
          <cell r="K39">
            <v>72.134757615534753</v>
          </cell>
          <cell r="L39">
            <v>0.63401290946095423</v>
          </cell>
          <cell r="M39">
            <v>4.3044370802962743E-2</v>
          </cell>
          <cell r="N39">
            <v>0</v>
          </cell>
          <cell r="O39">
            <v>5.6572349905099767E-3</v>
          </cell>
          <cell r="P39">
            <v>0</v>
          </cell>
          <cell r="Q39">
            <v>6.7217159502787772E-5</v>
          </cell>
          <cell r="R39">
            <v>6.2750966083945604E-3</v>
          </cell>
          <cell r="S39">
            <v>0.11188297502712305</v>
          </cell>
          <cell r="T39">
            <v>0.42225116465088769</v>
          </cell>
          <cell r="U39">
            <v>0.62289409264396212</v>
          </cell>
          <cell r="V39">
            <v>0.62472207849444361</v>
          </cell>
          <cell r="W39">
            <v>0.61039831199528782</v>
          </cell>
          <cell r="X39">
            <v>0.28567613249674217</v>
          </cell>
          <cell r="Y39">
            <v>0.15738425731677738</v>
          </cell>
          <cell r="Z39">
            <v>3.0230983798802541E-2</v>
          </cell>
          <cell r="AA39">
            <v>1.1272073519137455E-4</v>
          </cell>
          <cell r="AC39">
            <v>0</v>
          </cell>
          <cell r="AD39">
            <v>1.0265792987886597E-3</v>
          </cell>
          <cell r="AE39">
            <v>4.2687976179374289E-2</v>
          </cell>
          <cell r="AF39">
            <v>0.60185125652443261</v>
          </cell>
          <cell r="AG39">
            <v>2.3794944570773704</v>
          </cell>
          <cell r="AH39">
            <v>3.2961937329590349</v>
          </cell>
          <cell r="AI39">
            <v>3.4508014321436535</v>
          </cell>
          <cell r="AJ39">
            <v>3.2204027625740661</v>
          </cell>
          <cell r="AK39">
            <v>1.5889905544485929</v>
          </cell>
          <cell r="AL39">
            <v>0.83482735064975155</v>
          </cell>
          <cell r="AM39">
            <v>0.22361359884459614</v>
          </cell>
          <cell r="AN39">
            <v>1.923140615259558E-3</v>
          </cell>
        </row>
        <row r="40">
          <cell r="A40" t="str">
            <v>Pivot and Linear_Sprinkler package replacement, MESA - Washington</v>
          </cell>
          <cell r="C40">
            <v>36.857021047878419</v>
          </cell>
          <cell r="D40">
            <v>27.554783113802586</v>
          </cell>
          <cell r="E40">
            <v>5.5109566227605171</v>
          </cell>
          <cell r="F40">
            <v>33.065739736563103</v>
          </cell>
          <cell r="G40">
            <v>17.172812885757466</v>
          </cell>
          <cell r="H40">
            <v>3.8383842855250609</v>
          </cell>
          <cell r="I40">
            <v>7858.9064405400741</v>
          </cell>
          <cell r="J40">
            <v>113.06281923390605</v>
          </cell>
          <cell r="K40">
            <v>100.98728953512128</v>
          </cell>
          <cell r="L40">
            <v>0.5884907867836493</v>
          </cell>
          <cell r="M40">
            <v>8.5692573936317337E-2</v>
          </cell>
          <cell r="N40">
            <v>0</v>
          </cell>
          <cell r="O40">
            <v>1.1262402461834343E-2</v>
          </cell>
          <cell r="P40">
            <v>0</v>
          </cell>
          <cell r="Q40">
            <v>1.3381567213163718E-4</v>
          </cell>
          <cell r="R40">
            <v>1.2492439081845596E-2</v>
          </cell>
          <cell r="S40">
            <v>0.22273621221260786</v>
          </cell>
          <cell r="T40">
            <v>0.84061605435412201</v>
          </cell>
          <cell r="U40">
            <v>1.2400552521193799</v>
          </cell>
          <cell r="V40">
            <v>1.24369439957873</v>
          </cell>
          <cell r="W40">
            <v>1.2151786982947201</v>
          </cell>
          <cell r="X40">
            <v>0.56872298628496376</v>
          </cell>
          <cell r="Y40">
            <v>0.31331999643498226</v>
          </cell>
          <cell r="Z40">
            <v>6.0183730555731348E-2</v>
          </cell>
          <cell r="AA40">
            <v>2.2440402204411042E-4</v>
          </cell>
          <cell r="AC40">
            <v>0</v>
          </cell>
          <cell r="AD40">
            <v>2.0437102650571227E-3</v>
          </cell>
          <cell r="AE40">
            <v>8.498306483994425E-2</v>
          </cell>
          <cell r="AF40">
            <v>1.1981632519259777</v>
          </cell>
          <cell r="AG40">
            <v>4.7370887502931076</v>
          </cell>
          <cell r="AH40">
            <v>6.5620502727984205</v>
          </cell>
          <cell r="AI40">
            <v>6.8698427075896831</v>
          </cell>
          <cell r="AJ40">
            <v>6.4111658897242894</v>
          </cell>
          <cell r="AK40">
            <v>3.1633565093678584</v>
          </cell>
          <cell r="AL40">
            <v>1.6619711970488318</v>
          </cell>
          <cell r="AM40">
            <v>0.4451691242014309</v>
          </cell>
          <cell r="AN40">
            <v>3.8285812125687163E-3</v>
          </cell>
        </row>
        <row r="41">
          <cell r="A41" t="str">
            <v>Pivot and Linear_Sprinkler package replacement, MESA - Oregon</v>
          </cell>
          <cell r="C41">
            <v>36.857021047878419</v>
          </cell>
          <cell r="D41">
            <v>27.554783113802586</v>
          </cell>
          <cell r="E41">
            <v>5.5109566227605171</v>
          </cell>
          <cell r="F41">
            <v>33.065739736563103</v>
          </cell>
          <cell r="G41">
            <v>17.172812885757466</v>
          </cell>
          <cell r="H41">
            <v>3.8383842855250609</v>
          </cell>
          <cell r="I41">
            <v>7858.9064405400741</v>
          </cell>
          <cell r="J41">
            <v>113.06281923390605</v>
          </cell>
          <cell r="K41">
            <v>100.98728953512128</v>
          </cell>
          <cell r="L41">
            <v>0.5884907867836493</v>
          </cell>
          <cell r="M41">
            <v>8.5692573936317337E-2</v>
          </cell>
          <cell r="N41">
            <v>0</v>
          </cell>
          <cell r="O41">
            <v>1.1262402461834343E-2</v>
          </cell>
          <cell r="P41">
            <v>0</v>
          </cell>
          <cell r="Q41">
            <v>1.3381567213163718E-4</v>
          </cell>
          <cell r="R41">
            <v>1.2492439081845596E-2</v>
          </cell>
          <cell r="S41">
            <v>0.22273621221260786</v>
          </cell>
          <cell r="T41">
            <v>0.84061605435412201</v>
          </cell>
          <cell r="U41">
            <v>1.2400552521193799</v>
          </cell>
          <cell r="V41">
            <v>1.24369439957873</v>
          </cell>
          <cell r="W41">
            <v>1.2151786982947201</v>
          </cell>
          <cell r="X41">
            <v>0.56872298628496376</v>
          </cell>
          <cell r="Y41">
            <v>0.31331999643498226</v>
          </cell>
          <cell r="Z41">
            <v>6.0183730555731348E-2</v>
          </cell>
          <cell r="AA41">
            <v>2.2440402204411042E-4</v>
          </cell>
          <cell r="AC41">
            <v>0</v>
          </cell>
          <cell r="AD41">
            <v>2.0437102650571227E-3</v>
          </cell>
          <cell r="AE41">
            <v>8.498306483994425E-2</v>
          </cell>
          <cell r="AF41">
            <v>1.1981632519259777</v>
          </cell>
          <cell r="AG41">
            <v>4.7370887502931076</v>
          </cell>
          <cell r="AH41">
            <v>6.5620502727984205</v>
          </cell>
          <cell r="AI41">
            <v>6.8698427075896831</v>
          </cell>
          <cell r="AJ41">
            <v>6.4111658897242894</v>
          </cell>
          <cell r="AK41">
            <v>3.1633565093678584</v>
          </cell>
          <cell r="AL41">
            <v>1.6619711970488318</v>
          </cell>
          <cell r="AM41">
            <v>0.4451691242014309</v>
          </cell>
          <cell r="AN41">
            <v>3.8285812125687163E-3</v>
          </cell>
        </row>
        <row r="42">
          <cell r="A42" t="str">
            <v>Pivot and Linear_Sprinkler package replacement, MESA - Idaho</v>
          </cell>
          <cell r="C42">
            <v>28.439527285335735</v>
          </cell>
          <cell r="D42">
            <v>27.554783113802578</v>
          </cell>
          <cell r="E42">
            <v>5.5109566227605162</v>
          </cell>
          <cell r="F42">
            <v>33.065739736563096</v>
          </cell>
          <cell r="G42">
            <v>17.172933611714473</v>
          </cell>
          <cell r="H42">
            <v>2.9617649912072177</v>
          </cell>
          <cell r="I42">
            <v>10184.97519969848</v>
          </cell>
          <cell r="J42">
            <v>147.39700391834273</v>
          </cell>
          <cell r="K42">
            <v>131.74832172841332</v>
          </cell>
          <cell r="L42">
            <v>0.56143401466727194</v>
          </cell>
          <cell r="M42">
            <v>6.6121900938405601E-2</v>
          </cell>
          <cell r="N42">
            <v>0</v>
          </cell>
          <cell r="O42">
            <v>8.6902683126694868E-3</v>
          </cell>
          <cell r="P42">
            <v>0</v>
          </cell>
          <cell r="Q42">
            <v>1.0325453198861548E-4</v>
          </cell>
          <cell r="R42">
            <v>9.6393862560683816E-3</v>
          </cell>
          <cell r="S42">
            <v>0.17186718851814048</v>
          </cell>
          <cell r="T42">
            <v>0.64863416886676062</v>
          </cell>
          <cell r="U42">
            <v>0.95684849657709981</v>
          </cell>
          <cell r="V42">
            <v>0.95965652692038517</v>
          </cell>
          <cell r="W42">
            <v>0.93765330903488087</v>
          </cell>
          <cell r="X42">
            <v>0.43883668366030021</v>
          </cell>
          <cell r="Y42">
            <v>0.2417632335526719</v>
          </cell>
          <cell r="Z42">
            <v>4.6438827626616865E-2</v>
          </cell>
          <cell r="AA42">
            <v>1.7315409999012714E-4</v>
          </cell>
          <cell r="AC42">
            <v>0</v>
          </cell>
          <cell r="AD42">
            <v>1.5769628742081537E-3</v>
          </cell>
          <cell r="AE42">
            <v>6.5574431209930131E-2</v>
          </cell>
          <cell r="AF42">
            <v>0.92452389060881224</v>
          </cell>
          <cell r="AG42">
            <v>3.6552212017355274</v>
          </cell>
          <cell r="AH42">
            <v>5.0633936893209084</v>
          </cell>
          <cell r="AI42">
            <v>5.3008917588500495</v>
          </cell>
          <cell r="AJ42">
            <v>4.9469686390219829</v>
          </cell>
          <cell r="AK42">
            <v>2.4409016573679438</v>
          </cell>
          <cell r="AL42">
            <v>1.2824062786982366</v>
          </cell>
          <cell r="AM42">
            <v>0.34350034523596884</v>
          </cell>
          <cell r="AN42">
            <v>2.9542007672711617E-3</v>
          </cell>
        </row>
        <row r="43">
          <cell r="A43" t="str">
            <v>Pivot and Linear_Sprinkler package replacement, high pressure - Montana</v>
          </cell>
          <cell r="C43">
            <v>12.31274854463787</v>
          </cell>
          <cell r="D43">
            <v>8.4091036407101392</v>
          </cell>
          <cell r="E43">
            <v>1.6818207281420279</v>
          </cell>
          <cell r="F43">
            <v>10.090924368852168</v>
          </cell>
          <cell r="G43">
            <v>5.3283288075375985</v>
          </cell>
          <cell r="H43">
            <v>0.95287876622861611</v>
          </cell>
          <cell r="I43">
            <v>7179.2660388277918</v>
          </cell>
          <cell r="J43">
            <v>127.17363441205519</v>
          </cell>
          <cell r="K43">
            <v>115.57700582639693</v>
          </cell>
          <cell r="L43">
            <v>0.55753881912907888</v>
          </cell>
          <cell r="M43">
            <v>2.2901712293026438E-2</v>
          </cell>
          <cell r="N43">
            <v>0</v>
          </cell>
          <cell r="O43">
            <v>3.7624074213957401E-3</v>
          </cell>
          <cell r="P43">
            <v>0</v>
          </cell>
          <cell r="Q43">
            <v>4.4703523926912599E-5</v>
          </cell>
          <cell r="R43">
            <v>4.1733232027666989E-3</v>
          </cell>
          <cell r="S43">
            <v>7.4409024245240887E-2</v>
          </cell>
          <cell r="T43">
            <v>0.280822861033793</v>
          </cell>
          <cell r="U43">
            <v>0.41426268501106478</v>
          </cell>
          <cell r="V43">
            <v>0.41547840745172621</v>
          </cell>
          <cell r="W43">
            <v>0.40595222629270294</v>
          </cell>
          <cell r="X43">
            <v>0.18999210795104057</v>
          </cell>
          <cell r="Y43">
            <v>0.10467016108272367</v>
          </cell>
          <cell r="Z43">
            <v>2.0105453987948226E-2</v>
          </cell>
          <cell r="AA43">
            <v>7.4966186015013058E-5</v>
          </cell>
          <cell r="AC43">
            <v>0</v>
          </cell>
          <cell r="AD43">
            <v>6.827380476315529E-4</v>
          </cell>
          <cell r="AE43">
            <v>2.8390116134660352E-2</v>
          </cell>
          <cell r="AF43">
            <v>0.40026791143065971</v>
          </cell>
          <cell r="AG43">
            <v>1.5825094095429968</v>
          </cell>
          <cell r="AH43">
            <v>2.1921705186450535</v>
          </cell>
          <cell r="AI43">
            <v>2.2949940986789263</v>
          </cell>
          <cell r="AJ43">
            <v>2.1417648858704661</v>
          </cell>
          <cell r="AK43">
            <v>1.0567759452478016</v>
          </cell>
          <cell r="AL43">
            <v>0.5552112692751382</v>
          </cell>
          <cell r="AM43">
            <v>0.14871672561405766</v>
          </cell>
          <cell r="AN43">
            <v>1.2790061815317782E-3</v>
          </cell>
        </row>
        <row r="44">
          <cell r="A44" t="str">
            <v>Pivot and Linear_Sprinkler package replacement, LESA/LEPA/MDI - Washington</v>
          </cell>
          <cell r="C44">
            <v>36.857021047878419</v>
          </cell>
          <cell r="D44">
            <v>37.921401277472171</v>
          </cell>
          <cell r="E44">
            <v>7.5842802554944342</v>
          </cell>
          <cell r="F44">
            <v>45.505681532966605</v>
          </cell>
          <cell r="G44">
            <v>23.633542162687164</v>
          </cell>
          <cell r="H44">
            <v>3.8383842855250609</v>
          </cell>
          <cell r="I44">
            <v>10815.572145967928</v>
          </cell>
          <cell r="J44">
            <v>156.70499704168049</v>
          </cell>
          <cell r="K44">
            <v>140.08643011431926</v>
          </cell>
          <cell r="L44">
            <v>0.55610858828546228</v>
          </cell>
          <cell r="M44">
            <v>8.5692573936317337E-2</v>
          </cell>
          <cell r="N44">
            <v>0</v>
          </cell>
          <cell r="O44">
            <v>1.1262402461834343E-2</v>
          </cell>
          <cell r="P44">
            <v>0</v>
          </cell>
          <cell r="Q44">
            <v>1.3381567213163718E-4</v>
          </cell>
          <cell r="R44">
            <v>1.2492439081845596E-2</v>
          </cell>
          <cell r="S44">
            <v>0.22273621221260786</v>
          </cell>
          <cell r="T44">
            <v>0.84061605435412201</v>
          </cell>
          <cell r="U44">
            <v>1.2400552521193799</v>
          </cell>
          <cell r="V44">
            <v>1.24369439957873</v>
          </cell>
          <cell r="W44">
            <v>1.2151786982947201</v>
          </cell>
          <cell r="X44">
            <v>0.56872298628496376</v>
          </cell>
          <cell r="Y44">
            <v>0.31331999643498226</v>
          </cell>
          <cell r="Z44">
            <v>6.0183730555731348E-2</v>
          </cell>
          <cell r="AA44">
            <v>2.2440402204411042E-4</v>
          </cell>
          <cell r="AC44">
            <v>0</v>
          </cell>
          <cell r="AD44">
            <v>2.0437102650571227E-3</v>
          </cell>
          <cell r="AE44">
            <v>8.498306483994425E-2</v>
          </cell>
          <cell r="AF44">
            <v>1.1981632519259777</v>
          </cell>
          <cell r="AG44">
            <v>4.7370887502931076</v>
          </cell>
          <cell r="AH44">
            <v>6.5620502727984205</v>
          </cell>
          <cell r="AI44">
            <v>6.8698427075896831</v>
          </cell>
          <cell r="AJ44">
            <v>6.4111658897242894</v>
          </cell>
          <cell r="AK44">
            <v>3.1633565093678584</v>
          </cell>
          <cell r="AL44">
            <v>1.6619711970488318</v>
          </cell>
          <cell r="AM44">
            <v>0.4451691242014309</v>
          </cell>
          <cell r="AN44">
            <v>3.8285812125687163E-3</v>
          </cell>
        </row>
        <row r="45">
          <cell r="A45" t="str">
            <v>Pivot and Linear_Sprinkler package replacement, LESA/LEPA/MDI - Oregon</v>
          </cell>
          <cell r="C45">
            <v>36.857021047878419</v>
          </cell>
          <cell r="D45">
            <v>37.921401277472171</v>
          </cell>
          <cell r="E45">
            <v>7.5842802554944342</v>
          </cell>
          <cell r="F45">
            <v>45.505681532966605</v>
          </cell>
          <cell r="G45">
            <v>23.633542162687164</v>
          </cell>
          <cell r="H45">
            <v>3.8383842855250609</v>
          </cell>
          <cell r="I45">
            <v>10815.572145967928</v>
          </cell>
          <cell r="J45">
            <v>156.70499704168049</v>
          </cell>
          <cell r="K45">
            <v>140.08643011431926</v>
          </cell>
          <cell r="L45">
            <v>0.55610858828546228</v>
          </cell>
          <cell r="M45">
            <v>8.5692573936317337E-2</v>
          </cell>
          <cell r="N45">
            <v>0</v>
          </cell>
          <cell r="O45">
            <v>1.1262402461834343E-2</v>
          </cell>
          <cell r="P45">
            <v>0</v>
          </cell>
          <cell r="Q45">
            <v>1.3381567213163718E-4</v>
          </cell>
          <cell r="R45">
            <v>1.2492439081845596E-2</v>
          </cell>
          <cell r="S45">
            <v>0.22273621221260786</v>
          </cell>
          <cell r="T45">
            <v>0.84061605435412201</v>
          </cell>
          <cell r="U45">
            <v>1.2400552521193799</v>
          </cell>
          <cell r="V45">
            <v>1.24369439957873</v>
          </cell>
          <cell r="W45">
            <v>1.2151786982947201</v>
          </cell>
          <cell r="X45">
            <v>0.56872298628496376</v>
          </cell>
          <cell r="Y45">
            <v>0.31331999643498226</v>
          </cell>
          <cell r="Z45">
            <v>6.0183730555731348E-2</v>
          </cell>
          <cell r="AA45">
            <v>2.2440402204411042E-4</v>
          </cell>
          <cell r="AC45">
            <v>0</v>
          </cell>
          <cell r="AD45">
            <v>2.0437102650571227E-3</v>
          </cell>
          <cell r="AE45">
            <v>8.498306483994425E-2</v>
          </cell>
          <cell r="AF45">
            <v>1.1981632519259777</v>
          </cell>
          <cell r="AG45">
            <v>4.7370887502931076</v>
          </cell>
          <cell r="AH45">
            <v>6.5620502727984205</v>
          </cell>
          <cell r="AI45">
            <v>6.8698427075896831</v>
          </cell>
          <cell r="AJ45">
            <v>6.4111658897242894</v>
          </cell>
          <cell r="AK45">
            <v>3.1633565093678584</v>
          </cell>
          <cell r="AL45">
            <v>1.6619711970488318</v>
          </cell>
          <cell r="AM45">
            <v>0.4451691242014309</v>
          </cell>
          <cell r="AN45">
            <v>3.8285812125687163E-3</v>
          </cell>
        </row>
        <row r="46">
          <cell r="A46" t="str">
            <v>Wheel and Hand_Levelers - Washington</v>
          </cell>
          <cell r="C46">
            <v>10.983550351342876</v>
          </cell>
          <cell r="D46">
            <v>12.845511625508943</v>
          </cell>
          <cell r="E46">
            <v>2.5691023251017886</v>
          </cell>
          <cell r="F46">
            <v>15.414613950610731</v>
          </cell>
          <cell r="G46">
            <v>8.0056361414867698</v>
          </cell>
          <cell r="H46">
            <v>1.1438549798450008</v>
          </cell>
          <cell r="I46">
            <v>12294.022778421611</v>
          </cell>
          <cell r="J46">
            <v>178.52782444591119</v>
          </cell>
          <cell r="K46">
            <v>159.63755793089663</v>
          </cell>
          <cell r="L46">
            <v>0.54575766620726895</v>
          </cell>
          <cell r="M46">
            <v>2.5536754566872183E-2</v>
          </cell>
          <cell r="N46">
            <v>0</v>
          </cell>
          <cell r="O46">
            <v>3.3562442378605095E-3</v>
          </cell>
          <cell r="P46">
            <v>0</v>
          </cell>
          <cell r="Q46">
            <v>3.9877644228147145E-5</v>
          </cell>
          <cell r="R46">
            <v>3.7228004262279597E-3</v>
          </cell>
          <cell r="S46">
            <v>6.6376346550812551E-2</v>
          </cell>
          <cell r="T46">
            <v>0.25050718958409013</v>
          </cell>
          <cell r="U46">
            <v>0.36954178370539814</v>
          </cell>
          <cell r="V46">
            <v>0.37062626525651998</v>
          </cell>
          <cell r="W46">
            <v>0.36212846397057463</v>
          </cell>
          <cell r="X46">
            <v>0.16948188915518861</v>
          </cell>
          <cell r="Y46">
            <v>9.3370702761239349E-2</v>
          </cell>
          <cell r="Z46">
            <v>1.7935009832504588E-2</v>
          </cell>
          <cell r="AA46">
            <v>6.6873361033805548E-5</v>
          </cell>
          <cell r="AC46">
            <v>0</v>
          </cell>
          <cell r="AD46">
            <v>6.0903442442219069E-4</v>
          </cell>
          <cell r="AE46">
            <v>2.5325317813081744E-2</v>
          </cell>
          <cell r="AF46">
            <v>0.35705778797375765</v>
          </cell>
          <cell r="AG46">
            <v>1.4116727648725487</v>
          </cell>
          <cell r="AH46">
            <v>1.9555191258050275</v>
          </cell>
          <cell r="AI46">
            <v>2.0472425914888297</v>
          </cell>
          <cell r="AJ46">
            <v>1.9105549325086346</v>
          </cell>
          <cell r="AK46">
            <v>0.94269380736862662</v>
          </cell>
          <cell r="AL46">
            <v>0.49527454488398492</v>
          </cell>
          <cell r="AM46">
            <v>0.13266230833408824</v>
          </cell>
          <cell r="AN46">
            <v>1.1409336220588138E-3</v>
          </cell>
        </row>
        <row r="47">
          <cell r="A47" t="str">
            <v>Wheel and Hand_Levelers - Oregon</v>
          </cell>
          <cell r="C47">
            <v>10.983550351342876</v>
          </cell>
          <cell r="D47">
            <v>12.845511625508943</v>
          </cell>
          <cell r="E47">
            <v>2.5691023251017886</v>
          </cell>
          <cell r="F47">
            <v>15.414613950610731</v>
          </cell>
          <cell r="G47">
            <v>8.0056361414867698</v>
          </cell>
          <cell r="H47">
            <v>1.1438549798450008</v>
          </cell>
          <cell r="I47">
            <v>12294.022778421611</v>
          </cell>
          <cell r="J47">
            <v>178.52782444591119</v>
          </cell>
          <cell r="K47">
            <v>159.63755793089663</v>
          </cell>
          <cell r="L47">
            <v>0.54575766620726895</v>
          </cell>
          <cell r="M47">
            <v>2.5536754566872183E-2</v>
          </cell>
          <cell r="N47">
            <v>0</v>
          </cell>
          <cell r="O47">
            <v>3.3562442378605095E-3</v>
          </cell>
          <cell r="P47">
            <v>0</v>
          </cell>
          <cell r="Q47">
            <v>3.9877644228147145E-5</v>
          </cell>
          <cell r="R47">
            <v>3.7228004262279597E-3</v>
          </cell>
          <cell r="S47">
            <v>6.6376346550812551E-2</v>
          </cell>
          <cell r="T47">
            <v>0.25050718958409013</v>
          </cell>
          <cell r="U47">
            <v>0.36954178370539814</v>
          </cell>
          <cell r="V47">
            <v>0.37062626525651998</v>
          </cell>
          <cell r="W47">
            <v>0.36212846397057463</v>
          </cell>
          <cell r="X47">
            <v>0.16948188915518861</v>
          </cell>
          <cell r="Y47">
            <v>9.3370702761239349E-2</v>
          </cell>
          <cell r="Z47">
            <v>1.7935009832504588E-2</v>
          </cell>
          <cell r="AA47">
            <v>6.6873361033805548E-5</v>
          </cell>
          <cell r="AC47">
            <v>0</v>
          </cell>
          <cell r="AD47">
            <v>6.0903442442219069E-4</v>
          </cell>
          <cell r="AE47">
            <v>2.5325317813081744E-2</v>
          </cell>
          <cell r="AF47">
            <v>0.35705778797375765</v>
          </cell>
          <cell r="AG47">
            <v>1.4116727648725487</v>
          </cell>
          <cell r="AH47">
            <v>1.9555191258050275</v>
          </cell>
          <cell r="AI47">
            <v>2.0472425914888297</v>
          </cell>
          <cell r="AJ47">
            <v>1.9105549325086346</v>
          </cell>
          <cell r="AK47">
            <v>0.94269380736862662</v>
          </cell>
          <cell r="AL47">
            <v>0.49527454488398492</v>
          </cell>
          <cell r="AM47">
            <v>0.13266230833408824</v>
          </cell>
          <cell r="AN47">
            <v>1.1409336220588138E-3</v>
          </cell>
        </row>
        <row r="48">
          <cell r="A48" t="str">
            <v>Wheel and Hand_Drains - Montana</v>
          </cell>
          <cell r="C48">
            <v>8.4855637003155504</v>
          </cell>
          <cell r="D48">
            <v>9.9983998095375899</v>
          </cell>
          <cell r="E48">
            <v>1.9996799619075181</v>
          </cell>
          <cell r="F48">
            <v>11.998079771445108</v>
          </cell>
          <cell r="G48">
            <v>6.2312466179483295</v>
          </cell>
          <cell r="H48">
            <v>0.88370827145260977</v>
          </cell>
          <cell r="I48">
            <v>12386.116292303681</v>
          </cell>
          <cell r="J48">
            <v>179.88718052746117</v>
          </cell>
          <cell r="K48">
            <v>160.85540857904277</v>
          </cell>
          <cell r="L48">
            <v>0.54519465686511026</v>
          </cell>
          <cell r="M48">
            <v>1.972893560323366E-2</v>
          </cell>
          <cell r="N48">
            <v>0</v>
          </cell>
          <cell r="O48">
            <v>2.5929342847415804E-3</v>
          </cell>
          <cell r="P48">
            <v>0</v>
          </cell>
          <cell r="Q48">
            <v>3.0808279608341004E-5</v>
          </cell>
          <cell r="R48">
            <v>2.876124672789155E-3</v>
          </cell>
          <cell r="S48">
            <v>5.1280387382416574E-2</v>
          </cell>
          <cell r="T48">
            <v>0.19353438975612547</v>
          </cell>
          <cell r="U48">
            <v>0.28549697003728858</v>
          </cell>
          <cell r="V48">
            <v>0.28633480816699097</v>
          </cell>
          <cell r="W48">
            <v>0.27976966012124121</v>
          </cell>
          <cell r="X48">
            <v>0.13093665713476157</v>
          </cell>
          <cell r="Y48">
            <v>7.2135422580081918E-2</v>
          </cell>
          <cell r="Z48">
            <v>1.3856054147454833E-2</v>
          </cell>
          <cell r="AA48">
            <v>5.1664365961337628E-5</v>
          </cell>
          <cell r="AC48">
            <v>0</v>
          </cell>
          <cell r="AD48">
            <v>4.7052184756340325E-4</v>
          </cell>
          <cell r="AE48">
            <v>1.9565585867903551E-2</v>
          </cell>
          <cell r="AF48">
            <v>0.27585220694824325</v>
          </cell>
          <cell r="AG48">
            <v>1.0906163114062681</v>
          </cell>
          <cell r="AH48">
            <v>1.510775803670364</v>
          </cell>
          <cell r="AI48">
            <v>1.5816386199707828</v>
          </cell>
          <cell r="AJ48">
            <v>1.476037807827044</v>
          </cell>
          <cell r="AK48">
            <v>0.72829714404154089</v>
          </cell>
          <cell r="AL48">
            <v>0.38263435458681327</v>
          </cell>
          <cell r="AM48">
            <v>0.1024909461868289</v>
          </cell>
          <cell r="AN48">
            <v>8.814513174811579E-4</v>
          </cell>
        </row>
        <row r="49">
          <cell r="A49" t="str">
            <v>Pivot and Linear_Sprinkler package replacement, LESA/LEPA/MDI - Idaho</v>
          </cell>
          <cell r="C49">
            <v>28.439527285335735</v>
          </cell>
          <cell r="D49">
            <v>37.921401277472171</v>
          </cell>
          <cell r="E49">
            <v>7.5842802554944342</v>
          </cell>
          <cell r="F49">
            <v>45.505681532966605</v>
          </cell>
          <cell r="G49">
            <v>23.633708307978232</v>
          </cell>
          <cell r="H49">
            <v>2.9617649912072177</v>
          </cell>
          <cell r="I49">
            <v>14016.750919567246</v>
          </cell>
          <cell r="J49">
            <v>203.95633593177587</v>
          </cell>
          <cell r="K49">
            <v>182.42033057339253</v>
          </cell>
          <cell r="L49">
            <v>0.53644733935913913</v>
          </cell>
          <cell r="M49">
            <v>6.6121900938405601E-2</v>
          </cell>
          <cell r="N49">
            <v>0</v>
          </cell>
          <cell r="O49">
            <v>8.6902683126694868E-3</v>
          </cell>
          <cell r="P49">
            <v>0</v>
          </cell>
          <cell r="Q49">
            <v>1.0325453198861548E-4</v>
          </cell>
          <cell r="R49">
            <v>9.6393862560683816E-3</v>
          </cell>
          <cell r="S49">
            <v>0.17186718851814048</v>
          </cell>
          <cell r="T49">
            <v>0.64863416886676062</v>
          </cell>
          <cell r="U49">
            <v>0.95684849657709981</v>
          </cell>
          <cell r="V49">
            <v>0.95965652692038517</v>
          </cell>
          <cell r="W49">
            <v>0.93765330903488087</v>
          </cell>
          <cell r="X49">
            <v>0.43883668366030021</v>
          </cell>
          <cell r="Y49">
            <v>0.2417632335526719</v>
          </cell>
          <cell r="Z49">
            <v>4.6438827626616865E-2</v>
          </cell>
          <cell r="AA49">
            <v>1.7315409999012714E-4</v>
          </cell>
          <cell r="AC49">
            <v>0</v>
          </cell>
          <cell r="AD49">
            <v>1.5769628742081537E-3</v>
          </cell>
          <cell r="AE49">
            <v>6.5574431209930131E-2</v>
          </cell>
          <cell r="AF49">
            <v>0.92452389060881224</v>
          </cell>
          <cell r="AG49">
            <v>3.6552212017355274</v>
          </cell>
          <cell r="AH49">
            <v>5.0633936893209084</v>
          </cell>
          <cell r="AI49">
            <v>5.3008917588500495</v>
          </cell>
          <cell r="AJ49">
            <v>4.9469686390219829</v>
          </cell>
          <cell r="AK49">
            <v>2.4409016573679438</v>
          </cell>
          <cell r="AL49">
            <v>1.2824062786982366</v>
          </cell>
          <cell r="AM49">
            <v>0.34350034523596884</v>
          </cell>
          <cell r="AN49">
            <v>2.9542007672711617E-3</v>
          </cell>
        </row>
        <row r="50">
          <cell r="A50" t="str">
            <v>Wheel and Hand_Levelers - Idaho</v>
          </cell>
          <cell r="C50">
            <v>8.0055326588667608</v>
          </cell>
          <cell r="D50">
            <v>12.845511625508943</v>
          </cell>
          <cell r="E50">
            <v>2.5691023251017886</v>
          </cell>
          <cell r="F50">
            <v>15.414613950610731</v>
          </cell>
          <cell r="G50">
            <v>8.0056924216134533</v>
          </cell>
          <cell r="H50">
            <v>0.83371661304734324</v>
          </cell>
          <cell r="I50">
            <v>16867.337123132133</v>
          </cell>
          <cell r="J50">
            <v>246.03271599868137</v>
          </cell>
          <cell r="K50">
            <v>220.11693389269195</v>
          </cell>
          <cell r="L50">
            <v>0.52522312320310049</v>
          </cell>
          <cell r="M50">
            <v>1.8612863431865231E-2</v>
          </cell>
          <cell r="N50">
            <v>0</v>
          </cell>
          <cell r="O50">
            <v>2.4462511663217055E-3</v>
          </cell>
          <cell r="P50">
            <v>0</v>
          </cell>
          <cell r="Q50">
            <v>2.9065445417480172E-5</v>
          </cell>
          <cell r="R50">
            <v>2.7134213839122828E-3</v>
          </cell>
          <cell r="S50">
            <v>4.8379439533758811E-2</v>
          </cell>
          <cell r="T50">
            <v>0.18258608768076254</v>
          </cell>
          <cell r="U50">
            <v>0.26934631550241339</v>
          </cell>
          <cell r="V50">
            <v>0.27013675686224042</v>
          </cell>
          <cell r="W50">
            <v>0.2639430013326472</v>
          </cell>
          <cell r="X50">
            <v>0.1235295287331581</v>
          </cell>
          <cell r="Y50">
            <v>6.8054698747300177E-2</v>
          </cell>
          <cell r="Z50">
            <v>1.3072212750739345E-2</v>
          </cell>
          <cell r="AA50">
            <v>4.8741696322160908E-5</v>
          </cell>
          <cell r="AC50">
            <v>0</v>
          </cell>
          <cell r="AD50">
            <v>4.4390427677056714E-4</v>
          </cell>
          <cell r="AE50">
            <v>1.8458754443094826E-2</v>
          </cell>
          <cell r="AF50">
            <v>0.26024715973347912</v>
          </cell>
          <cell r="AG50">
            <v>1.0289197992740311</v>
          </cell>
          <cell r="AH50">
            <v>1.4253107352265846</v>
          </cell>
          <cell r="AI50">
            <v>1.4921648194368278</v>
          </cell>
          <cell r="AJ50">
            <v>1.3925378788732778</v>
          </cell>
          <cell r="AK50">
            <v>0.68709714261730548</v>
          </cell>
          <cell r="AL50">
            <v>0.36098860726662485</v>
          </cell>
          <cell r="AM50">
            <v>9.6693000714413682E-2</v>
          </cell>
          <cell r="AN50">
            <v>8.3158733568096767E-4</v>
          </cell>
        </row>
        <row r="51">
          <cell r="A51" t="str">
            <v>Pivot and Linear_Tower gasket - Washington</v>
          </cell>
          <cell r="C51">
            <v>0.69866834755907203</v>
          </cell>
          <cell r="D51">
            <v>5.2419313748037162</v>
          </cell>
          <cell r="E51">
            <v>1.0483862749607433</v>
          </cell>
          <cell r="F51">
            <v>6.2903176497644591</v>
          </cell>
          <cell r="G51">
            <v>3.1040254550542099</v>
          </cell>
          <cell r="H51">
            <v>0.12757894667939637</v>
          </cell>
          <cell r="I51">
            <v>78868.869334713527</v>
          </cell>
          <cell r="J51">
            <v>764.27454348803735</v>
          </cell>
          <cell r="K51">
            <v>650.14120461094467</v>
          </cell>
          <cell r="L51">
            <v>0.51715370792675464</v>
          </cell>
          <cell r="M51">
            <v>2.5990462529197496E-3</v>
          </cell>
          <cell r="N51">
            <v>0</v>
          </cell>
          <cell r="O51">
            <v>2.1349213511676266E-4</v>
          </cell>
          <cell r="P51">
            <v>0</v>
          </cell>
          <cell r="Q51">
            <v>2.536634048754713E-6</v>
          </cell>
          <cell r="R51">
            <v>2.3680893143690032E-4</v>
          </cell>
          <cell r="S51">
            <v>4.222227866055586E-3</v>
          </cell>
          <cell r="T51">
            <v>1.5934869746100346E-2</v>
          </cell>
          <cell r="U51">
            <v>2.3506711319797969E-2</v>
          </cell>
          <cell r="V51">
            <v>2.3575695656286939E-2</v>
          </cell>
          <cell r="W51">
            <v>2.3035146872658802E-2</v>
          </cell>
          <cell r="X51">
            <v>1.078081564243643E-2</v>
          </cell>
          <cell r="Y51">
            <v>5.9393504396917131E-3</v>
          </cell>
          <cell r="Z51">
            <v>1.1408536659186586E-3</v>
          </cell>
          <cell r="AA51">
            <v>4.2538431704369415E-6</v>
          </cell>
          <cell r="AC51">
            <v>0</v>
          </cell>
          <cell r="AD51">
            <v>3.8740940889447305E-5</v>
          </cell>
          <cell r="AE51">
            <v>1.6109543255028501E-3</v>
          </cell>
          <cell r="AF51">
            <v>2.2712598998212135E-2</v>
          </cell>
          <cell r="AG51">
            <v>8.9797109894166741E-2</v>
          </cell>
          <cell r="AH51">
            <v>0.12439141011260693</v>
          </cell>
          <cell r="AI51">
            <v>0.13022597909547304</v>
          </cell>
          <cell r="AJ51">
            <v>0.12153121849652565</v>
          </cell>
          <cell r="AK51">
            <v>5.9965157310712627E-2</v>
          </cell>
          <cell r="AL51">
            <v>3.1504626172161022E-2</v>
          </cell>
          <cell r="AM51">
            <v>8.4387063182914616E-3</v>
          </cell>
          <cell r="AN51">
            <v>7.2575276927733893E-5</v>
          </cell>
        </row>
        <row r="52">
          <cell r="A52" t="str">
            <v>Pivot and Linear_Tower gasket - Oregon</v>
          </cell>
          <cell r="C52">
            <v>0.69866834755907203</v>
          </cell>
          <cell r="D52">
            <v>5.2419313748037162</v>
          </cell>
          <cell r="E52">
            <v>1.0483862749607433</v>
          </cell>
          <cell r="F52">
            <v>6.2903176497644591</v>
          </cell>
          <cell r="G52">
            <v>3.1040254550542099</v>
          </cell>
          <cell r="H52">
            <v>0.12757894667939637</v>
          </cell>
          <cell r="I52">
            <v>78868.869334713527</v>
          </cell>
          <cell r="J52">
            <v>764.27454348803735</v>
          </cell>
          <cell r="K52">
            <v>650.14120461094467</v>
          </cell>
          <cell r="L52">
            <v>0.51715370792675464</v>
          </cell>
          <cell r="M52">
            <v>2.5990462529197496E-3</v>
          </cell>
          <cell r="N52">
            <v>0</v>
          </cell>
          <cell r="O52">
            <v>2.1349213511676266E-4</v>
          </cell>
          <cell r="P52">
            <v>0</v>
          </cell>
          <cell r="Q52">
            <v>2.536634048754713E-6</v>
          </cell>
          <cell r="R52">
            <v>2.3680893143690032E-4</v>
          </cell>
          <cell r="S52">
            <v>4.222227866055586E-3</v>
          </cell>
          <cell r="T52">
            <v>1.5934869746100346E-2</v>
          </cell>
          <cell r="U52">
            <v>2.3506711319797969E-2</v>
          </cell>
          <cell r="V52">
            <v>2.3575695656286939E-2</v>
          </cell>
          <cell r="W52">
            <v>2.3035146872658802E-2</v>
          </cell>
          <cell r="X52">
            <v>1.078081564243643E-2</v>
          </cell>
          <cell r="Y52">
            <v>5.9393504396917131E-3</v>
          </cell>
          <cell r="Z52">
            <v>1.1408536659186586E-3</v>
          </cell>
          <cell r="AA52">
            <v>4.2538431704369415E-6</v>
          </cell>
          <cell r="AC52">
            <v>0</v>
          </cell>
          <cell r="AD52">
            <v>3.8740940889447305E-5</v>
          </cell>
          <cell r="AE52">
            <v>1.6109543255028501E-3</v>
          </cell>
          <cell r="AF52">
            <v>2.2712598998212135E-2</v>
          </cell>
          <cell r="AG52">
            <v>8.9797109894166741E-2</v>
          </cell>
          <cell r="AH52">
            <v>0.12439141011260693</v>
          </cell>
          <cell r="AI52">
            <v>0.13022597909547304</v>
          </cell>
          <cell r="AJ52">
            <v>0.12153121849652565</v>
          </cell>
          <cell r="AK52">
            <v>5.9965157310712627E-2</v>
          </cell>
          <cell r="AL52">
            <v>3.1504626172161022E-2</v>
          </cell>
          <cell r="AM52">
            <v>8.4387063182914616E-3</v>
          </cell>
          <cell r="AN52">
            <v>7.2575276927733893E-5</v>
          </cell>
        </row>
        <row r="53">
          <cell r="A53" t="str">
            <v>Pivot and Linear_Tower gasket - Idaho</v>
          </cell>
          <cell r="C53">
            <v>0.53910481555183665</v>
          </cell>
          <cell r="D53">
            <v>5.2419313748037162</v>
          </cell>
          <cell r="E53">
            <v>1.0483862749607433</v>
          </cell>
          <cell r="F53">
            <v>6.2903176497644591</v>
          </cell>
          <cell r="G53">
            <v>3.1040539376359764</v>
          </cell>
          <cell r="H53">
            <v>9.8442164666803389E-2</v>
          </cell>
          <cell r="I53">
            <v>102212.37322009845</v>
          </cell>
          <cell r="J53">
            <v>991.35351510253997</v>
          </cell>
          <cell r="K53">
            <v>843.44690755474187</v>
          </cell>
          <cell r="L53">
            <v>0.51242244874668941</v>
          </cell>
          <cell r="M53">
            <v>2.0054699138528334E-3</v>
          </cell>
          <cell r="N53">
            <v>0</v>
          </cell>
          <cell r="O53">
            <v>1.6473429564398427E-4</v>
          </cell>
          <cell r="P53">
            <v>0</v>
          </cell>
          <cell r="Q53">
            <v>1.9573115566979309E-6</v>
          </cell>
          <cell r="R53">
            <v>1.8272594679483986E-4</v>
          </cell>
          <cell r="S53">
            <v>3.2579454656850161E-3</v>
          </cell>
          <cell r="T53">
            <v>1.2295626451844724E-2</v>
          </cell>
          <cell r="U53">
            <v>1.8138192913080973E-2</v>
          </cell>
          <cell r="V53">
            <v>1.8191422443413614E-2</v>
          </cell>
          <cell r="W53">
            <v>1.7774325471276949E-2</v>
          </cell>
          <cell r="X53">
            <v>8.3186674317210947E-3</v>
          </cell>
          <cell r="Y53">
            <v>4.5829075189598436E-3</v>
          </cell>
          <cell r="Z53">
            <v>8.8030280359124727E-4</v>
          </cell>
          <cell r="AA53">
            <v>3.2823403919711029E-6</v>
          </cell>
          <cell r="AC53">
            <v>0</v>
          </cell>
          <cell r="AD53">
            <v>2.9893193051434529E-5</v>
          </cell>
          <cell r="AE53">
            <v>1.2430407611090731E-3</v>
          </cell>
          <cell r="AF53">
            <v>1.7525441844349073E-2</v>
          </cell>
          <cell r="AG53">
            <v>6.9289033252633109E-2</v>
          </cell>
          <cell r="AH53">
            <v>9.5982605250798117E-2</v>
          </cell>
          <cell r="AI53">
            <v>0.10048466155021643</v>
          </cell>
          <cell r="AJ53">
            <v>9.3775630970343762E-2</v>
          </cell>
          <cell r="AK53">
            <v>4.6270172656984902E-2</v>
          </cell>
          <cell r="AL53">
            <v>2.4309525028449096E-2</v>
          </cell>
          <cell r="AM53">
            <v>6.5114545822959188E-3</v>
          </cell>
          <cell r="AN53">
            <v>5.6000363288879915E-5</v>
          </cell>
        </row>
        <row r="54">
          <cell r="A54" t="str">
            <v>Pivot and Linear_Sprinkler package replacement, MESA - Montana</v>
          </cell>
          <cell r="C54">
            <v>12.31274854463787</v>
          </cell>
          <cell r="D54">
            <v>27.554783113802578</v>
          </cell>
          <cell r="E54">
            <v>5.5109566227605162</v>
          </cell>
          <cell r="F54">
            <v>33.065739736563096</v>
          </cell>
          <cell r="G54">
            <v>17.172812885757459</v>
          </cell>
          <cell r="H54">
            <v>1.2822810737733239</v>
          </cell>
          <cell r="I54">
            <v>23524.87578562921</v>
          </cell>
          <cell r="J54">
            <v>344.30202170254842</v>
          </cell>
          <cell r="K54">
            <v>308.15509230990551</v>
          </cell>
          <cell r="L54">
            <v>0.50960776501326699</v>
          </cell>
          <cell r="M54">
            <v>2.8627140366283044E-2</v>
          </cell>
          <cell r="N54">
            <v>0</v>
          </cell>
          <cell r="O54">
            <v>3.7624074213957401E-3</v>
          </cell>
          <cell r="P54">
            <v>0</v>
          </cell>
          <cell r="Q54">
            <v>4.4703523926912599E-5</v>
          </cell>
          <cell r="R54">
            <v>4.1733232027666989E-3</v>
          </cell>
          <cell r="S54">
            <v>7.4409024245240887E-2</v>
          </cell>
          <cell r="T54">
            <v>0.280822861033793</v>
          </cell>
          <cell r="U54">
            <v>0.41426268501106478</v>
          </cell>
          <cell r="V54">
            <v>0.41547840745172621</v>
          </cell>
          <cell r="W54">
            <v>0.40595222629270294</v>
          </cell>
          <cell r="X54">
            <v>0.18999210795104057</v>
          </cell>
          <cell r="Y54">
            <v>0.10467016108272367</v>
          </cell>
          <cell r="Z54">
            <v>2.0105453987948226E-2</v>
          </cell>
          <cell r="AA54">
            <v>7.4966186015013058E-5</v>
          </cell>
          <cell r="AC54">
            <v>0</v>
          </cell>
          <cell r="AD54">
            <v>6.827380476315529E-4</v>
          </cell>
          <cell r="AE54">
            <v>2.8390116134660352E-2</v>
          </cell>
          <cell r="AF54">
            <v>0.40026791143065971</v>
          </cell>
          <cell r="AG54">
            <v>1.5825094095429968</v>
          </cell>
          <cell r="AH54">
            <v>2.1921705186450535</v>
          </cell>
          <cell r="AI54">
            <v>2.2949940986789263</v>
          </cell>
          <cell r="AJ54">
            <v>2.1417648858704661</v>
          </cell>
          <cell r="AK54">
            <v>1.0567759452478016</v>
          </cell>
          <cell r="AL54">
            <v>0.5552112692751382</v>
          </cell>
          <cell r="AM54">
            <v>0.14871672561405766</v>
          </cell>
          <cell r="AN54">
            <v>1.2790061815317782E-3</v>
          </cell>
        </row>
        <row r="55">
          <cell r="A55" t="str">
            <v>Pivot and Linear_Tower gasket - Montana</v>
          </cell>
          <cell r="C55">
            <v>0.23340268516051679</v>
          </cell>
          <cell r="D55">
            <v>5.2419313748037162</v>
          </cell>
          <cell r="E55">
            <v>1.0483862749607433</v>
          </cell>
          <cell r="F55">
            <v>6.2903176497644591</v>
          </cell>
          <cell r="G55">
            <v>3.1040254550542099</v>
          </cell>
          <cell r="H55">
            <v>4.2620033996035395E-2</v>
          </cell>
          <cell r="I55">
            <v>236086.32683056258</v>
          </cell>
          <cell r="J55">
            <v>2293.641289084268</v>
          </cell>
          <cell r="K55">
            <v>1951.9941858394279</v>
          </cell>
          <cell r="L55">
            <v>0.50337146932367149</v>
          </cell>
          <cell r="M55">
            <v>8.6825798879712251E-4</v>
          </cell>
          <cell r="N55">
            <v>0</v>
          </cell>
          <cell r="O55">
            <v>7.1320874590917688E-5</v>
          </cell>
          <cell r="P55">
            <v>0</v>
          </cell>
          <cell r="Q55">
            <v>8.4740807325450681E-7</v>
          </cell>
          <cell r="R55">
            <v>7.9110268356177469E-5</v>
          </cell>
          <cell r="S55">
            <v>1.4105109022612636E-3</v>
          </cell>
          <cell r="T55">
            <v>5.3233288718699881E-3</v>
          </cell>
          <cell r="U55">
            <v>7.8528382751303603E-3</v>
          </cell>
          <cell r="V55">
            <v>7.8758837292815242E-3</v>
          </cell>
          <cell r="W55">
            <v>7.6953037187517193E-3</v>
          </cell>
          <cell r="X55">
            <v>3.601524711912637E-3</v>
          </cell>
          <cell r="Y55">
            <v>1.9841464774760452E-3</v>
          </cell>
          <cell r="Z55">
            <v>3.8112261694826587E-4</v>
          </cell>
          <cell r="AA55">
            <v>1.4210725613954658E-6</v>
          </cell>
          <cell r="AC55">
            <v>0</v>
          </cell>
          <cell r="AD55">
            <v>1.2942105737053366E-5</v>
          </cell>
          <cell r="AE55">
            <v>5.3816816885571554E-4</v>
          </cell>
          <cell r="AF55">
            <v>7.5875508196091056E-3</v>
          </cell>
          <cell r="AG55">
            <v>2.9998334176975817E-2</v>
          </cell>
          <cell r="AH55">
            <v>4.1555180269177393E-2</v>
          </cell>
          <cell r="AI55">
            <v>4.3504322622788992E-2</v>
          </cell>
          <cell r="AJ55">
            <v>4.0599681990774954E-2</v>
          </cell>
          <cell r="AK55">
            <v>2.0032435677515455E-2</v>
          </cell>
          <cell r="AL55">
            <v>1.0524685094509685E-2</v>
          </cell>
          <cell r="AM55">
            <v>2.8191011097775773E-3</v>
          </cell>
          <cell r="AN55">
            <v>2.4245072172485943E-5</v>
          </cell>
        </row>
        <row r="56">
          <cell r="A56" t="str">
            <v>Pivot and Linear_Sprinkler package replacement, LESA/LEPA/MDI - Montana</v>
          </cell>
          <cell r="C56">
            <v>12.31274854463787</v>
          </cell>
          <cell r="D56">
            <v>37.921401277472171</v>
          </cell>
          <cell r="E56">
            <v>7.5842802554944342</v>
          </cell>
          <cell r="F56">
            <v>45.505681532966605</v>
          </cell>
          <cell r="G56">
            <v>23.633542162687164</v>
          </cell>
          <cell r="H56">
            <v>1.2822810737733239</v>
          </cell>
          <cell r="I56">
            <v>32375.368406462618</v>
          </cell>
          <cell r="J56">
            <v>474.94065695161282</v>
          </cell>
          <cell r="K56">
            <v>425.19458532456952</v>
          </cell>
          <cell r="L56">
            <v>0.49878991115272875</v>
          </cell>
          <cell r="M56">
            <v>2.8627140366283044E-2</v>
          </cell>
          <cell r="N56">
            <v>0</v>
          </cell>
          <cell r="O56">
            <v>3.7624074213957401E-3</v>
          </cell>
          <cell r="P56">
            <v>0</v>
          </cell>
          <cell r="Q56">
            <v>4.4703523926912599E-5</v>
          </cell>
          <cell r="R56">
            <v>4.1733232027666989E-3</v>
          </cell>
          <cell r="S56">
            <v>7.4409024245240887E-2</v>
          </cell>
          <cell r="T56">
            <v>0.280822861033793</v>
          </cell>
          <cell r="U56">
            <v>0.41426268501106478</v>
          </cell>
          <cell r="V56">
            <v>0.41547840745172621</v>
          </cell>
          <cell r="W56">
            <v>0.40595222629270294</v>
          </cell>
          <cell r="X56">
            <v>0.18999210795104057</v>
          </cell>
          <cell r="Y56">
            <v>0.10467016108272367</v>
          </cell>
          <cell r="Z56">
            <v>2.0105453987948226E-2</v>
          </cell>
          <cell r="AA56">
            <v>7.4966186015013058E-5</v>
          </cell>
          <cell r="AC56">
            <v>0</v>
          </cell>
          <cell r="AD56">
            <v>6.827380476315529E-4</v>
          </cell>
          <cell r="AE56">
            <v>2.8390116134660352E-2</v>
          </cell>
          <cell r="AF56">
            <v>0.40026791143065971</v>
          </cell>
          <cell r="AG56">
            <v>1.5825094095429968</v>
          </cell>
          <cell r="AH56">
            <v>2.1921705186450535</v>
          </cell>
          <cell r="AI56">
            <v>2.2949940986789263</v>
          </cell>
          <cell r="AJ56">
            <v>2.1417648858704661</v>
          </cell>
          <cell r="AK56">
            <v>1.0567759452478016</v>
          </cell>
          <cell r="AL56">
            <v>0.5552112692751382</v>
          </cell>
          <cell r="AM56">
            <v>0.14871672561405766</v>
          </cell>
          <cell r="AN56">
            <v>1.2790061815317782E-3</v>
          </cell>
        </row>
        <row r="57">
          <cell r="A57" t="str">
            <v>Wheel and Hand_Levelers - Montana</v>
          </cell>
          <cell r="C57">
            <v>3.6692518754506973</v>
          </cell>
          <cell r="D57">
            <v>12.845511625508943</v>
          </cell>
          <cell r="E57">
            <v>2.5691023251017886</v>
          </cell>
          <cell r="F57">
            <v>15.414613950610731</v>
          </cell>
          <cell r="G57">
            <v>8.0056361414867698</v>
          </cell>
          <cell r="H57">
            <v>0.38212525966403416</v>
          </cell>
          <cell r="I57">
            <v>36800.96727913068</v>
          </cell>
          <cell r="J57">
            <v>540.26517860865852</v>
          </cell>
          <cell r="K57">
            <v>483.71899413816243</v>
          </cell>
          <cell r="L57">
            <v>0.495332000091811</v>
          </cell>
          <cell r="M57">
            <v>8.5310106104228723E-3</v>
          </cell>
          <cell r="N57">
            <v>0</v>
          </cell>
          <cell r="O57">
            <v>1.1212135484711117E-3</v>
          </cell>
          <cell r="P57">
            <v>0</v>
          </cell>
          <cell r="Q57">
            <v>1.3321841862799401E-5</v>
          </cell>
          <cell r="R57">
            <v>1.2436682137297712E-3</v>
          </cell>
          <cell r="S57">
            <v>2.2174208363997455E-2</v>
          </cell>
          <cell r="T57">
            <v>8.3686417032077937E-2</v>
          </cell>
          <cell r="U57">
            <v>0.12345205689821846</v>
          </cell>
          <cell r="V57">
            <v>0.12381434739974641</v>
          </cell>
          <cell r="W57">
            <v>0.12097550455674436</v>
          </cell>
          <cell r="X57">
            <v>5.6618463042013678E-2</v>
          </cell>
          <cell r="Y57">
            <v>3.1192156931018202E-2</v>
          </cell>
          <cell r="Z57">
            <v>5.9915115203253294E-3</v>
          </cell>
          <cell r="AA57">
            <v>2.2340244961045988E-5</v>
          </cell>
          <cell r="AC57">
            <v>0</v>
          </cell>
          <cell r="AD57">
            <v>2.0345886644494138E-4</v>
          </cell>
          <cell r="AE57">
            <v>8.4603763728068049E-3</v>
          </cell>
          <cell r="AF57">
            <v>0.11928155434793516</v>
          </cell>
          <cell r="AG57">
            <v>0.47159459139712295</v>
          </cell>
          <cell r="AH57">
            <v>0.65327621673464953</v>
          </cell>
          <cell r="AI57">
            <v>0.68391808459315862</v>
          </cell>
          <cell r="AJ57">
            <v>0.6382551219790048</v>
          </cell>
          <cell r="AK57">
            <v>0.31492376417614254</v>
          </cell>
          <cell r="AL57">
            <v>0.16545533953475855</v>
          </cell>
          <cell r="AM57">
            <v>4.4318222076248602E-2</v>
          </cell>
          <cell r="AN57">
            <v>3.8114932773010169E-4</v>
          </cell>
        </row>
        <row r="58">
          <cell r="A58" t="str">
            <v>Pivot and Linear_Base boot gasket - Montana</v>
          </cell>
          <cell r="C58">
            <v>7.6386333325260072</v>
          </cell>
          <cell r="D58">
            <v>2.4405750787636538</v>
          </cell>
          <cell r="E58">
            <v>0.48811501575273075</v>
          </cell>
          <cell r="F58">
            <v>2.9286900945163845</v>
          </cell>
          <cell r="G58">
            <v>2.8700536992470265</v>
          </cell>
          <cell r="H58">
            <v>1.3948374762338847</v>
          </cell>
          <cell r="I58">
            <v>3358.6276642865919</v>
          </cell>
          <cell r="J58">
            <v>29.732372395270467</v>
          </cell>
          <cell r="K58">
            <v>52.292110122552494</v>
          </cell>
          <cell r="L58">
            <v>0.48599699601433505</v>
          </cell>
          <cell r="M58">
            <v>2.8415715996996771E-2</v>
          </cell>
          <cell r="N58">
            <v>0</v>
          </cell>
          <cell r="O58">
            <v>2.3341377138845799E-3</v>
          </cell>
          <cell r="P58">
            <v>0</v>
          </cell>
          <cell r="Q58">
            <v>2.7733355124692962E-5</v>
          </cell>
          <cell r="R58">
            <v>2.5890633280203543E-3</v>
          </cell>
          <cell r="S58">
            <v>4.6162174983095917E-2</v>
          </cell>
          <cell r="T58">
            <v>0.17421803580665421</v>
          </cell>
          <cell r="U58">
            <v>0.25700197991335733</v>
          </cell>
          <cell r="V58">
            <v>0.25775619477648637</v>
          </cell>
          <cell r="W58">
            <v>0.25184630352278364</v>
          </cell>
          <cell r="X58">
            <v>0.11786808148077725</v>
          </cell>
          <cell r="Y58">
            <v>6.4935702899216047E-2</v>
          </cell>
          <cell r="Z58">
            <v>1.2473103827397795E-2</v>
          </cell>
          <cell r="AA58">
            <v>4.6507829282033445E-5</v>
          </cell>
          <cell r="AC58">
            <v>0</v>
          </cell>
          <cell r="AD58">
            <v>4.235598241217467E-4</v>
          </cell>
          <cell r="AE58">
            <v>1.761277643527797E-2</v>
          </cell>
          <cell r="AF58">
            <v>0.24831984500538901</v>
          </cell>
          <cell r="AG58">
            <v>0.98176366397375436</v>
          </cell>
          <cell r="AH58">
            <v>1.3599877179003514</v>
          </cell>
          <cell r="AI58">
            <v>1.4237778312912766</v>
          </cell>
          <cell r="AJ58">
            <v>1.3287168651526353</v>
          </cell>
          <cell r="AK58">
            <v>0.65560698580959698</v>
          </cell>
          <cell r="AL58">
            <v>0.34444423945668073</v>
          </cell>
          <cell r="AM58">
            <v>9.226149086544802E-2</v>
          </cell>
          <cell r="AN58">
            <v>7.9347508928135843E-4</v>
          </cell>
        </row>
        <row r="59">
          <cell r="A59" t="str">
            <v>Wheel and Hand_Rebuilt or new impact sprinkler - Washington</v>
          </cell>
          <cell r="C59">
            <v>7.9738657026670454</v>
          </cell>
          <cell r="D59">
            <v>25.065699750603557</v>
          </cell>
          <cell r="E59">
            <v>5.0131399501207117</v>
          </cell>
          <cell r="F59">
            <v>30.078839700724266</v>
          </cell>
          <cell r="G59">
            <v>15.882583420145609</v>
          </cell>
          <cell r="H59">
            <v>0.61709432993651059</v>
          </cell>
          <cell r="I59">
            <v>33044.278095906986</v>
          </cell>
          <cell r="J59">
            <v>595.93677307032146</v>
          </cell>
          <cell r="K59">
            <v>542.56053406664694</v>
          </cell>
          <cell r="L59">
            <v>0.48211534885093427</v>
          </cell>
          <cell r="M59">
            <v>1.4831390206960705E-2</v>
          </cell>
          <cell r="N59">
            <v>0</v>
          </cell>
          <cell r="O59">
            <v>2.4365746923332306E-3</v>
          </cell>
          <cell r="P59">
            <v>0</v>
          </cell>
          <cell r="Q59">
            <v>2.8950473156897224E-5</v>
          </cell>
          <cell r="R59">
            <v>2.7026880823598181E-3</v>
          </cell>
          <cell r="S59">
            <v>4.81880681837231E-2</v>
          </cell>
          <cell r="T59">
            <v>0.18186384396661567</v>
          </cell>
          <cell r="U59">
            <v>0.26828088009180112</v>
          </cell>
          <cell r="V59">
            <v>0.26906819475500637</v>
          </cell>
          <cell r="W59">
            <v>0.26289893945462028</v>
          </cell>
          <cell r="X59">
            <v>0.12304089114432362</v>
          </cell>
          <cell r="Y59">
            <v>6.7785499275353905E-2</v>
          </cell>
          <cell r="Z59">
            <v>1.3020503863117417E-2</v>
          </cell>
          <cell r="AA59">
            <v>4.8548892016900323E-5</v>
          </cell>
          <cell r="AC59">
            <v>0</v>
          </cell>
          <cell r="AD59">
            <v>4.4214835397462545E-4</v>
          </cell>
          <cell r="AE59">
            <v>1.8385738368667425E-2</v>
          </cell>
          <cell r="AF59">
            <v>0.2592177172516909</v>
          </cell>
          <cell r="AG59">
            <v>1.0248497692579093</v>
          </cell>
          <cell r="AH59">
            <v>1.4196727277951349</v>
          </cell>
          <cell r="AI59">
            <v>1.4862623617249695</v>
          </cell>
          <cell r="AJ59">
            <v>1.3870295088627098</v>
          </cell>
          <cell r="AK59">
            <v>0.68437923788224542</v>
          </cell>
          <cell r="AL59">
            <v>0.35956066850201968</v>
          </cell>
          <cell r="AM59">
            <v>9.6310518604987655E-2</v>
          </cell>
          <cell r="AN59">
            <v>8.2829788064313456E-4</v>
          </cell>
        </row>
        <row r="60">
          <cell r="A60" t="str">
            <v>Wheel and Hand_Rebuilt or new impact sprinkler - Oregon</v>
          </cell>
          <cell r="C60">
            <v>7.9738657026670454</v>
          </cell>
          <cell r="D60">
            <v>25.065699750603557</v>
          </cell>
          <cell r="E60">
            <v>5.0131399501207117</v>
          </cell>
          <cell r="F60">
            <v>30.078839700724266</v>
          </cell>
          <cell r="G60">
            <v>15.882583420145609</v>
          </cell>
          <cell r="H60">
            <v>0.61709432993651059</v>
          </cell>
          <cell r="I60">
            <v>33044.278095906986</v>
          </cell>
          <cell r="J60">
            <v>595.93677307032146</v>
          </cell>
          <cell r="K60">
            <v>542.56053406664694</v>
          </cell>
          <cell r="L60">
            <v>0.48211534885093427</v>
          </cell>
          <cell r="M60">
            <v>1.4831390206960705E-2</v>
          </cell>
          <cell r="N60">
            <v>0</v>
          </cell>
          <cell r="O60">
            <v>2.4365746923332306E-3</v>
          </cell>
          <cell r="P60">
            <v>0</v>
          </cell>
          <cell r="Q60">
            <v>2.8950473156897224E-5</v>
          </cell>
          <cell r="R60">
            <v>2.7026880823598181E-3</v>
          </cell>
          <cell r="S60">
            <v>4.81880681837231E-2</v>
          </cell>
          <cell r="T60">
            <v>0.18186384396661567</v>
          </cell>
          <cell r="U60">
            <v>0.26828088009180112</v>
          </cell>
          <cell r="V60">
            <v>0.26906819475500637</v>
          </cell>
          <cell r="W60">
            <v>0.26289893945462028</v>
          </cell>
          <cell r="X60">
            <v>0.12304089114432362</v>
          </cell>
          <cell r="Y60">
            <v>6.7785499275353905E-2</v>
          </cell>
          <cell r="Z60">
            <v>1.3020503863117417E-2</v>
          </cell>
          <cell r="AA60">
            <v>4.8548892016900323E-5</v>
          </cell>
          <cell r="AC60">
            <v>0</v>
          </cell>
          <cell r="AD60">
            <v>4.4214835397462545E-4</v>
          </cell>
          <cell r="AE60">
            <v>1.8385738368667425E-2</v>
          </cell>
          <cell r="AF60">
            <v>0.2592177172516909</v>
          </cell>
          <cell r="AG60">
            <v>1.0248497692579093</v>
          </cell>
          <cell r="AH60">
            <v>1.4196727277951349</v>
          </cell>
          <cell r="AI60">
            <v>1.4862623617249695</v>
          </cell>
          <cell r="AJ60">
            <v>1.3870295088627098</v>
          </cell>
          <cell r="AK60">
            <v>0.68437923788224542</v>
          </cell>
          <cell r="AL60">
            <v>0.35956066850201968</v>
          </cell>
          <cell r="AM60">
            <v>9.6310518604987655E-2</v>
          </cell>
          <cell r="AN60">
            <v>8.2829788064313456E-4</v>
          </cell>
        </row>
        <row r="61">
          <cell r="A61" t="str">
            <v>Wheel and Hand_Rebuilt or new impact sprinkler - Idaho</v>
          </cell>
          <cell r="C61">
            <v>5.8118768757056722</v>
          </cell>
          <cell r="D61">
            <v>25.065699750603557</v>
          </cell>
          <cell r="E61">
            <v>5.0131399501207117</v>
          </cell>
          <cell r="F61">
            <v>30.078839700724266</v>
          </cell>
          <cell r="G61">
            <v>15.882684749677436</v>
          </cell>
          <cell r="H61">
            <v>0.4497788651102454</v>
          </cell>
          <cell r="I61">
            <v>45336.582555588262</v>
          </cell>
          <cell r="J61">
            <v>818.71568410068005</v>
          </cell>
          <cell r="K61">
            <v>745.48852880499089</v>
          </cell>
          <cell r="L61">
            <v>0.4764357019277155</v>
          </cell>
          <cell r="M61">
            <v>1.0810090988812552E-2</v>
          </cell>
          <cell r="N61">
            <v>0</v>
          </cell>
          <cell r="O61">
            <v>1.7759356174715439E-3</v>
          </cell>
          <cell r="P61">
            <v>0</v>
          </cell>
          <cell r="Q61">
            <v>2.1101005679720867E-5</v>
          </cell>
          <cell r="R61">
            <v>1.9698965287136116E-3</v>
          </cell>
          <cell r="S61">
            <v>3.5122628045796515E-2</v>
          </cell>
          <cell r="T61">
            <v>0.13255431037959289</v>
          </cell>
          <cell r="U61">
            <v>0.1955407203156167</v>
          </cell>
          <cell r="V61">
            <v>0.19611456693601514</v>
          </cell>
          <cell r="W61">
            <v>0.19161800860939998</v>
          </cell>
          <cell r="X61">
            <v>8.9680280139246879E-2</v>
          </cell>
          <cell r="Y61">
            <v>4.9406522562177528E-2</v>
          </cell>
          <cell r="Z61">
            <v>9.4901981214428645E-3</v>
          </cell>
          <cell r="AA61">
            <v>3.5385620146546942E-5</v>
          </cell>
          <cell r="AC61">
            <v>0</v>
          </cell>
          <cell r="AD61">
            <v>3.222667511489379E-4</v>
          </cell>
          <cell r="AE61">
            <v>1.3400733302028447E-2</v>
          </cell>
          <cell r="AF61">
            <v>0.18893489216458909</v>
          </cell>
          <cell r="AG61">
            <v>0.74697780187470597</v>
          </cell>
          <cell r="AH61">
            <v>1.0347506975171163</v>
          </cell>
          <cell r="AI61">
            <v>1.0832855948968236</v>
          </cell>
          <cell r="AJ61">
            <v>1.0109581762562552</v>
          </cell>
          <cell r="AK61">
            <v>0.49882052384334946</v>
          </cell>
          <cell r="AL61">
            <v>0.26207142339771344</v>
          </cell>
          <cell r="AM61">
            <v>7.0197429557953162E-2</v>
          </cell>
          <cell r="AN61">
            <v>6.0371788016140115E-4</v>
          </cell>
        </row>
        <row r="62">
          <cell r="A62" t="str">
            <v>Wheel and Hand_Rebuilt or new impact sprinkler - Montana</v>
          </cell>
          <cell r="C62">
            <v>2.6638127698413903</v>
          </cell>
          <cell r="D62">
            <v>25.065699750603557</v>
          </cell>
          <cell r="E62">
            <v>5.0131399501207117</v>
          </cell>
          <cell r="F62">
            <v>30.078839700724266</v>
          </cell>
          <cell r="G62">
            <v>15.882583420145609</v>
          </cell>
          <cell r="H62">
            <v>0.2061514223561324</v>
          </cell>
          <cell r="I62">
            <v>98914.848206104754</v>
          </cell>
          <cell r="J62">
            <v>1789.7384663355106</v>
          </cell>
          <cell r="K62">
            <v>1629.9618610322404</v>
          </cell>
          <cell r="L62">
            <v>0.46817403173513056</v>
          </cell>
          <cell r="M62">
            <v>4.9546917519049886E-3</v>
          </cell>
          <cell r="N62">
            <v>0</v>
          </cell>
          <cell r="O62">
            <v>8.139814516738965E-4</v>
          </cell>
          <cell r="P62">
            <v>0</v>
          </cell>
          <cell r="Q62">
            <v>9.6714244964646291E-6</v>
          </cell>
          <cell r="R62">
            <v>9.0288139970556532E-4</v>
          </cell>
          <cell r="S62">
            <v>1.6098087949845314E-2</v>
          </cell>
          <cell r="T62">
            <v>6.0754876993812032E-2</v>
          </cell>
          <cell r="U62">
            <v>8.9624036940300522E-2</v>
          </cell>
          <cell r="V62">
            <v>8.9887053516191445E-2</v>
          </cell>
          <cell r="W62">
            <v>8.7826103198946501E-2</v>
          </cell>
          <cell r="X62">
            <v>4.1104015199715169E-2</v>
          </cell>
          <cell r="Y62">
            <v>2.2644961090750114E-2</v>
          </cell>
          <cell r="Z62">
            <v>4.3497327085331265E-3</v>
          </cell>
          <cell r="AA62">
            <v>1.6218627619099981E-5</v>
          </cell>
          <cell r="AC62">
            <v>0</v>
          </cell>
          <cell r="AD62">
            <v>1.4770758317236466E-4</v>
          </cell>
          <cell r="AE62">
            <v>6.142085467157778E-3</v>
          </cell>
          <cell r="AF62">
            <v>8.6596324936000973E-2</v>
          </cell>
          <cell r="AG62">
            <v>0.34236943589419955</v>
          </cell>
          <cell r="AH62">
            <v>0.474267122411072</v>
          </cell>
          <cell r="AI62">
            <v>0.4965125832472167</v>
          </cell>
          <cell r="AJ62">
            <v>0.46336206999567486</v>
          </cell>
          <cell r="AK62">
            <v>0.2286291519401035</v>
          </cell>
          <cell r="AL62">
            <v>0.12011768645263585</v>
          </cell>
          <cell r="AM62">
            <v>3.2174255109940306E-2</v>
          </cell>
          <cell r="AN62">
            <v>2.7670775430187514E-4</v>
          </cell>
        </row>
        <row r="63">
          <cell r="A63" t="str">
            <v>Pivot and Linear_Upgrade from MESA to LESA/LEPA/MDI - Washington</v>
          </cell>
          <cell r="C63">
            <v>90.70638891896337</v>
          </cell>
          <cell r="D63">
            <v>36.438280264834958</v>
          </cell>
          <cell r="E63">
            <v>7.2876560529669918</v>
          </cell>
          <cell r="F63">
            <v>43.725936317801953</v>
          </cell>
          <cell r="G63">
            <v>45.509700570987505</v>
          </cell>
          <cell r="H63">
            <v>21.148954978156659</v>
          </cell>
          <cell r="I63">
            <v>4222.8469979788342</v>
          </cell>
          <cell r="J63">
            <v>31.086766812622535</v>
          </cell>
          <cell r="K63">
            <v>58.151356931940796</v>
          </cell>
          <cell r="L63">
            <v>0.46471312078109228</v>
          </cell>
          <cell r="M63">
            <v>0.42178470847317978</v>
          </cell>
          <cell r="N63">
            <v>0</v>
          </cell>
          <cell r="O63">
            <v>2.7717157513570689E-2</v>
          </cell>
          <cell r="P63">
            <v>0</v>
          </cell>
          <cell r="Q63">
            <v>3.2932494419603834E-4</v>
          </cell>
          <cell r="R63">
            <v>3.0744319689655731E-2</v>
          </cell>
          <cell r="S63">
            <v>0.54816143347690705</v>
          </cell>
          <cell r="T63">
            <v>2.068784849939969</v>
          </cell>
          <cell r="U63">
            <v>3.0518183722343544</v>
          </cell>
          <cell r="V63">
            <v>3.0607744385521523</v>
          </cell>
          <cell r="W63">
            <v>2.9905963227569452</v>
          </cell>
          <cell r="X63">
            <v>1.3996467135557515</v>
          </cell>
          <cell r="Y63">
            <v>0.77109122345512104</v>
          </cell>
          <cell r="Z63">
            <v>0.14811421854443396</v>
          </cell>
          <cell r="AA63">
            <v>5.5226597049368392E-4</v>
          </cell>
          <cell r="AC63">
            <v>0</v>
          </cell>
          <cell r="AD63">
            <v>5.0296408355720839E-3</v>
          </cell>
          <cell r="AE63">
            <v>0.20914622809271194</v>
          </cell>
          <cell r="AF63">
            <v>2.9487207274952452</v>
          </cell>
          <cell r="AG63">
            <v>11.658137372783317</v>
          </cell>
          <cell r="AH63">
            <v>16.149430074042989</v>
          </cell>
          <cell r="AI63">
            <v>16.906917779308795</v>
          </cell>
          <cell r="AJ63">
            <v>15.778098448648164</v>
          </cell>
          <cell r="AK63">
            <v>7.7851285228753486</v>
          </cell>
          <cell r="AL63">
            <v>4.0901679377667461</v>
          </cell>
          <cell r="AM63">
            <v>1.0955764347334211</v>
          </cell>
          <cell r="AN63">
            <v>9.4222692610987473E-3</v>
          </cell>
        </row>
        <row r="64">
          <cell r="A64" t="str">
            <v>Pivot and Linear_Upgrade from MESA to LESA/LEPA/MDI - Oregon</v>
          </cell>
          <cell r="C64">
            <v>90.70638891896337</v>
          </cell>
          <cell r="D64">
            <v>36.438280264834958</v>
          </cell>
          <cell r="E64">
            <v>7.2876560529669918</v>
          </cell>
          <cell r="F64">
            <v>43.725936317801953</v>
          </cell>
          <cell r="G64">
            <v>45.509700570987505</v>
          </cell>
          <cell r="H64">
            <v>21.148954978156659</v>
          </cell>
          <cell r="I64">
            <v>4222.8469979788342</v>
          </cell>
          <cell r="J64">
            <v>31.086766812622535</v>
          </cell>
          <cell r="K64">
            <v>58.151356931940796</v>
          </cell>
          <cell r="L64">
            <v>0.46471312078109228</v>
          </cell>
          <cell r="M64">
            <v>0.42178470847317978</v>
          </cell>
          <cell r="N64">
            <v>0</v>
          </cell>
          <cell r="O64">
            <v>2.7717157513570689E-2</v>
          </cell>
          <cell r="P64">
            <v>0</v>
          </cell>
          <cell r="Q64">
            <v>3.2932494419603834E-4</v>
          </cell>
          <cell r="R64">
            <v>3.0744319689655731E-2</v>
          </cell>
          <cell r="S64">
            <v>0.54816143347690705</v>
          </cell>
          <cell r="T64">
            <v>2.068784849939969</v>
          </cell>
          <cell r="U64">
            <v>3.0518183722343544</v>
          </cell>
          <cell r="V64">
            <v>3.0607744385521523</v>
          </cell>
          <cell r="W64">
            <v>2.9905963227569452</v>
          </cell>
          <cell r="X64">
            <v>1.3996467135557515</v>
          </cell>
          <cell r="Y64">
            <v>0.77109122345512104</v>
          </cell>
          <cell r="Z64">
            <v>0.14811421854443396</v>
          </cell>
          <cell r="AA64">
            <v>5.5226597049368392E-4</v>
          </cell>
          <cell r="AC64">
            <v>0</v>
          </cell>
          <cell r="AD64">
            <v>5.0296408355720839E-3</v>
          </cell>
          <cell r="AE64">
            <v>0.20914622809271194</v>
          </cell>
          <cell r="AF64">
            <v>2.9487207274952452</v>
          </cell>
          <cell r="AG64">
            <v>11.658137372783317</v>
          </cell>
          <cell r="AH64">
            <v>16.149430074042989</v>
          </cell>
          <cell r="AI64">
            <v>16.906917779308795</v>
          </cell>
          <cell r="AJ64">
            <v>15.778098448648164</v>
          </cell>
          <cell r="AK64">
            <v>7.7851285228753486</v>
          </cell>
          <cell r="AL64">
            <v>4.0901679377667461</v>
          </cell>
          <cell r="AM64">
            <v>1.0955764347334211</v>
          </cell>
          <cell r="AN64">
            <v>9.4222692610987473E-3</v>
          </cell>
        </row>
        <row r="65">
          <cell r="A65" t="str">
            <v>Pivot and Linear_Upgrade from MESA to LESA/LEPA/MDI - Idaho</v>
          </cell>
          <cell r="C65">
            <v>69.990648980124888</v>
          </cell>
          <cell r="D65">
            <v>36.438280264834965</v>
          </cell>
          <cell r="E65">
            <v>7.2876560529669936</v>
          </cell>
          <cell r="F65">
            <v>43.72593631780196</v>
          </cell>
          <cell r="G65">
            <v>45.509700570987505</v>
          </cell>
          <cell r="H65">
            <v>16.318906549075145</v>
          </cell>
          <cell r="I65">
            <v>5472.7196807778719</v>
          </cell>
          <cell r="J65">
            <v>41.157787661357084</v>
          </cell>
          <cell r="K65">
            <v>76.232919454924826</v>
          </cell>
          <cell r="L65">
            <v>0.35858083758693127</v>
          </cell>
          <cell r="M65">
            <v>0.32545651775758083</v>
          </cell>
          <cell r="N65">
            <v>0</v>
          </cell>
          <cell r="O65">
            <v>2.1387047432703903E-2</v>
          </cell>
          <cell r="P65">
            <v>0</v>
          </cell>
          <cell r="Q65">
            <v>2.5411293343643733E-4</v>
          </cell>
          <cell r="R65">
            <v>2.3722859141199603E-2</v>
          </cell>
          <cell r="S65">
            <v>0.42297102698245903</v>
          </cell>
          <cell r="T65">
            <v>1.5963108660064549</v>
          </cell>
          <cell r="U65">
            <v>2.3548368641703825</v>
          </cell>
          <cell r="V65">
            <v>2.3617475228501332</v>
          </cell>
          <cell r="W65">
            <v>2.3075968513566725</v>
          </cell>
          <cell r="X65">
            <v>1.0799920820592355</v>
          </cell>
          <cell r="Y65">
            <v>0.59498758351760883</v>
          </cell>
          <cell r="Z65">
            <v>0.11428754250563827</v>
          </cell>
          <cell r="AA65">
            <v>4.261381601137737E-4</v>
          </cell>
          <cell r="AC65">
            <v>0</v>
          </cell>
          <cell r="AD65">
            <v>3.8809595488706714E-3</v>
          </cell>
          <cell r="AE65">
            <v>0.16138091715934039</v>
          </cell>
          <cell r="AF65">
            <v>2.2752849037229299</v>
          </cell>
          <cell r="AG65">
            <v>8.9956243473602253</v>
          </cell>
          <cell r="AH65">
            <v>12.461184983907007</v>
          </cell>
          <cell r="AI65">
            <v>13.045675852939226</v>
          </cell>
          <cell r="AJ65">
            <v>12.174658954616527</v>
          </cell>
          <cell r="AK65">
            <v>6.0071424317919364</v>
          </cell>
          <cell r="AL65">
            <v>3.1560456966019115</v>
          </cell>
          <cell r="AM65">
            <v>0.84536609370293869</v>
          </cell>
          <cell r="AN65">
            <v>7.2703890906620806E-3</v>
          </cell>
        </row>
        <row r="66">
          <cell r="A66" t="str">
            <v>Pivot and Linear_Pressure Reduction_High to Medium - Montana</v>
          </cell>
          <cell r="C66">
            <v>60.340092368430888</v>
          </cell>
          <cell r="D66">
            <v>33.676751173193985</v>
          </cell>
          <cell r="E66">
            <v>6.7353502346387977</v>
          </cell>
          <cell r="F66">
            <v>40.412101407832779</v>
          </cell>
          <cell r="G66">
            <v>39.602995672728923</v>
          </cell>
          <cell r="H66">
            <v>14.068798373374207</v>
          </cell>
          <cell r="I66">
            <v>5866.911939263593</v>
          </cell>
          <cell r="J66">
            <v>44.334045938103266</v>
          </cell>
          <cell r="K66">
            <v>76.976184191563974</v>
          </cell>
          <cell r="L66">
            <v>0.35524581245408521</v>
          </cell>
          <cell r="M66">
            <v>0.2805814295132037</v>
          </cell>
          <cell r="N66">
            <v>0</v>
          </cell>
          <cell r="O66">
            <v>1.8438126183739575E-2</v>
          </cell>
          <cell r="P66">
            <v>0</v>
          </cell>
          <cell r="Q66">
            <v>2.1907494928246341E-4</v>
          </cell>
          <cell r="R66">
            <v>2.0451867966387084E-2</v>
          </cell>
          <cell r="S66">
            <v>0.36465029556361334</v>
          </cell>
          <cell r="T66">
            <v>1.3762059147488637</v>
          </cell>
          <cell r="U66">
            <v>2.0301436830079451</v>
          </cell>
          <cell r="V66">
            <v>2.0361014757865386</v>
          </cell>
          <cell r="W66">
            <v>1.9894172891510375</v>
          </cell>
          <cell r="X66">
            <v>0.9310789789523678</v>
          </cell>
          <cell r="Y66">
            <v>0.51294860485887073</v>
          </cell>
          <cell r="Z66">
            <v>9.852917456601186E-2</v>
          </cell>
          <cell r="AA66">
            <v>3.6738073325023792E-4</v>
          </cell>
          <cell r="AC66">
            <v>0</v>
          </cell>
          <cell r="AD66">
            <v>3.3458392095135326E-3</v>
          </cell>
          <cell r="AE66">
            <v>0.13912914924766448</v>
          </cell>
          <cell r="AF66">
            <v>1.9615606263934517</v>
          </cell>
          <cell r="AG66">
            <v>7.7552760538848382</v>
          </cell>
          <cell r="AH66">
            <v>10.742993012717612</v>
          </cell>
          <cell r="AI66">
            <v>11.246892226967271</v>
          </cell>
          <cell r="AJ66">
            <v>10.495974199129289</v>
          </cell>
          <cell r="AK66">
            <v>5.1788565256421091</v>
          </cell>
          <cell r="AL66">
            <v>2.7208790263685927</v>
          </cell>
          <cell r="AM66">
            <v>0.72880404628995488</v>
          </cell>
          <cell r="AN66">
            <v>6.2679222964421698E-3</v>
          </cell>
        </row>
        <row r="67">
          <cell r="A67" t="str">
            <v>Pivot and Linear_Upgrade from high pressure to MESA - Washington</v>
          </cell>
          <cell r="C67">
            <v>53.356699364096173</v>
          </cell>
          <cell r="D67">
            <v>29.948384458157715</v>
          </cell>
          <cell r="E67">
            <v>5.989676891631543</v>
          </cell>
          <cell r="F67">
            <v>35.938061349789258</v>
          </cell>
          <cell r="G67">
            <v>36.548140792875415</v>
          </cell>
          <cell r="H67">
            <v>12.440561751856887</v>
          </cell>
          <cell r="I67">
            <v>5900.2416037000066</v>
          </cell>
          <cell r="J67">
            <v>44.60260428811754</v>
          </cell>
          <cell r="K67">
            <v>80.46438200019486</v>
          </cell>
          <cell r="L67">
            <v>0.3403883612673948</v>
          </cell>
          <cell r="M67">
            <v>0.2481086520430473</v>
          </cell>
          <cell r="N67">
            <v>0</v>
          </cell>
          <cell r="O67">
            <v>1.6304210302100428E-2</v>
          </cell>
          <cell r="P67">
            <v>0</v>
          </cell>
          <cell r="Q67">
            <v>1.9372055540943457E-4</v>
          </cell>
          <cell r="R67">
            <v>1.8084893935091634E-2</v>
          </cell>
          <cell r="S67">
            <v>0.32244790204523988</v>
          </cell>
          <cell r="T67">
            <v>1.2169322646705718</v>
          </cell>
          <cell r="U67">
            <v>1.7951872777849169</v>
          </cell>
          <cell r="V67">
            <v>1.8004555520895038</v>
          </cell>
          <cell r="W67">
            <v>1.7591743075040878</v>
          </cell>
          <cell r="X67">
            <v>0.82332159620926681</v>
          </cell>
          <cell r="Y67">
            <v>0.45358307262066011</v>
          </cell>
          <cell r="Z67">
            <v>8.7126010908490703E-2</v>
          </cell>
          <cell r="AA67">
            <v>3.2486233558452044E-4</v>
          </cell>
          <cell r="AC67">
            <v>0</v>
          </cell>
          <cell r="AD67">
            <v>2.9586122562188771E-3</v>
          </cell>
          <cell r="AE67">
            <v>0.12302719299571309</v>
          </cell>
          <cell r="AF67">
            <v>1.7345416044089703</v>
          </cell>
          <cell r="AG67">
            <v>6.8577278663431382</v>
          </cell>
          <cell r="AH67">
            <v>9.4996647494370663</v>
          </cell>
          <cell r="AI67">
            <v>9.9452457525345999</v>
          </cell>
          <cell r="AJ67">
            <v>9.2812343815577556</v>
          </cell>
          <cell r="AK67">
            <v>4.5794873663972702</v>
          </cell>
          <cell r="AL67">
            <v>2.4059811398627953</v>
          </cell>
          <cell r="AM67">
            <v>0.64445672631377804</v>
          </cell>
          <cell r="AN67">
            <v>5.5425113300580945E-3</v>
          </cell>
        </row>
        <row r="68">
          <cell r="A68" t="str">
            <v>Pivot and Linear_Upgrade from high pressure to MESA - Oregon</v>
          </cell>
          <cell r="C68">
            <v>53.356699364096173</v>
          </cell>
          <cell r="D68">
            <v>29.948384458157715</v>
          </cell>
          <cell r="E68">
            <v>5.989676891631543</v>
          </cell>
          <cell r="F68">
            <v>35.938061349789258</v>
          </cell>
          <cell r="G68">
            <v>36.548140792875415</v>
          </cell>
          <cell r="H68">
            <v>12.440561751856887</v>
          </cell>
          <cell r="I68">
            <v>5900.2416037000066</v>
          </cell>
          <cell r="J68">
            <v>44.60260428811754</v>
          </cell>
          <cell r="K68">
            <v>80.46438200019486</v>
          </cell>
          <cell r="L68">
            <v>0.3403883612673948</v>
          </cell>
          <cell r="M68">
            <v>0.2481086520430473</v>
          </cell>
          <cell r="N68">
            <v>0</v>
          </cell>
          <cell r="O68">
            <v>1.6304210302100428E-2</v>
          </cell>
          <cell r="P68">
            <v>0</v>
          </cell>
          <cell r="Q68">
            <v>1.9372055540943457E-4</v>
          </cell>
          <cell r="R68">
            <v>1.8084893935091634E-2</v>
          </cell>
          <cell r="S68">
            <v>0.32244790204523988</v>
          </cell>
          <cell r="T68">
            <v>1.2169322646705718</v>
          </cell>
          <cell r="U68">
            <v>1.7951872777849169</v>
          </cell>
          <cell r="V68">
            <v>1.8004555520895038</v>
          </cell>
          <cell r="W68">
            <v>1.7591743075040878</v>
          </cell>
          <cell r="X68">
            <v>0.82332159620926681</v>
          </cell>
          <cell r="Y68">
            <v>0.45358307262066011</v>
          </cell>
          <cell r="Z68">
            <v>8.7126010908490703E-2</v>
          </cell>
          <cell r="AA68">
            <v>3.2486233558452044E-4</v>
          </cell>
          <cell r="AC68">
            <v>0</v>
          </cell>
          <cell r="AD68">
            <v>2.9586122562188771E-3</v>
          </cell>
          <cell r="AE68">
            <v>0.12302719299571309</v>
          </cell>
          <cell r="AF68">
            <v>1.7345416044089703</v>
          </cell>
          <cell r="AG68">
            <v>6.8577278663431382</v>
          </cell>
          <cell r="AH68">
            <v>9.4996647494370663</v>
          </cell>
          <cell r="AI68">
            <v>9.9452457525345999</v>
          </cell>
          <cell r="AJ68">
            <v>9.2812343815577556</v>
          </cell>
          <cell r="AK68">
            <v>4.5794873663972702</v>
          </cell>
          <cell r="AL68">
            <v>2.4059811398627953</v>
          </cell>
          <cell r="AM68">
            <v>0.64445672631377804</v>
          </cell>
          <cell r="AN68">
            <v>5.5425113300580945E-3</v>
          </cell>
        </row>
        <row r="69">
          <cell r="A69" t="str">
            <v>Wheel-Line_Conversion to Low Pressure System (Alfalfa) - Washington</v>
          </cell>
          <cell r="C69">
            <v>194.21369478641333</v>
          </cell>
          <cell r="D69">
            <v>93.264188785754101</v>
          </cell>
          <cell r="E69">
            <v>18.65283775715082</v>
          </cell>
          <cell r="F69">
            <v>111.91702654290492</v>
          </cell>
          <cell r="G69">
            <v>171.27282654996779</v>
          </cell>
          <cell r="H69">
            <v>45.282551054356965</v>
          </cell>
          <cell r="I69">
            <v>5048.0124668553126</v>
          </cell>
          <cell r="J69">
            <v>37.735650939044397</v>
          </cell>
          <cell r="K69">
            <v>104.43927225893788</v>
          </cell>
          <cell r="L69">
            <v>0.26438841447593009</v>
          </cell>
          <cell r="M69">
            <v>0.90309368075682073</v>
          </cell>
          <cell r="N69">
            <v>0</v>
          </cell>
          <cell r="O69">
            <v>5.934589210134638E-2</v>
          </cell>
          <cell r="P69">
            <v>0</v>
          </cell>
          <cell r="Q69">
            <v>7.0512579058552328E-4</v>
          </cell>
          <cell r="R69">
            <v>6.5827423975141922E-2</v>
          </cell>
          <cell r="S69">
            <v>1.1736820151673999</v>
          </cell>
          <cell r="T69">
            <v>4.429526455781974</v>
          </cell>
          <cell r="U69">
            <v>6.5343238657445761</v>
          </cell>
          <cell r="V69">
            <v>6.5534999210485259</v>
          </cell>
          <cell r="W69">
            <v>6.403239820032792</v>
          </cell>
          <cell r="X69">
            <v>2.9968182271942863</v>
          </cell>
          <cell r="Y69">
            <v>1.6510025072036174</v>
          </cell>
          <cell r="Z69">
            <v>0.31713101995071213</v>
          </cell>
          <cell r="AA69">
            <v>1.182470340983435E-3</v>
          </cell>
          <cell r="AC69">
            <v>0</v>
          </cell>
          <cell r="AD69">
            <v>1.0769088503763151E-2</v>
          </cell>
          <cell r="AE69">
            <v>0.44780816646572064</v>
          </cell>
          <cell r="AF69">
            <v>6.3135789463712806</v>
          </cell>
          <cell r="AG69">
            <v>24.961526530602118</v>
          </cell>
          <cell r="AH69">
            <v>34.577944516971016</v>
          </cell>
          <cell r="AI69">
            <v>36.199820194619093</v>
          </cell>
          <cell r="AJ69">
            <v>33.782877181379</v>
          </cell>
          <cell r="AK69">
            <v>16.668931404220139</v>
          </cell>
          <cell r="AL69">
            <v>8.7575598252542903</v>
          </cell>
          <cell r="AM69">
            <v>2.345765825829496</v>
          </cell>
          <cell r="AN69">
            <v>2.0174253966887493E-2</v>
          </cell>
        </row>
        <row r="70">
          <cell r="A70" t="str">
            <v>Hand-Line_Conversion to Low Pressure System (Alfalfa) - Washington</v>
          </cell>
          <cell r="C70">
            <v>194.21369478641333</v>
          </cell>
          <cell r="D70">
            <v>93.264188785754101</v>
          </cell>
          <cell r="E70">
            <v>18.65283775715082</v>
          </cell>
          <cell r="F70">
            <v>111.91702654290492</v>
          </cell>
          <cell r="G70">
            <v>171.27282654996779</v>
          </cell>
          <cell r="H70">
            <v>45.282551054356965</v>
          </cell>
          <cell r="I70">
            <v>5048.0124668553126</v>
          </cell>
          <cell r="J70">
            <v>37.735650939044397</v>
          </cell>
          <cell r="K70">
            <v>104.43927225893788</v>
          </cell>
          <cell r="L70">
            <v>0.26438841447593009</v>
          </cell>
          <cell r="M70">
            <v>0.90309368075682073</v>
          </cell>
          <cell r="N70">
            <v>0</v>
          </cell>
          <cell r="O70">
            <v>5.934589210134638E-2</v>
          </cell>
          <cell r="P70">
            <v>0</v>
          </cell>
          <cell r="Q70">
            <v>7.0512579058552328E-4</v>
          </cell>
          <cell r="R70">
            <v>6.5827423975141922E-2</v>
          </cell>
          <cell r="S70">
            <v>1.1736820151673999</v>
          </cell>
          <cell r="T70">
            <v>4.429526455781974</v>
          </cell>
          <cell r="U70">
            <v>6.5343238657445761</v>
          </cell>
          <cell r="V70">
            <v>6.5534999210485259</v>
          </cell>
          <cell r="W70">
            <v>6.403239820032792</v>
          </cell>
          <cell r="X70">
            <v>2.9968182271942863</v>
          </cell>
          <cell r="Y70">
            <v>1.6510025072036174</v>
          </cell>
          <cell r="Z70">
            <v>0.31713101995071213</v>
          </cell>
          <cell r="AA70">
            <v>1.182470340983435E-3</v>
          </cell>
          <cell r="AC70">
            <v>0</v>
          </cell>
          <cell r="AD70">
            <v>1.0769088503763151E-2</v>
          </cell>
          <cell r="AE70">
            <v>0.44780816646572064</v>
          </cell>
          <cell r="AF70">
            <v>6.3135789463712806</v>
          </cell>
          <cell r="AG70">
            <v>24.961526530602118</v>
          </cell>
          <cell r="AH70">
            <v>34.577944516971016</v>
          </cell>
          <cell r="AI70">
            <v>36.199820194619093</v>
          </cell>
          <cell r="AJ70">
            <v>33.782877181379</v>
          </cell>
          <cell r="AK70">
            <v>16.668931404220139</v>
          </cell>
          <cell r="AL70">
            <v>8.7575598252542903</v>
          </cell>
          <cell r="AM70">
            <v>2.345765825829496</v>
          </cell>
          <cell r="AN70">
            <v>2.0174253966887493E-2</v>
          </cell>
        </row>
        <row r="71">
          <cell r="A71" t="str">
            <v>Wheel-Line_Conversion to Low Pressure System (Alfalfa) - Oregon</v>
          </cell>
          <cell r="C71">
            <v>194.21369478641301</v>
          </cell>
          <cell r="D71">
            <v>93.264188785754115</v>
          </cell>
          <cell r="E71">
            <v>18.652837757150824</v>
          </cell>
          <cell r="F71">
            <v>111.91702654290494</v>
          </cell>
          <cell r="G71">
            <v>171.27282654996782</v>
          </cell>
          <cell r="H71">
            <v>45.282551054356901</v>
          </cell>
          <cell r="I71">
            <v>5048.0124668553217</v>
          </cell>
          <cell r="J71">
            <v>37.735650939044469</v>
          </cell>
          <cell r="K71">
            <v>104.43927225893803</v>
          </cell>
          <cell r="L71">
            <v>0.26438841447592965</v>
          </cell>
          <cell r="M71">
            <v>0.90309368075681951</v>
          </cell>
          <cell r="N71">
            <v>0</v>
          </cell>
          <cell r="O71">
            <v>5.934589210134629E-2</v>
          </cell>
          <cell r="P71">
            <v>0</v>
          </cell>
          <cell r="Q71">
            <v>7.0512579058552209E-4</v>
          </cell>
          <cell r="R71">
            <v>6.5827423975141811E-2</v>
          </cell>
          <cell r="S71">
            <v>1.1736820151673979</v>
          </cell>
          <cell r="T71">
            <v>4.4295264557819669</v>
          </cell>
          <cell r="U71">
            <v>6.5343238657445655</v>
          </cell>
          <cell r="V71">
            <v>6.5534999210485152</v>
          </cell>
          <cell r="W71">
            <v>6.4032398200327814</v>
          </cell>
          <cell r="X71">
            <v>2.9968182271942814</v>
          </cell>
          <cell r="Y71">
            <v>1.6510025072036147</v>
          </cell>
          <cell r="Z71">
            <v>0.31713101995071158</v>
          </cell>
          <cell r="AA71">
            <v>1.182470340983433E-3</v>
          </cell>
          <cell r="AC71">
            <v>0</v>
          </cell>
          <cell r="AD71">
            <v>1.0769088503763133E-2</v>
          </cell>
          <cell r="AE71">
            <v>0.44780816646571991</v>
          </cell>
          <cell r="AF71">
            <v>6.3135789463712699</v>
          </cell>
          <cell r="AG71">
            <v>24.961526530602075</v>
          </cell>
          <cell r="AH71">
            <v>34.577944516970959</v>
          </cell>
          <cell r="AI71">
            <v>36.199820194619036</v>
          </cell>
          <cell r="AJ71">
            <v>33.782877181378943</v>
          </cell>
          <cell r="AK71">
            <v>16.66893140422011</v>
          </cell>
          <cell r="AL71">
            <v>8.7575598252542761</v>
          </cell>
          <cell r="AM71">
            <v>2.345765825829492</v>
          </cell>
          <cell r="AN71">
            <v>2.0174253966887459E-2</v>
          </cell>
        </row>
        <row r="72">
          <cell r="A72" t="str">
            <v>Hand-Line_Conversion to Low Pressure System (Alfalfa) - Oregon</v>
          </cell>
          <cell r="C72">
            <v>194.21369478641301</v>
          </cell>
          <cell r="D72">
            <v>93.264188785754115</v>
          </cell>
          <cell r="E72">
            <v>18.652837757150824</v>
          </cell>
          <cell r="F72">
            <v>111.91702654290494</v>
          </cell>
          <cell r="G72">
            <v>171.27282654996782</v>
          </cell>
          <cell r="H72">
            <v>45.282551054356901</v>
          </cell>
          <cell r="I72">
            <v>5048.0124668553217</v>
          </cell>
          <cell r="J72">
            <v>37.735650939044469</v>
          </cell>
          <cell r="K72">
            <v>104.43927225893803</v>
          </cell>
          <cell r="L72">
            <v>0.26438841447592965</v>
          </cell>
          <cell r="M72">
            <v>0.90309368075681951</v>
          </cell>
          <cell r="N72">
            <v>0</v>
          </cell>
          <cell r="O72">
            <v>5.934589210134629E-2</v>
          </cell>
          <cell r="P72">
            <v>0</v>
          </cell>
          <cell r="Q72">
            <v>7.0512579058552209E-4</v>
          </cell>
          <cell r="R72">
            <v>6.5827423975141811E-2</v>
          </cell>
          <cell r="S72">
            <v>1.1736820151673979</v>
          </cell>
          <cell r="T72">
            <v>4.4295264557819669</v>
          </cell>
          <cell r="U72">
            <v>6.5343238657445655</v>
          </cell>
          <cell r="V72">
            <v>6.5534999210485152</v>
          </cell>
          <cell r="W72">
            <v>6.4032398200327814</v>
          </cell>
          <cell r="X72">
            <v>2.9968182271942814</v>
          </cell>
          <cell r="Y72">
            <v>1.6510025072036147</v>
          </cell>
          <cell r="Z72">
            <v>0.31713101995071158</v>
          </cell>
          <cell r="AA72">
            <v>1.182470340983433E-3</v>
          </cell>
          <cell r="AC72">
            <v>0</v>
          </cell>
          <cell r="AD72">
            <v>1.0769088503763133E-2</v>
          </cell>
          <cell r="AE72">
            <v>0.44780816646571991</v>
          </cell>
          <cell r="AF72">
            <v>6.3135789463712699</v>
          </cell>
          <cell r="AG72">
            <v>24.961526530602075</v>
          </cell>
          <cell r="AH72">
            <v>34.577944516970959</v>
          </cell>
          <cell r="AI72">
            <v>36.199820194619036</v>
          </cell>
          <cell r="AJ72">
            <v>33.782877181378943</v>
          </cell>
          <cell r="AK72">
            <v>16.66893140422011</v>
          </cell>
          <cell r="AL72">
            <v>8.7575598252542761</v>
          </cell>
          <cell r="AM72">
            <v>2.345765825829492</v>
          </cell>
          <cell r="AN72">
            <v>2.0174253966887459E-2</v>
          </cell>
        </row>
        <row r="73">
          <cell r="A73" t="str">
            <v>Pivot and Linear_Upgrade from high pressure to MESA - Idaho</v>
          </cell>
          <cell r="C73">
            <v>41.170969988308833</v>
          </cell>
          <cell r="D73">
            <v>29.948384458157712</v>
          </cell>
          <cell r="E73">
            <v>5.989676891631543</v>
          </cell>
          <cell r="F73">
            <v>35.938061349789251</v>
          </cell>
          <cell r="G73">
            <v>36.548126167266851</v>
          </cell>
          <cell r="H73">
            <v>9.5993567935736301</v>
          </cell>
          <cell r="I73">
            <v>7646.5873287306904</v>
          </cell>
          <cell r="J73">
            <v>58.674024879930172</v>
          </cell>
          <cell r="K73">
            <v>105.15008098827502</v>
          </cell>
          <cell r="L73">
            <v>0.2626497662189583</v>
          </cell>
          <cell r="M73">
            <v>0.19144501044563628</v>
          </cell>
          <cell r="N73">
            <v>0</v>
          </cell>
          <cell r="O73">
            <v>1.2580616136884671E-2</v>
          </cell>
          <cell r="P73">
            <v>0</v>
          </cell>
          <cell r="Q73">
            <v>1.4947819613908106E-4</v>
          </cell>
          <cell r="R73">
            <v>1.3954623024235085E-2</v>
          </cell>
          <cell r="S73">
            <v>0.24880648646027048</v>
          </cell>
          <cell r="T73">
            <v>0.93900639176850464</v>
          </cell>
          <cell r="U73">
            <v>1.3851981553943451</v>
          </cell>
          <cell r="V73">
            <v>1.3892632487353751</v>
          </cell>
          <cell r="W73">
            <v>1.357409912562751</v>
          </cell>
          <cell r="X73">
            <v>0.63528946003484565</v>
          </cell>
          <cell r="Y73">
            <v>0.34999269618682938</v>
          </cell>
          <cell r="Z73">
            <v>6.7227966179787352E-2</v>
          </cell>
          <cell r="AA73">
            <v>2.5066950594927913E-4</v>
          </cell>
          <cell r="AC73">
            <v>0</v>
          </cell>
          <cell r="AD73">
            <v>2.2829173816886345E-3</v>
          </cell>
          <cell r="AE73">
            <v>9.4929951270200388E-2</v>
          </cell>
          <cell r="AF73">
            <v>1.3384028845429026</v>
          </cell>
          <cell r="AG73">
            <v>5.2915437337413183</v>
          </cell>
          <cell r="AH73">
            <v>7.3301088140629584</v>
          </cell>
          <cell r="AI73">
            <v>7.6739269723172052</v>
          </cell>
          <cell r="AJ73">
            <v>7.1615640909509111</v>
          </cell>
          <cell r="AK73">
            <v>3.5336131951717338</v>
          </cell>
          <cell r="AL73">
            <v>1.8564974685893632</v>
          </cell>
          <cell r="AM73">
            <v>0.49727417276643537</v>
          </cell>
          <cell r="AN73">
            <v>4.2766994650953495E-3</v>
          </cell>
        </row>
        <row r="74">
          <cell r="A74" t="str">
            <v>Wheel-Line_Conversion to Low Pressure System (Alfalfa) - Idaho</v>
          </cell>
          <cell r="C74">
            <v>144.4971127139286</v>
          </cell>
          <cell r="D74">
            <v>117.11916365051205</v>
          </cell>
          <cell r="E74">
            <v>23.423832730102411</v>
          </cell>
          <cell r="F74">
            <v>140.54299638061445</v>
          </cell>
          <cell r="G74">
            <v>199.32566518287166</v>
          </cell>
          <cell r="H74">
            <v>33.690713164545542</v>
          </cell>
          <cell r="I74">
            <v>8520.2854587938564</v>
          </cell>
          <cell r="J74">
            <v>65.71396759126408</v>
          </cell>
          <cell r="K74">
            <v>165.02354169695315</v>
          </cell>
          <cell r="L74">
            <v>0.16902345783537681</v>
          </cell>
          <cell r="M74">
            <v>0.67191157411976854</v>
          </cell>
          <cell r="N74">
            <v>0</v>
          </cell>
          <cell r="O74">
            <v>4.4153992690925306E-2</v>
          </cell>
          <cell r="P74">
            <v>0</v>
          </cell>
          <cell r="Q74">
            <v>5.2462129898608065E-4</v>
          </cell>
          <cell r="R74">
            <v>4.8976323282785679E-2</v>
          </cell>
          <cell r="S74">
            <v>0.87323225389674708</v>
          </cell>
          <cell r="T74">
            <v>3.2956161214808057</v>
          </cell>
          <cell r="U74">
            <v>4.861608411168854</v>
          </cell>
          <cell r="V74">
            <v>4.8758756060116824</v>
          </cell>
          <cell r="W74">
            <v>4.7640804477106427</v>
          </cell>
          <cell r="X74">
            <v>2.2296655322595829</v>
          </cell>
          <cell r="Y74">
            <v>1.22836391963369</v>
          </cell>
          <cell r="Z74">
            <v>0.23594894677894229</v>
          </cell>
          <cell r="AA74">
            <v>8.797708644072104E-4</v>
          </cell>
          <cell r="AC74">
            <v>0</v>
          </cell>
          <cell r="AD74">
            <v>8.0123196104469416E-3</v>
          </cell>
          <cell r="AE74">
            <v>0.33317417278517097</v>
          </cell>
          <cell r="AF74">
            <v>4.6973717772343155</v>
          </cell>
          <cell r="AG74">
            <v>18.571648701554182</v>
          </cell>
          <cell r="AH74">
            <v>25.726368842215475</v>
          </cell>
          <cell r="AI74">
            <v>26.933062082148052</v>
          </cell>
          <cell r="AJ74">
            <v>25.134830050203163</v>
          </cell>
          <cell r="AK74">
            <v>12.401867245176581</v>
          </cell>
          <cell r="AL74">
            <v>6.5157202768857934</v>
          </cell>
          <cell r="AM74">
            <v>1.7452754261646379</v>
          </cell>
          <cell r="AN74">
            <v>1.5009865563696063E-2</v>
          </cell>
        </row>
        <row r="75">
          <cell r="A75" t="str">
            <v>Hand-Line_Conversion to Low Pressure System (Alfalfa) - Idaho</v>
          </cell>
          <cell r="C75">
            <v>144.4971127139286</v>
          </cell>
          <cell r="D75">
            <v>117.11916365051205</v>
          </cell>
          <cell r="E75">
            <v>23.423832730102411</v>
          </cell>
          <cell r="F75">
            <v>140.54299638061445</v>
          </cell>
          <cell r="G75">
            <v>199.32566518287166</v>
          </cell>
          <cell r="H75">
            <v>33.690713164545542</v>
          </cell>
          <cell r="I75">
            <v>8520.2854587938564</v>
          </cell>
          <cell r="J75">
            <v>65.71396759126408</v>
          </cell>
          <cell r="K75">
            <v>165.02354169695315</v>
          </cell>
          <cell r="L75">
            <v>0.16902345783537681</v>
          </cell>
          <cell r="M75">
            <v>0.67191157411976854</v>
          </cell>
          <cell r="N75">
            <v>0</v>
          </cell>
          <cell r="O75">
            <v>4.4153992690925306E-2</v>
          </cell>
          <cell r="P75">
            <v>0</v>
          </cell>
          <cell r="Q75">
            <v>5.2462129898608065E-4</v>
          </cell>
          <cell r="R75">
            <v>4.8976323282785679E-2</v>
          </cell>
          <cell r="S75">
            <v>0.87323225389674708</v>
          </cell>
          <cell r="T75">
            <v>3.2956161214808057</v>
          </cell>
          <cell r="U75">
            <v>4.861608411168854</v>
          </cell>
          <cell r="V75">
            <v>4.8758756060116824</v>
          </cell>
          <cell r="W75">
            <v>4.7640804477106427</v>
          </cell>
          <cell r="X75">
            <v>2.2296655322595829</v>
          </cell>
          <cell r="Y75">
            <v>1.22836391963369</v>
          </cell>
          <cell r="Z75">
            <v>0.23594894677894229</v>
          </cell>
          <cell r="AA75">
            <v>8.797708644072104E-4</v>
          </cell>
          <cell r="AC75">
            <v>0</v>
          </cell>
          <cell r="AD75">
            <v>8.0123196104469416E-3</v>
          </cell>
          <cell r="AE75">
            <v>0.33317417278517097</v>
          </cell>
          <cell r="AF75">
            <v>4.6973717772343155</v>
          </cell>
          <cell r="AG75">
            <v>18.571648701554182</v>
          </cell>
          <cell r="AH75">
            <v>25.726368842215475</v>
          </cell>
          <cell r="AI75">
            <v>26.933062082148052</v>
          </cell>
          <cell r="AJ75">
            <v>25.134830050203163</v>
          </cell>
          <cell r="AK75">
            <v>12.401867245176581</v>
          </cell>
          <cell r="AL75">
            <v>6.5157202768857934</v>
          </cell>
          <cell r="AM75">
            <v>1.7452754261646379</v>
          </cell>
          <cell r="AN75">
            <v>1.5009865563696063E-2</v>
          </cell>
        </row>
        <row r="76">
          <cell r="A76" t="str">
            <v>Pivot and Linear_Upgrade from MESA to LESA/LEPA/MDI - Montana</v>
          </cell>
          <cell r="C76">
            <v>30.302095134072459</v>
          </cell>
          <cell r="D76">
            <v>36.438280264834965</v>
          </cell>
          <cell r="E76">
            <v>7.2876560529669936</v>
          </cell>
          <cell r="F76">
            <v>43.72593631780196</v>
          </cell>
          <cell r="G76">
            <v>45.509700570987505</v>
          </cell>
          <cell r="H76">
            <v>7.065187506327228</v>
          </cell>
          <cell r="I76">
            <v>12640.683769527408</v>
          </cell>
          <cell r="J76">
            <v>98.914643038909048</v>
          </cell>
          <cell r="K76">
            <v>179.9298740463131</v>
          </cell>
          <cell r="L76">
            <v>0.15524574799842331</v>
          </cell>
          <cell r="M76">
            <v>0.14090474237343703</v>
          </cell>
          <cell r="N76">
            <v>0</v>
          </cell>
          <cell r="O76">
            <v>9.2594132985785813E-3</v>
          </cell>
          <cell r="P76">
            <v>0</v>
          </cell>
          <cell r="Q76">
            <v>1.1001690077164086E-4</v>
          </cell>
          <cell r="R76">
            <v>1.0270691085504321E-2</v>
          </cell>
          <cell r="S76">
            <v>0.18312315266884288</v>
          </cell>
          <cell r="T76">
            <v>0.6911146621746167</v>
          </cell>
          <cell r="U76">
            <v>1.0195146312127319</v>
          </cell>
          <cell r="V76">
            <v>1.0225065657040435</v>
          </cell>
          <cell r="W76">
            <v>0.99906230817708841</v>
          </cell>
          <cell r="X76">
            <v>0.46757707338729054</v>
          </cell>
          <cell r="Y76">
            <v>0.25759684503657382</v>
          </cell>
          <cell r="Z76">
            <v>4.9480209658130554E-2</v>
          </cell>
          <cell r="AA76">
            <v>1.8449434683328938E-4</v>
          </cell>
          <cell r="AC76">
            <v>0</v>
          </cell>
          <cell r="AD76">
            <v>1.6802416776384088E-3</v>
          </cell>
          <cell r="AE76">
            <v>6.9869046448974251E-2</v>
          </cell>
          <cell r="AF76">
            <v>0.98507301495817767</v>
          </cell>
          <cell r="AG76">
            <v>3.8946097619625419</v>
          </cell>
          <cell r="AH76">
            <v>5.3950065954217923</v>
          </cell>
          <cell r="AI76">
            <v>5.6480589413636109</v>
          </cell>
          <cell r="AJ76">
            <v>5.2709566098242355</v>
          </cell>
          <cell r="AK76">
            <v>2.6007617318103886</v>
          </cell>
          <cell r="AL76">
            <v>1.3663939160368173</v>
          </cell>
          <cell r="AM76">
            <v>0.36599694627463575</v>
          </cell>
          <cell r="AN76">
            <v>3.1476779412279113E-3</v>
          </cell>
        </row>
        <row r="77">
          <cell r="A77" t="str">
            <v>Wheel-Line_Conversion to Low Pressure System (Alfalfa) - Montana</v>
          </cell>
          <cell r="C77">
            <v>80.877480729324333</v>
          </cell>
          <cell r="D77">
            <v>67.881278415155279</v>
          </cell>
          <cell r="E77">
            <v>13.576255683031057</v>
          </cell>
          <cell r="F77">
            <v>81.457534098186329</v>
          </cell>
          <cell r="G77">
            <v>141.42317494912569</v>
          </cell>
          <cell r="H77">
            <v>18.857262636916818</v>
          </cell>
          <cell r="I77">
            <v>8822.8267283477435</v>
          </cell>
          <cell r="J77">
            <v>68.151735433710655</v>
          </cell>
          <cell r="K77">
            <v>209.97370287237663</v>
          </cell>
          <cell r="L77">
            <v>0.13333926807752944</v>
          </cell>
          <cell r="M77">
            <v>0.37608028539135813</v>
          </cell>
          <cell r="N77">
            <v>0</v>
          </cell>
          <cell r="O77">
            <v>2.4713737360641471E-2</v>
          </cell>
          <cell r="P77">
            <v>0</v>
          </cell>
          <cell r="Q77">
            <v>2.9363942435958344E-4</v>
          </cell>
          <cell r="R77">
            <v>2.7412877448552884E-2</v>
          </cell>
          <cell r="S77">
            <v>0.48876287878900182</v>
          </cell>
          <cell r="T77">
            <v>1.8446121472614145</v>
          </cell>
          <cell r="U77">
            <v>2.7211245484625426</v>
          </cell>
          <cell r="V77">
            <v>2.7291101389998897</v>
          </cell>
          <cell r="W77">
            <v>2.6665364958917079</v>
          </cell>
          <cell r="X77">
            <v>1.2479815529267697</v>
          </cell>
          <cell r="Y77">
            <v>0.68753608548189793</v>
          </cell>
          <cell r="Z77">
            <v>0.13206462079279183</v>
          </cell>
          <cell r="AA77">
            <v>4.924226498088111E-4</v>
          </cell>
          <cell r="AC77">
            <v>0</v>
          </cell>
          <cell r="AD77">
            <v>4.4846309571183931E-3</v>
          </cell>
          <cell r="AE77">
            <v>0.1864832260855534</v>
          </cell>
          <cell r="AF77">
            <v>2.6291985234603192</v>
          </cell>
          <cell r="AG77">
            <v>10.394866248610818</v>
          </cell>
          <cell r="AH77">
            <v>14.399484260914283</v>
          </cell>
          <cell r="AI77">
            <v>15.074890900021789</v>
          </cell>
          <cell r="AJ77">
            <v>14.068389982606176</v>
          </cell>
          <cell r="AK77">
            <v>6.9415350956886055</v>
          </cell>
          <cell r="AL77">
            <v>3.6469589684798009</v>
          </cell>
          <cell r="AM77">
            <v>0.97686020845582977</v>
          </cell>
          <cell r="AN77">
            <v>8.4012759153253257E-3</v>
          </cell>
        </row>
        <row r="78">
          <cell r="A78" t="str">
            <v>Hand-Line_Conversion to Low Pressure System (Alfalfa) - Montana</v>
          </cell>
          <cell r="C78">
            <v>80.877480729324333</v>
          </cell>
          <cell r="D78">
            <v>67.881278415155279</v>
          </cell>
          <cell r="E78">
            <v>13.576255683031057</v>
          </cell>
          <cell r="F78">
            <v>81.457534098186329</v>
          </cell>
          <cell r="G78">
            <v>141.42317494912569</v>
          </cell>
          <cell r="H78">
            <v>18.857262636916818</v>
          </cell>
          <cell r="I78">
            <v>8822.8267283477435</v>
          </cell>
          <cell r="J78">
            <v>68.151735433710655</v>
          </cell>
          <cell r="K78">
            <v>209.97370287237663</v>
          </cell>
          <cell r="L78">
            <v>0.13333926807752944</v>
          </cell>
          <cell r="M78">
            <v>0.37608028539135813</v>
          </cell>
          <cell r="N78">
            <v>0</v>
          </cell>
          <cell r="O78">
            <v>2.4713737360641471E-2</v>
          </cell>
          <cell r="P78">
            <v>0</v>
          </cell>
          <cell r="Q78">
            <v>2.9363942435958344E-4</v>
          </cell>
          <cell r="R78">
            <v>2.7412877448552884E-2</v>
          </cell>
          <cell r="S78">
            <v>0.48876287878900182</v>
          </cell>
          <cell r="T78">
            <v>1.8446121472614145</v>
          </cell>
          <cell r="U78">
            <v>2.7211245484625426</v>
          </cell>
          <cell r="V78">
            <v>2.7291101389998897</v>
          </cell>
          <cell r="W78">
            <v>2.6665364958917079</v>
          </cell>
          <cell r="X78">
            <v>1.2479815529267697</v>
          </cell>
          <cell r="Y78">
            <v>0.68753608548189793</v>
          </cell>
          <cell r="Z78">
            <v>0.13206462079279183</v>
          </cell>
          <cell r="AA78">
            <v>4.924226498088111E-4</v>
          </cell>
          <cell r="AC78">
            <v>0</v>
          </cell>
          <cell r="AD78">
            <v>4.4846309571183931E-3</v>
          </cell>
          <cell r="AE78">
            <v>0.1864832260855534</v>
          </cell>
          <cell r="AF78">
            <v>2.6291985234603192</v>
          </cell>
          <cell r="AG78">
            <v>10.394866248610818</v>
          </cell>
          <cell r="AH78">
            <v>14.399484260914283</v>
          </cell>
          <cell r="AI78">
            <v>15.074890900021789</v>
          </cell>
          <cell r="AJ78">
            <v>14.068389982606176</v>
          </cell>
          <cell r="AK78">
            <v>6.9415350956886055</v>
          </cell>
          <cell r="AL78">
            <v>3.6469589684798009</v>
          </cell>
          <cell r="AM78">
            <v>0.97686020845582977</v>
          </cell>
          <cell r="AN78">
            <v>8.4012759153253257E-3</v>
          </cell>
        </row>
        <row r="79">
          <cell r="A79" t="str">
            <v>Pivot and Linear_Upgrade from high pressure to MESA - Montana</v>
          </cell>
          <cell r="C79">
            <v>17.824761843572055</v>
          </cell>
          <cell r="D79">
            <v>29.948384458157712</v>
          </cell>
          <cell r="E79">
            <v>5.989676891631543</v>
          </cell>
          <cell r="F79">
            <v>35.938061349789251</v>
          </cell>
          <cell r="G79">
            <v>36.548140792875408</v>
          </cell>
          <cell r="H79">
            <v>4.1559926507807265</v>
          </cell>
          <cell r="I79">
            <v>17661.802170876294</v>
          </cell>
          <cell r="J79">
            <v>139.37299435730478</v>
          </cell>
          <cell r="K79">
            <v>246.72175496559223</v>
          </cell>
          <cell r="L79">
            <v>0.1137128335565262</v>
          </cell>
          <cell r="M79">
            <v>8.2885142572610038E-2</v>
          </cell>
          <cell r="N79">
            <v>0</v>
          </cell>
          <cell r="O79">
            <v>5.4467137050462312E-3</v>
          </cell>
          <cell r="P79">
            <v>0</v>
          </cell>
          <cell r="Q79">
            <v>6.4715823983318229E-5</v>
          </cell>
          <cell r="R79">
            <v>6.0415829914731373E-3</v>
          </cell>
          <cell r="S79">
            <v>0.10771950156990771</v>
          </cell>
          <cell r="T79">
            <v>0.4065380365733044</v>
          </cell>
          <cell r="U79">
            <v>0.59971448894866652</v>
          </cell>
          <cell r="V79">
            <v>0.60147445041414394</v>
          </cell>
          <cell r="W79">
            <v>0.58768371069240566</v>
          </cell>
          <cell r="X79">
            <v>0.27504533728664182</v>
          </cell>
          <cell r="Y79">
            <v>0.15152755590386713</v>
          </cell>
          <cell r="Z79">
            <v>2.9106005681253301E-2</v>
          </cell>
          <cell r="AA79">
            <v>1.0852608637252329E-4</v>
          </cell>
          <cell r="AC79">
            <v>0</v>
          </cell>
          <cell r="AD79">
            <v>9.8837745743435919E-4</v>
          </cell>
          <cell r="AE79">
            <v>4.1099439087631966E-2</v>
          </cell>
          <cell r="AF79">
            <v>0.57945471468128162</v>
          </cell>
          <cell r="AG79">
            <v>2.2909469188014979</v>
          </cell>
          <cell r="AH79">
            <v>3.1735332914245871</v>
          </cell>
          <cell r="AI79">
            <v>3.3223876125668341</v>
          </cell>
          <cell r="AJ79">
            <v>3.1005627116613184</v>
          </cell>
          <cell r="AK79">
            <v>1.5298598422414069</v>
          </cell>
          <cell r="AL79">
            <v>0.80376112708048164</v>
          </cell>
          <cell r="AM79">
            <v>0.21529232133802129</v>
          </cell>
          <cell r="AN79">
            <v>1.8515752595458324E-3</v>
          </cell>
        </row>
        <row r="80">
          <cell r="A80" t="str">
            <v>Variable Rate Irrigation - Idaho</v>
          </cell>
          <cell r="C80">
            <v>62.795160361993304</v>
          </cell>
          <cell r="D80">
            <v>317.01782041354164</v>
          </cell>
          <cell r="E80">
            <v>63.403564082708328</v>
          </cell>
          <cell r="F80">
            <v>380.42138449624997</v>
          </cell>
          <cell r="G80">
            <v>372.8048262567815</v>
          </cell>
          <cell r="H80">
            <v>14.641218057180067</v>
          </cell>
          <cell r="I80">
            <v>53069.238281683509</v>
          </cell>
          <cell r="J80">
            <v>424.67327508158547</v>
          </cell>
          <cell r="K80">
            <v>719.93821700160993</v>
          </cell>
          <cell r="L80">
            <v>3.9273145157985294E-2</v>
          </cell>
          <cell r="M80">
            <v>0.29199749568326916</v>
          </cell>
          <cell r="N80">
            <v>0</v>
          </cell>
          <cell r="O80">
            <v>1.9188321479738941E-2</v>
          </cell>
          <cell r="P80">
            <v>0</v>
          </cell>
          <cell r="Q80">
            <v>2.2798849043004172E-4</v>
          </cell>
          <cell r="R80">
            <v>2.1283996729900726E-2</v>
          </cell>
          <cell r="S80">
            <v>0.37948688653226886</v>
          </cell>
          <cell r="T80">
            <v>1.4321998478244269</v>
          </cell>
          <cell r="U80">
            <v>2.1127444975385732</v>
          </cell>
          <cell r="V80">
            <v>2.1189446960840272</v>
          </cell>
          <cell r="W80">
            <v>2.0703610617029957</v>
          </cell>
          <cell r="X80">
            <v>0.96896195378686878</v>
          </cell>
          <cell r="Y80">
            <v>0.53381903532560249</v>
          </cell>
          <cell r="Z80">
            <v>0.10253804849070104</v>
          </cell>
          <cell r="AA80">
            <v>3.8232841801921308E-4</v>
          </cell>
          <cell r="AC80">
            <v>0</v>
          </cell>
          <cell r="AD80">
            <v>3.4819719602678292E-3</v>
          </cell>
          <cell r="AE80">
            <v>0.14478992151171582</v>
          </cell>
          <cell r="AF80">
            <v>2.041370989988625</v>
          </cell>
          <cell r="AG80">
            <v>8.070816340182029</v>
          </cell>
          <cell r="AH80">
            <v>11.180095066515371</v>
          </cell>
          <cell r="AI80">
            <v>11.704496517078026</v>
          </cell>
          <cell r="AJ80">
            <v>10.923025754837891</v>
          </cell>
          <cell r="AK80">
            <v>5.3895695756275579</v>
          </cell>
          <cell r="AL80">
            <v>2.8315839117904726</v>
          </cell>
          <cell r="AM80">
            <v>0.75845702521978764</v>
          </cell>
          <cell r="AN80">
            <v>6.5229463577606813E-3</v>
          </cell>
        </row>
        <row r="81">
          <cell r="A81" t="str">
            <v>Variable Rate Irrigation - Washington</v>
          </cell>
          <cell r="C81">
            <v>52.493072064635093</v>
          </cell>
          <cell r="D81">
            <v>425.38373128882586</v>
          </cell>
          <cell r="E81">
            <v>85.07674625776518</v>
          </cell>
          <cell r="F81">
            <v>510.46047754659105</v>
          </cell>
          <cell r="G81">
            <v>500.24035818782022</v>
          </cell>
          <cell r="H81">
            <v>12.239199807104269</v>
          </cell>
          <cell r="I81">
            <v>85185.217923656339</v>
          </cell>
          <cell r="J81">
            <v>683.45219312907</v>
          </cell>
          <cell r="K81">
            <v>1157.4030022431725</v>
          </cell>
          <cell r="L81">
            <v>2.4466638100616701E-2</v>
          </cell>
          <cell r="M81">
            <v>0.24409278510055324</v>
          </cell>
          <cell r="N81">
            <v>0</v>
          </cell>
          <cell r="O81">
            <v>1.6040311648681783E-2</v>
          </cell>
          <cell r="P81">
            <v>0</v>
          </cell>
          <cell r="Q81">
            <v>1.9058500988071455E-4</v>
          </cell>
          <cell r="R81">
            <v>1.7792173277773143E-2</v>
          </cell>
          <cell r="S81">
            <v>0.31722878590464126</v>
          </cell>
          <cell r="T81">
            <v>1.1972350956573081</v>
          </cell>
          <cell r="U81">
            <v>1.7661305190420116</v>
          </cell>
          <cell r="V81">
            <v>1.7713135214769979</v>
          </cell>
          <cell r="W81">
            <v>1.7307004518387692</v>
          </cell>
          <cell r="X81">
            <v>0.80999537822358947</v>
          </cell>
          <cell r="Y81">
            <v>0.44624141302107412</v>
          </cell>
          <cell r="Z81">
            <v>8.5715796213607448E-2</v>
          </cell>
          <cell r="AA81">
            <v>3.1960413961435759E-4</v>
          </cell>
          <cell r="AC81">
            <v>0</v>
          </cell>
          <cell r="AD81">
            <v>2.9107243931493312E-3</v>
          </cell>
          <cell r="AE81">
            <v>0.12103588461806894</v>
          </cell>
          <cell r="AF81">
            <v>1.7064664517201478</v>
          </cell>
          <cell r="AG81">
            <v>6.7467292275923647</v>
          </cell>
          <cell r="AH81">
            <v>9.3459039300625726</v>
          </cell>
          <cell r="AI81">
            <v>9.7842727944224688</v>
          </cell>
          <cell r="AJ81">
            <v>9.1310090587746959</v>
          </cell>
          <cell r="AK81">
            <v>4.5053641474895603</v>
          </cell>
          <cell r="AL81">
            <v>2.3670381201644632</v>
          </cell>
          <cell r="AM81">
            <v>0.63402560091061233</v>
          </cell>
          <cell r="AN81">
            <v>5.4528006817373053E-3</v>
          </cell>
        </row>
        <row r="82">
          <cell r="A82" t="str">
            <v>Variable Rate Irrigation - Oregon</v>
          </cell>
          <cell r="C82">
            <v>46.610275851872935</v>
          </cell>
          <cell r="D82">
            <v>620.12860576958815</v>
          </cell>
          <cell r="E82">
            <v>124.02572115391763</v>
          </cell>
          <cell r="F82">
            <v>744.15432692350578</v>
          </cell>
          <cell r="G82">
            <v>729.2553359593918</v>
          </cell>
          <cell r="H82">
            <v>10.867576553966837</v>
          </cell>
          <cell r="I82">
            <v>139857.39806746857</v>
          </cell>
          <cell r="J82">
            <v>1123.9807954832302</v>
          </cell>
          <cell r="K82">
            <v>1902.1149435237458</v>
          </cell>
          <cell r="L82">
            <v>1.4902292815821085E-2</v>
          </cell>
          <cell r="M82">
            <v>0.21673778271120922</v>
          </cell>
          <cell r="N82">
            <v>0</v>
          </cell>
          <cell r="O82">
            <v>1.4242705204498034E-2</v>
          </cell>
          <cell r="P82">
            <v>0</v>
          </cell>
          <cell r="Q82">
            <v>1.6922651950783261E-4</v>
          </cell>
          <cell r="R82">
            <v>1.5798239117348813E-2</v>
          </cell>
          <cell r="S82">
            <v>0.28167757453714681</v>
          </cell>
          <cell r="T82">
            <v>1.0630632933698263</v>
          </cell>
          <cell r="U82">
            <v>1.5682037161322677</v>
          </cell>
          <cell r="V82">
            <v>1.5728058695924076</v>
          </cell>
          <cell r="W82">
            <v>1.5367442274637415</v>
          </cell>
          <cell r="X82">
            <v>0.7192207758627035</v>
          </cell>
          <cell r="Y82">
            <v>0.39623200813683251</v>
          </cell>
          <cell r="Z82">
            <v>7.6109794097396419E-2</v>
          </cell>
          <cell r="AA82">
            <v>2.8378672698909941E-4</v>
          </cell>
          <cell r="AC82">
            <v>0</v>
          </cell>
          <cell r="AD82">
            <v>2.5845251869887659E-3</v>
          </cell>
          <cell r="AE82">
            <v>0.10747162907663736</v>
          </cell>
          <cell r="AF82">
            <v>1.5152260844765593</v>
          </cell>
          <cell r="AG82">
            <v>5.9906364407243755</v>
          </cell>
          <cell r="AH82">
            <v>8.298526703275126</v>
          </cell>
          <cell r="AI82">
            <v>8.6877684239259647</v>
          </cell>
          <cell r="AJ82">
            <v>8.1077146811182317</v>
          </cell>
          <cell r="AK82">
            <v>4.0004567739730836</v>
          </cell>
          <cell r="AL82">
            <v>2.1017687743044711</v>
          </cell>
          <cell r="AM82">
            <v>0.56297158831179517</v>
          </cell>
          <cell r="AN82">
            <v>4.841715943546071E-3</v>
          </cell>
        </row>
        <row r="83">
          <cell r="A83" t="str">
            <v>Variable Rate Irrigation - Montana</v>
          </cell>
          <cell r="C83">
            <v>22.203466471310715</v>
          </cell>
          <cell r="D83">
            <v>300.41992642919615</v>
          </cell>
          <cell r="E83">
            <v>60.083985285839233</v>
          </cell>
          <cell r="F83">
            <v>360.50391171503537</v>
          </cell>
          <cell r="G83">
            <v>353.28612861703806</v>
          </cell>
          <cell r="H83">
            <v>5.1769243419036552</v>
          </cell>
          <cell r="I83">
            <v>142230.68594735902</v>
          </cell>
          <cell r="J83">
            <v>1143.1038886169235</v>
          </cell>
          <cell r="K83">
            <v>1934.4424603632378</v>
          </cell>
          <cell r="L83">
            <v>1.4653630365191716E-2</v>
          </cell>
          <cell r="M83">
            <v>0.10324611909159481</v>
          </cell>
          <cell r="N83">
            <v>0</v>
          </cell>
          <cell r="O83">
            <v>6.7847147799303875E-3</v>
          </cell>
          <cell r="P83">
            <v>0</v>
          </cell>
          <cell r="Q83">
            <v>8.0613454507109217E-5</v>
          </cell>
          <cell r="R83">
            <v>7.5257154379983916E-3</v>
          </cell>
          <cell r="S83">
            <v>0.13418111065962188</v>
          </cell>
          <cell r="T83">
            <v>0.50640528852973143</v>
          </cell>
          <cell r="U83">
            <v>0.74703609869171195</v>
          </cell>
          <cell r="V83">
            <v>0.74922839981373901</v>
          </cell>
          <cell r="W83">
            <v>0.7320499247399409</v>
          </cell>
          <cell r="X83">
            <v>0.34261102493981327</v>
          </cell>
          <cell r="Y83">
            <v>0.18875074104872</v>
          </cell>
          <cell r="Z83">
            <v>3.6255980692978418E-2</v>
          </cell>
          <cell r="AA83">
            <v>1.3518583536665084E-4</v>
          </cell>
          <cell r="AC83">
            <v>0</v>
          </cell>
          <cell r="AD83">
            <v>1.2311752566308231E-3</v>
          </cell>
          <cell r="AE83">
            <v>5.1195635923797549E-2</v>
          </cell>
          <cell r="AF83">
            <v>0.7217994519073162</v>
          </cell>
          <cell r="AG83">
            <v>2.8537246974497577</v>
          </cell>
          <cell r="AH83">
            <v>3.9531209813692181</v>
          </cell>
          <cell r="AI83">
            <v>4.1385417997563918</v>
          </cell>
          <cell r="AJ83">
            <v>3.8622249662984687</v>
          </cell>
          <cell r="AK83">
            <v>1.905674365307795</v>
          </cell>
          <cell r="AL83">
            <v>1.0012073873800502</v>
          </cell>
          <cell r="AM83">
            <v>0.2681795067059059</v>
          </cell>
          <cell r="AN83">
            <v>2.3064201112599921E-3</v>
          </cell>
        </row>
      </sheetData>
      <sheetData sheetId="6">
        <row r="4">
          <cell r="A4" t="str">
            <v>See row 403 for inputs that results are based on</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row>
        <row r="5">
          <cell r="A5">
            <v>1</v>
          </cell>
          <cell r="B5">
            <v>2</v>
          </cell>
          <cell r="C5">
            <v>3</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row>
        <row r="6">
          <cell r="A6" t="str">
            <v>Input Data</v>
          </cell>
          <cell r="I6" t="str">
            <v>Periodic Replacement Costs and Savings and Replacement Period</v>
          </cell>
          <cell r="O6" t="str">
            <v>Gas Inputs</v>
          </cell>
          <cell r="Q6" t="str">
            <v>Savings Period 2 Parameters (if applicable)</v>
          </cell>
        </row>
        <row r="7">
          <cell r="A7" t="str">
            <v>Measure Application</v>
          </cell>
          <cell r="B7" t="str">
            <v>Savings Component</v>
          </cell>
          <cell r="C7" t="str">
            <v>Savings for Period 1</v>
          </cell>
          <cell r="D7" t="str">
            <v>Measure Life</v>
          </cell>
          <cell r="E7" t="str">
            <v>Capital Cost</v>
          </cell>
          <cell r="F7" t="str">
            <v>Annual O&amp;M</v>
          </cell>
          <cell r="G7" t="str">
            <v>Shape Pointer</v>
          </cell>
          <cell r="H7" t="str">
            <v>Non-E Val ($/yr)</v>
          </cell>
          <cell r="I7" t="str">
            <v>Cost A</v>
          </cell>
          <cell r="J7" t="str">
            <v>Replacement Period A (yrs)</v>
          </cell>
          <cell r="K7" t="str">
            <v>Cost B</v>
          </cell>
          <cell r="L7" t="str">
            <v>Replacement Period B (yrs)</v>
          </cell>
          <cell r="M7" t="str">
            <v>Cost C</v>
          </cell>
          <cell r="N7" t="str">
            <v>Replacement Period C (yrs)</v>
          </cell>
          <cell r="O7" t="str">
            <v>Savings (therms/yr)</v>
          </cell>
          <cell r="P7" t="str">
            <v>Shape Pointer</v>
          </cell>
          <cell r="Q7" t="str">
            <v>Savings for Period 2 (kWh/yr)</v>
          </cell>
          <cell r="R7" t="str">
            <v>Length of Period 1 (yrs)</v>
          </cell>
          <cell r="S7" t="str">
            <v>Base Case Cost at Start of Period 2 ($)</v>
          </cell>
        </row>
        <row r="8">
          <cell r="A8" t="str">
            <v>Wheel and Hand_Rebuilt or new impact sprinkler - Idaho</v>
          </cell>
          <cell r="B8" t="str">
            <v>Pump</v>
          </cell>
          <cell r="C8">
            <v>5.2692688124895968</v>
          </cell>
          <cell r="D8">
            <v>4</v>
          </cell>
          <cell r="E8">
            <v>25.065699750603557</v>
          </cell>
          <cell r="F8">
            <v>-3.7229540426909793</v>
          </cell>
          <cell r="G8" t="str">
            <v>A-Irr-Irr-Irrigation-All-All-E</v>
          </cell>
          <cell r="I8">
            <v>0</v>
          </cell>
          <cell r="J8">
            <v>0</v>
          </cell>
        </row>
        <row r="9">
          <cell r="A9" t="str">
            <v>Wheel and Hand_Gaskets - Idaho</v>
          </cell>
          <cell r="B9" t="str">
            <v>Pump</v>
          </cell>
          <cell r="C9">
            <v>25.816463044483005</v>
          </cell>
          <cell r="D9">
            <v>5</v>
          </cell>
          <cell r="E9">
            <v>6.9373406404505005</v>
          </cell>
          <cell r="F9">
            <v>-0.85531127870097634</v>
          </cell>
          <cell r="G9" t="str">
            <v>A-Irr-Irr-Irrigation-All-All-E</v>
          </cell>
          <cell r="I9">
            <v>0</v>
          </cell>
          <cell r="J9">
            <v>0</v>
          </cell>
        </row>
        <row r="10">
          <cell r="A10" t="str">
            <v>Wheel and Hand_Drains - Idaho</v>
          </cell>
          <cell r="B10" t="str">
            <v>Pump</v>
          </cell>
          <cell r="C10">
            <v>16.785232306371459</v>
          </cell>
          <cell r="D10">
            <v>5</v>
          </cell>
          <cell r="E10">
            <v>9.9983998095375899</v>
          </cell>
          <cell r="F10">
            <v>-1.232712154308147</v>
          </cell>
          <cell r="G10" t="str">
            <v>A-Irr-Irr-Irrigation-All-All-E</v>
          </cell>
          <cell r="I10">
            <v>0</v>
          </cell>
          <cell r="J10">
            <v>0</v>
          </cell>
        </row>
        <row r="11">
          <cell r="A11" t="str">
            <v>Wheel and Hand_Cut and press repair - Idaho</v>
          </cell>
          <cell r="B11" t="str">
            <v>Pump</v>
          </cell>
          <cell r="C11">
            <v>74.219281680141904</v>
          </cell>
          <cell r="D11">
            <v>8</v>
          </cell>
          <cell r="E11">
            <v>30.388468755978995</v>
          </cell>
          <cell r="F11">
            <v>-2.6079383649944781</v>
          </cell>
          <cell r="G11" t="str">
            <v>A-Irr-Irr-Irrigation-All-All-E</v>
          </cell>
          <cell r="I11">
            <v>0</v>
          </cell>
          <cell r="J11">
            <v>0</v>
          </cell>
        </row>
        <row r="12">
          <cell r="A12" t="str">
            <v>Wheel and Hand_Hub gasket - Idaho</v>
          </cell>
          <cell r="B12" t="str">
            <v>Pump</v>
          </cell>
          <cell r="C12">
            <v>84.945906067609471</v>
          </cell>
          <cell r="D12">
            <v>10</v>
          </cell>
          <cell r="E12">
            <v>28.461673476483401</v>
          </cell>
          <cell r="F12">
            <v>-2.0942597516815611</v>
          </cell>
          <cell r="G12" t="str">
            <v>A-Irr-Irr-Irrigation-All-All-E</v>
          </cell>
          <cell r="I12">
            <v>0</v>
          </cell>
          <cell r="J12">
            <v>0</v>
          </cell>
        </row>
        <row r="13">
          <cell r="A13" t="str">
            <v>Wheel and Hand_Levelers - Idaho</v>
          </cell>
          <cell r="B13" t="str">
            <v>Pump</v>
          </cell>
          <cell r="C13">
            <v>7.2581206499856705</v>
          </cell>
          <cell r="D13">
            <v>5</v>
          </cell>
          <cell r="E13">
            <v>12.845511625508943</v>
          </cell>
          <cell r="F13">
            <v>-1.5837352587127447</v>
          </cell>
          <cell r="G13" t="str">
            <v>A-Irr-Irr-Irrigation-All-All-E</v>
          </cell>
          <cell r="I13">
            <v>0</v>
          </cell>
          <cell r="J13">
            <v>0</v>
          </cell>
        </row>
        <row r="14">
          <cell r="A14" t="str">
            <v>Pivot and Linear_Base boot gasket - Idaho</v>
          </cell>
          <cell r="B14" t="str">
            <v>Pump</v>
          </cell>
          <cell r="C14">
            <v>15.996205555697001</v>
          </cell>
          <cell r="D14">
            <v>8</v>
          </cell>
          <cell r="E14">
            <v>2.4405750787636542</v>
          </cell>
          <cell r="F14">
            <v>0</v>
          </cell>
          <cell r="G14" t="str">
            <v>A-Irr-Irr-Irrigation-All-All-E</v>
          </cell>
          <cell r="I14">
            <v>0</v>
          </cell>
          <cell r="J14">
            <v>0</v>
          </cell>
        </row>
        <row r="15">
          <cell r="A15" t="str">
            <v>Pivot and Linear_Tower gasket - Idaho</v>
          </cell>
          <cell r="B15" t="str">
            <v>Pump</v>
          </cell>
          <cell r="C15">
            <v>0.48877294753518602</v>
          </cell>
          <cell r="D15">
            <v>8</v>
          </cell>
          <cell r="E15">
            <v>5.2419313748037162</v>
          </cell>
          <cell r="F15">
            <v>-0.44986254650718882</v>
          </cell>
          <cell r="G15" t="str">
            <v>A-Irr-Irr-Irrigation-All-All-E</v>
          </cell>
          <cell r="I15">
            <v>0</v>
          </cell>
          <cell r="J15">
            <v>0</v>
          </cell>
        </row>
        <row r="16">
          <cell r="A16" t="str">
            <v>Wheel and Hand_Nozzle replacement - Idaho</v>
          </cell>
          <cell r="B16" t="str">
            <v>Pump</v>
          </cell>
          <cell r="C16">
            <v>41.333112884858252</v>
          </cell>
          <cell r="D16">
            <v>4</v>
          </cell>
          <cell r="E16">
            <v>4.9428547606377924</v>
          </cell>
          <cell r="F16">
            <v>-0.73415150171930543</v>
          </cell>
          <cell r="G16" t="str">
            <v>A-Irr-Irr-Irrigation-All-All-E</v>
          </cell>
          <cell r="I16">
            <v>0</v>
          </cell>
          <cell r="J16">
            <v>0</v>
          </cell>
        </row>
        <row r="17">
          <cell r="A17" t="str">
            <v>Pivot and Linear_Sprinkler package replacement, high pressure - Idaho</v>
          </cell>
          <cell r="B17" t="str">
            <v>Pump</v>
          </cell>
          <cell r="C17">
            <v>25.784358026058701</v>
          </cell>
          <cell r="D17">
            <v>4</v>
          </cell>
          <cell r="E17">
            <v>8.4091036407101392</v>
          </cell>
          <cell r="F17">
            <v>-1.2489859332107978</v>
          </cell>
          <cell r="G17" t="str">
            <v>A-Irr-Irr-Irrigation-All-All-E</v>
          </cell>
          <cell r="I17">
            <v>0</v>
          </cell>
          <cell r="J17">
            <v>0</v>
          </cell>
        </row>
        <row r="18">
          <cell r="A18" t="str">
            <v>Pivot and Linear_Sprinkler package replacement, MESA - Idaho</v>
          </cell>
          <cell r="B18" t="str">
            <v>Pump</v>
          </cell>
          <cell r="C18">
            <v>25.784358026058701</v>
          </cell>
          <cell r="D18">
            <v>5</v>
          </cell>
          <cell r="E18">
            <v>27.554783113802578</v>
          </cell>
          <cell r="F18">
            <v>-3.3972552309128208</v>
          </cell>
          <cell r="G18" t="str">
            <v>A-Irr-Irr-Irrigation-All-All-E</v>
          </cell>
          <cell r="I18">
            <v>0</v>
          </cell>
          <cell r="J18">
            <v>0</v>
          </cell>
        </row>
        <row r="19">
          <cell r="A19" t="str">
            <v>Pivot and Linear_Sprinkler package replacement, LESA/LEPA/MDI - Idaho</v>
          </cell>
          <cell r="B19" t="str">
            <v>Pump</v>
          </cell>
          <cell r="C19">
            <v>25.784358026058701</v>
          </cell>
          <cell r="D19">
            <v>5</v>
          </cell>
          <cell r="E19">
            <v>37.921401277472171</v>
          </cell>
          <cell r="F19">
            <v>-4.675365373821589</v>
          </cell>
          <cell r="G19" t="str">
            <v>A-Irr-Irr-Irrigation-All-All-E</v>
          </cell>
          <cell r="I19">
            <v>0</v>
          </cell>
          <cell r="J19">
            <v>0</v>
          </cell>
        </row>
        <row r="20">
          <cell r="A20" t="str">
            <v>Pivot and Linear_Upgrade from high pressure to MESA - Idaho</v>
          </cell>
          <cell r="B20" t="str">
            <v>Pump</v>
          </cell>
          <cell r="C20">
            <v>37.327168620205875</v>
          </cell>
          <cell r="D20">
            <v>10</v>
          </cell>
          <cell r="E20">
            <v>29.948384458157712</v>
          </cell>
          <cell r="F20">
            <v>0</v>
          </cell>
          <cell r="G20" t="str">
            <v>A-Irr-Irr-Irrigation-All-All-E</v>
          </cell>
          <cell r="I20">
            <v>1.6582412769936674</v>
          </cell>
          <cell r="J20">
            <v>5</v>
          </cell>
        </row>
        <row r="21">
          <cell r="A21" t="str">
            <v>Pivot and Linear_Upgrade from MESA to LESA/LEPA/MDI - Idaho</v>
          </cell>
          <cell r="B21" t="str">
            <v>Pump</v>
          </cell>
          <cell r="C21">
            <v>63.456186654349871</v>
          </cell>
          <cell r="D21">
            <v>10</v>
          </cell>
          <cell r="E21">
            <v>36.438280264834965</v>
          </cell>
          <cell r="F21">
            <v>0</v>
          </cell>
          <cell r="G21" t="str">
            <v>A-Irr-Irr-Irrigation-All-All-E</v>
          </cell>
          <cell r="I21">
            <v>3.3164825539873348</v>
          </cell>
          <cell r="J21">
            <v>5</v>
          </cell>
        </row>
        <row r="22">
          <cell r="A22" t="str">
            <v>Wheel and Hand_Rebuilt or new impact sprinkler - Washington</v>
          </cell>
          <cell r="B22" t="str">
            <v>Pump</v>
          </cell>
          <cell r="C22">
            <v>7.229410182049377</v>
          </cell>
          <cell r="D22">
            <v>4</v>
          </cell>
          <cell r="E22">
            <v>25.065699750603557</v>
          </cell>
          <cell r="F22">
            <v>-3.7229540426909793</v>
          </cell>
          <cell r="G22" t="str">
            <v>A-Irr-Irr-Irrigation-All-All-E</v>
          </cell>
          <cell r="I22">
            <v>0</v>
          </cell>
          <cell r="J22">
            <v>0</v>
          </cell>
        </row>
        <row r="23">
          <cell r="A23" t="str">
            <v>Wheel and Hand_Gaskets - Washington</v>
          </cell>
          <cell r="B23" t="str">
            <v>Pump</v>
          </cell>
          <cell r="C23">
            <v>35.420056831396536</v>
          </cell>
          <cell r="D23">
            <v>5</v>
          </cell>
          <cell r="E23">
            <v>6.9373406404505005</v>
          </cell>
          <cell r="F23">
            <v>-0.85531127870097634</v>
          </cell>
          <cell r="G23" t="str">
            <v>A-Irr-Irr-Irrigation-All-All-E</v>
          </cell>
          <cell r="I23">
            <v>0</v>
          </cell>
          <cell r="J23">
            <v>0</v>
          </cell>
        </row>
        <row r="24">
          <cell r="A24" t="str">
            <v>Wheel and Hand_Drains - Washington</v>
          </cell>
          <cell r="B24" t="str">
            <v>Pump</v>
          </cell>
          <cell r="C24">
            <v>23.029253898780006</v>
          </cell>
          <cell r="D24">
            <v>5</v>
          </cell>
          <cell r="E24">
            <v>9.9983998095375899</v>
          </cell>
          <cell r="F24">
            <v>-1.2327121543081467</v>
          </cell>
          <cell r="G24" t="str">
            <v>A-Irr-Irr-Irrigation-All-All-E</v>
          </cell>
          <cell r="I24">
            <v>0</v>
          </cell>
          <cell r="J24">
            <v>0</v>
          </cell>
        </row>
        <row r="25">
          <cell r="A25" t="str">
            <v>Wheel and Hand_Cut and press repair - Washington</v>
          </cell>
          <cell r="B25" t="str">
            <v>Pump</v>
          </cell>
          <cell r="C25">
            <v>101.8284793918678</v>
          </cell>
          <cell r="D25">
            <v>8</v>
          </cell>
          <cell r="E25">
            <v>30.388468755978995</v>
          </cell>
          <cell r="F25">
            <v>-2.6079383649944781</v>
          </cell>
          <cell r="G25" t="str">
            <v>A-Irr-Irr-Irrigation-All-All-E</v>
          </cell>
          <cell r="I25">
            <v>0</v>
          </cell>
          <cell r="J25">
            <v>0</v>
          </cell>
        </row>
        <row r="26">
          <cell r="A26" t="str">
            <v>Wheel and Hand_Hub gasket - Washington</v>
          </cell>
          <cell r="B26" t="str">
            <v>Pump</v>
          </cell>
          <cell r="C26">
            <v>116.54535384358856</v>
          </cell>
          <cell r="D26">
            <v>10</v>
          </cell>
          <cell r="E26">
            <v>28.461673476483401</v>
          </cell>
          <cell r="F26">
            <v>-2.0942597516815615</v>
          </cell>
          <cell r="G26" t="str">
            <v>A-Irr-Irr-Irrigation-All-All-E</v>
          </cell>
          <cell r="I26">
            <v>0</v>
          </cell>
          <cell r="J26">
            <v>0</v>
          </cell>
        </row>
        <row r="27">
          <cell r="A27" t="str">
            <v>Wheel and Hand_Levelers - Washington</v>
          </cell>
          <cell r="B27" t="str">
            <v>Pump</v>
          </cell>
          <cell r="C27">
            <v>9.9581048522665085</v>
          </cell>
          <cell r="D27">
            <v>5</v>
          </cell>
          <cell r="E27">
            <v>12.845511625508943</v>
          </cell>
          <cell r="F27">
            <v>-1.5837352587127447</v>
          </cell>
          <cell r="G27" t="str">
            <v>A-Irr-Irr-Irrigation-All-All-E</v>
          </cell>
          <cell r="I27">
            <v>0</v>
          </cell>
          <cell r="J27">
            <v>0</v>
          </cell>
        </row>
        <row r="28">
          <cell r="A28" t="str">
            <v>Pivot and Linear_Base boot gasket - Washington</v>
          </cell>
          <cell r="B28" t="str">
            <v>Pump</v>
          </cell>
          <cell r="C28">
            <v>20.730741370533092</v>
          </cell>
          <cell r="D28">
            <v>8</v>
          </cell>
          <cell r="E28">
            <v>2.4405750787636538</v>
          </cell>
          <cell r="F28">
            <v>0</v>
          </cell>
          <cell r="G28" t="str">
            <v>A-Irr-Irr-Irrigation-All-All-E</v>
          </cell>
          <cell r="I28">
            <v>0</v>
          </cell>
          <cell r="J28">
            <v>0</v>
          </cell>
        </row>
        <row r="29">
          <cell r="A29" t="str">
            <v>Pivot and Linear_Tower gasket - Washington</v>
          </cell>
          <cell r="B29" t="str">
            <v>Pump</v>
          </cell>
          <cell r="C29">
            <v>0.63343931965517764</v>
          </cell>
          <cell r="D29">
            <v>8</v>
          </cell>
          <cell r="E29">
            <v>5.2419313748037162</v>
          </cell>
          <cell r="F29">
            <v>-0.44986254650718882</v>
          </cell>
          <cell r="G29" t="str">
            <v>A-Irr-Irr-Irrigation-All-All-E</v>
          </cell>
          <cell r="I29">
            <v>0</v>
          </cell>
          <cell r="J29">
            <v>0</v>
          </cell>
        </row>
        <row r="30">
          <cell r="A30" t="str">
            <v>Wheel and Hand_Nozzle replacement - Washington</v>
          </cell>
          <cell r="B30" t="str">
            <v>Pump</v>
          </cell>
          <cell r="C30">
            <v>56.708821997716306</v>
          </cell>
          <cell r="D30">
            <v>4</v>
          </cell>
          <cell r="E30">
            <v>4.9428547606377915</v>
          </cell>
          <cell r="F30">
            <v>-0.73415150171930543</v>
          </cell>
          <cell r="G30" t="str">
            <v>A-Irr-Irr-Irrigation-All-All-E</v>
          </cell>
          <cell r="I30">
            <v>0</v>
          </cell>
          <cell r="J30">
            <v>0</v>
          </cell>
        </row>
        <row r="31">
          <cell r="A31" t="str">
            <v>Pivot and Linear_Sprinkler package replacement, high pressure - Washington</v>
          </cell>
          <cell r="B31" t="str">
            <v>Pump</v>
          </cell>
          <cell r="C31">
            <v>33.415978294495041</v>
          </cell>
          <cell r="D31">
            <v>4</v>
          </cell>
          <cell r="E31">
            <v>8.4091036407101392</v>
          </cell>
          <cell r="F31">
            <v>-1.2489859332107978</v>
          </cell>
          <cell r="G31" t="str">
            <v>A-Irr-Irr-Irrigation-All-All-E</v>
          </cell>
          <cell r="I31">
            <v>0</v>
          </cell>
          <cell r="J31">
            <v>0</v>
          </cell>
        </row>
        <row r="32">
          <cell r="A32" t="str">
            <v>Pivot and Linear_Sprinkler package replacement, MESA - Washington</v>
          </cell>
          <cell r="B32" t="str">
            <v>Pump</v>
          </cell>
          <cell r="C32">
            <v>33.415978294495041</v>
          </cell>
          <cell r="D32">
            <v>5</v>
          </cell>
          <cell r="E32">
            <v>27.554783113802586</v>
          </cell>
          <cell r="F32">
            <v>-3.3972552309128203</v>
          </cell>
          <cell r="G32" t="str">
            <v>A-Irr-Irr-Irrigation-All-All-E</v>
          </cell>
          <cell r="I32">
            <v>0</v>
          </cell>
          <cell r="J32">
            <v>0</v>
          </cell>
        </row>
        <row r="33">
          <cell r="A33" t="str">
            <v>Pivot and Linear_Sprinkler package replacement, LESA/LEPA/MDI - Washington</v>
          </cell>
          <cell r="B33" t="str">
            <v>Pump</v>
          </cell>
          <cell r="C33">
            <v>33.415978294495041</v>
          </cell>
          <cell r="D33">
            <v>5</v>
          </cell>
          <cell r="E33">
            <v>37.921401277472171</v>
          </cell>
          <cell r="F33">
            <v>-4.675365373821589</v>
          </cell>
          <cell r="G33" t="str">
            <v>A-Irr-Irr-Irrigation-All-All-E</v>
          </cell>
          <cell r="I33">
            <v>0</v>
          </cell>
          <cell r="J33">
            <v>0</v>
          </cell>
        </row>
        <row r="34">
          <cell r="A34" t="str">
            <v>Pivot and Linear_Upgrade from high pressure to MESA - Washington</v>
          </cell>
          <cell r="B34" t="str">
            <v>Pump</v>
          </cell>
          <cell r="C34">
            <v>48.375214738608591</v>
          </cell>
          <cell r="D34">
            <v>10</v>
          </cell>
          <cell r="E34">
            <v>29.948384458157715</v>
          </cell>
          <cell r="F34">
            <v>0</v>
          </cell>
          <cell r="G34" t="str">
            <v>A-Irr-Irr-Irrigation-All-All-E</v>
          </cell>
          <cell r="I34">
            <v>1.6582412769936674</v>
          </cell>
          <cell r="J34">
            <v>5</v>
          </cell>
        </row>
        <row r="35">
          <cell r="A35" t="str">
            <v>Pivot and Linear_Upgrade from MESA to LESA/LEPA/MDI - Washington</v>
          </cell>
          <cell r="B35" t="str">
            <v>Pump</v>
          </cell>
          <cell r="C35">
            <v>82.237865055634487</v>
          </cell>
          <cell r="D35">
            <v>10</v>
          </cell>
          <cell r="E35">
            <v>36.438280264834958</v>
          </cell>
          <cell r="F35">
            <v>0</v>
          </cell>
          <cell r="G35" t="str">
            <v>A-Irr-Irr-Irrigation-All-All-E</v>
          </cell>
          <cell r="I35">
            <v>3.3164825539873348</v>
          </cell>
          <cell r="J35">
            <v>5</v>
          </cell>
        </row>
        <row r="36">
          <cell r="A36" t="str">
            <v>Wheel and Hand_Rebuilt or new impact sprinkler - Oregon</v>
          </cell>
          <cell r="B36" t="str">
            <v>Pump</v>
          </cell>
          <cell r="C36">
            <v>7.229410182049377</v>
          </cell>
          <cell r="D36">
            <v>4</v>
          </cell>
          <cell r="E36">
            <v>25.065699750603557</v>
          </cell>
          <cell r="F36">
            <v>-3.7229540426909793</v>
          </cell>
          <cell r="G36" t="str">
            <v>A-Irr-Irr-Irrigation-All-All-E</v>
          </cell>
          <cell r="I36">
            <v>0</v>
          </cell>
          <cell r="J36">
            <v>0</v>
          </cell>
        </row>
        <row r="37">
          <cell r="A37" t="str">
            <v>Wheel and Hand_Gaskets - Oregon</v>
          </cell>
          <cell r="B37" t="str">
            <v>Pump</v>
          </cell>
          <cell r="C37">
            <v>35.420056831396536</v>
          </cell>
          <cell r="D37">
            <v>5</v>
          </cell>
          <cell r="E37">
            <v>6.9373406404505005</v>
          </cell>
          <cell r="F37">
            <v>-0.85531127870097634</v>
          </cell>
          <cell r="G37" t="str">
            <v>A-Irr-Irr-Irrigation-All-All-E</v>
          </cell>
          <cell r="I37">
            <v>0</v>
          </cell>
          <cell r="J37">
            <v>0</v>
          </cell>
        </row>
        <row r="38">
          <cell r="A38" t="str">
            <v>Wheel and Hand_Drains - Oregon</v>
          </cell>
          <cell r="B38" t="str">
            <v>Pump</v>
          </cell>
          <cell r="C38">
            <v>23.029253898780006</v>
          </cell>
          <cell r="D38">
            <v>5</v>
          </cell>
          <cell r="E38">
            <v>9.9983998095375899</v>
          </cell>
          <cell r="F38">
            <v>-1.2327121543081467</v>
          </cell>
          <cell r="G38" t="str">
            <v>A-Irr-Irr-Irrigation-All-All-E</v>
          </cell>
          <cell r="I38">
            <v>0</v>
          </cell>
          <cell r="J38">
            <v>0</v>
          </cell>
        </row>
        <row r="39">
          <cell r="A39" t="str">
            <v>Wheel and Hand_Cut and press repair - Oregon</v>
          </cell>
          <cell r="B39" t="str">
            <v>Pump</v>
          </cell>
          <cell r="C39">
            <v>101.8284793918678</v>
          </cell>
          <cell r="D39">
            <v>8</v>
          </cell>
          <cell r="E39">
            <v>30.388468755978995</v>
          </cell>
          <cell r="F39">
            <v>-2.6079383649944781</v>
          </cell>
          <cell r="G39" t="str">
            <v>A-Irr-Irr-Irrigation-All-All-E</v>
          </cell>
          <cell r="I39">
            <v>0</v>
          </cell>
          <cell r="J39">
            <v>0</v>
          </cell>
        </row>
        <row r="40">
          <cell r="A40" t="str">
            <v>Wheel and Hand_Hub gasket - Oregon</v>
          </cell>
          <cell r="B40" t="str">
            <v>Pump</v>
          </cell>
          <cell r="C40">
            <v>116.54535384358856</v>
          </cell>
          <cell r="D40">
            <v>10</v>
          </cell>
          <cell r="E40">
            <v>28.461673476483401</v>
          </cell>
          <cell r="F40">
            <v>-2.0942597516815615</v>
          </cell>
          <cell r="G40" t="str">
            <v>A-Irr-Irr-Irrigation-All-All-E</v>
          </cell>
          <cell r="I40">
            <v>0</v>
          </cell>
          <cell r="J40">
            <v>0</v>
          </cell>
        </row>
        <row r="41">
          <cell r="A41" t="str">
            <v>Wheel and Hand_Levelers - Oregon</v>
          </cell>
          <cell r="B41" t="str">
            <v>Pump</v>
          </cell>
          <cell r="C41">
            <v>9.9581048522665085</v>
          </cell>
          <cell r="D41">
            <v>5</v>
          </cell>
          <cell r="E41">
            <v>12.845511625508943</v>
          </cell>
          <cell r="F41">
            <v>-1.5837352587127447</v>
          </cell>
          <cell r="G41" t="str">
            <v>A-Irr-Irr-Irrigation-All-All-E</v>
          </cell>
          <cell r="I41">
            <v>0</v>
          </cell>
          <cell r="J41">
            <v>0</v>
          </cell>
        </row>
        <row r="42">
          <cell r="A42" t="str">
            <v>Pivot and Linear_Base boot gasket - Oregon</v>
          </cell>
          <cell r="B42" t="str">
            <v>Pump</v>
          </cell>
          <cell r="C42">
            <v>20.730741370533092</v>
          </cell>
          <cell r="D42">
            <v>8</v>
          </cell>
          <cell r="E42">
            <v>2.4405750787636538</v>
          </cell>
          <cell r="F42">
            <v>0</v>
          </cell>
          <cell r="G42" t="str">
            <v>A-Irr-Irr-Irrigation-All-All-E</v>
          </cell>
          <cell r="I42">
            <v>0</v>
          </cell>
          <cell r="J42">
            <v>0</v>
          </cell>
        </row>
        <row r="43">
          <cell r="A43" t="str">
            <v>Pivot and Linear_Tower gasket - Oregon</v>
          </cell>
          <cell r="B43" t="str">
            <v>Pump</v>
          </cell>
          <cell r="C43">
            <v>0.63343931965517764</v>
          </cell>
          <cell r="D43">
            <v>8</v>
          </cell>
          <cell r="E43">
            <v>5.2419313748037162</v>
          </cell>
          <cell r="F43">
            <v>-0.44986254650718882</v>
          </cell>
          <cell r="G43" t="str">
            <v>A-Irr-Irr-Irrigation-All-All-E</v>
          </cell>
          <cell r="I43">
            <v>0</v>
          </cell>
          <cell r="J43">
            <v>0</v>
          </cell>
        </row>
        <row r="44">
          <cell r="A44" t="str">
            <v>Wheel and Hand_Nozzle replacement - Oregon</v>
          </cell>
          <cell r="B44" t="str">
            <v>Pump</v>
          </cell>
          <cell r="C44">
            <v>56.708821997716306</v>
          </cell>
          <cell r="D44">
            <v>4</v>
          </cell>
          <cell r="E44">
            <v>4.9428547606377915</v>
          </cell>
          <cell r="F44">
            <v>-0.73415150171930543</v>
          </cell>
          <cell r="G44" t="str">
            <v>A-Irr-Irr-Irrigation-All-All-E</v>
          </cell>
          <cell r="I44">
            <v>0</v>
          </cell>
          <cell r="J44">
            <v>0</v>
          </cell>
        </row>
        <row r="45">
          <cell r="A45" t="str">
            <v>Pivot and Linear_Sprinkler package replacement, high pressure - Oregon</v>
          </cell>
          <cell r="B45" t="str">
            <v>Pump</v>
          </cell>
          <cell r="C45">
            <v>33.415978294495041</v>
          </cell>
          <cell r="D45">
            <v>4</v>
          </cell>
          <cell r="E45">
            <v>8.4091036407101392</v>
          </cell>
          <cell r="F45">
            <v>-1.2489859332107978</v>
          </cell>
          <cell r="G45" t="str">
            <v>A-Irr-Irr-Irrigation-All-All-E</v>
          </cell>
          <cell r="I45">
            <v>0</v>
          </cell>
          <cell r="J45">
            <v>0</v>
          </cell>
        </row>
        <row r="46">
          <cell r="A46" t="str">
            <v>Pivot and Linear_Sprinkler package replacement, MESA - Oregon</v>
          </cell>
          <cell r="B46" t="str">
            <v>Pump</v>
          </cell>
          <cell r="C46">
            <v>33.415978294495041</v>
          </cell>
          <cell r="D46">
            <v>5</v>
          </cell>
          <cell r="E46">
            <v>27.554783113802586</v>
          </cell>
          <cell r="F46">
            <v>-3.3972552309128203</v>
          </cell>
          <cell r="G46" t="str">
            <v>A-Irr-Irr-Irrigation-All-All-E</v>
          </cell>
          <cell r="I46">
            <v>0</v>
          </cell>
          <cell r="J46">
            <v>0</v>
          </cell>
        </row>
        <row r="47">
          <cell r="A47" t="str">
            <v>Pivot and Linear_Sprinkler package replacement, LESA/LEPA/MDI - Oregon</v>
          </cell>
          <cell r="B47" t="str">
            <v>Pump</v>
          </cell>
          <cell r="C47">
            <v>33.415978294495041</v>
          </cell>
          <cell r="D47">
            <v>5</v>
          </cell>
          <cell r="E47">
            <v>37.921401277472171</v>
          </cell>
          <cell r="F47">
            <v>-4.675365373821589</v>
          </cell>
          <cell r="G47" t="str">
            <v>A-Irr-Irr-Irrigation-All-All-E</v>
          </cell>
          <cell r="I47">
            <v>0</v>
          </cell>
          <cell r="J47">
            <v>0</v>
          </cell>
        </row>
        <row r="48">
          <cell r="A48" t="str">
            <v>Pivot and Linear_Upgrade from high pressure to MESA - Oregon</v>
          </cell>
          <cell r="B48" t="str">
            <v>Pump</v>
          </cell>
          <cell r="C48">
            <v>48.375214738608591</v>
          </cell>
          <cell r="D48">
            <v>10</v>
          </cell>
          <cell r="E48">
            <v>29.948384458157715</v>
          </cell>
          <cell r="F48">
            <v>0</v>
          </cell>
          <cell r="G48" t="str">
            <v>A-Irr-Irr-Irrigation-All-All-E</v>
          </cell>
          <cell r="I48">
            <v>1.6582412769936674</v>
          </cell>
          <cell r="J48">
            <v>5</v>
          </cell>
        </row>
        <row r="49">
          <cell r="A49" t="str">
            <v>Pivot and Linear_Upgrade from MESA to LESA/LEPA/MDI - Oregon</v>
          </cell>
          <cell r="B49" t="str">
            <v>Pump</v>
          </cell>
          <cell r="C49">
            <v>82.237865055634487</v>
          </cell>
          <cell r="D49">
            <v>10</v>
          </cell>
          <cell r="E49">
            <v>36.438280264834958</v>
          </cell>
          <cell r="F49">
            <v>0</v>
          </cell>
          <cell r="G49" t="str">
            <v>A-Irr-Irr-Irrigation-All-All-E</v>
          </cell>
          <cell r="I49">
            <v>3.3164825539873348</v>
          </cell>
          <cell r="J49">
            <v>5</v>
          </cell>
        </row>
        <row r="50">
          <cell r="A50" t="str">
            <v>Wheel and Hand_Rebuilt or new impact sprinkler - Montana</v>
          </cell>
          <cell r="B50" t="str">
            <v>Pump</v>
          </cell>
          <cell r="C50">
            <v>2.4151140587837192</v>
          </cell>
          <cell r="D50">
            <v>4</v>
          </cell>
          <cell r="E50">
            <v>25.065699750603557</v>
          </cell>
          <cell r="F50">
            <v>-3.7229540426909793</v>
          </cell>
          <cell r="G50" t="str">
            <v>A-Irr-Irr-Irrigation-All-All-E</v>
          </cell>
          <cell r="I50">
            <v>0</v>
          </cell>
          <cell r="J50">
            <v>0</v>
          </cell>
        </row>
        <row r="51">
          <cell r="A51" t="str">
            <v>Wheel and Hand_Gaskets - Montana</v>
          </cell>
          <cell r="B51" t="str">
            <v>Pump</v>
          </cell>
          <cell r="C51">
            <v>11.832704890480352</v>
          </cell>
          <cell r="D51">
            <v>5</v>
          </cell>
          <cell r="E51">
            <v>6.9373406404505005</v>
          </cell>
          <cell r="F51">
            <v>-0.85531127870097634</v>
          </cell>
          <cell r="G51" t="str">
            <v>A-Irr-Irr-Irrigation-All-All-E</v>
          </cell>
          <cell r="I51">
            <v>0</v>
          </cell>
          <cell r="J51">
            <v>0</v>
          </cell>
        </row>
        <row r="52">
          <cell r="A52" t="str">
            <v>Wheel and Hand_Drains - Montana</v>
          </cell>
          <cell r="B52" t="str">
            <v>Pump</v>
          </cell>
          <cell r="C52">
            <v>7.6933350651957131</v>
          </cell>
          <cell r="D52">
            <v>5</v>
          </cell>
          <cell r="E52">
            <v>9.9983998095375899</v>
          </cell>
          <cell r="F52">
            <v>-1.2327121543081467</v>
          </cell>
          <cell r="G52" t="str">
            <v>A-Irr-Irr-Irrigation-All-All-E</v>
          </cell>
          <cell r="I52">
            <v>0</v>
          </cell>
          <cell r="J52">
            <v>0</v>
          </cell>
        </row>
        <row r="53">
          <cell r="A53" t="str">
            <v>Wheel and Hand_Cut and press repair - Montana</v>
          </cell>
          <cell r="B53" t="str">
            <v>Pump</v>
          </cell>
          <cell r="C53">
            <v>34.017628820468076</v>
          </cell>
          <cell r="D53">
            <v>8</v>
          </cell>
          <cell r="E53">
            <v>30.388468755978995</v>
          </cell>
          <cell r="F53">
            <v>-2.6079383649944781</v>
          </cell>
          <cell r="G53" t="str">
            <v>A-Irr-Irr-Irrigation-All-All-E</v>
          </cell>
          <cell r="I53">
            <v>0</v>
          </cell>
          <cell r="J53">
            <v>0</v>
          </cell>
        </row>
        <row r="54">
          <cell r="A54" t="str">
            <v>Wheel and Hand_Hub gasket - Montana</v>
          </cell>
          <cell r="B54" t="str">
            <v>Pump</v>
          </cell>
          <cell r="C54">
            <v>38.934064531635613</v>
          </cell>
          <cell r="D54">
            <v>10</v>
          </cell>
          <cell r="E54">
            <v>28.461673476483401</v>
          </cell>
          <cell r="F54">
            <v>-2.0942597516815611</v>
          </cell>
          <cell r="G54" t="str">
            <v>A-Irr-Irr-Irrigation-All-All-E</v>
          </cell>
          <cell r="I54">
            <v>0</v>
          </cell>
          <cell r="J54">
            <v>0</v>
          </cell>
        </row>
        <row r="55">
          <cell r="A55" t="str">
            <v>Wheel and Hand_Levelers - Montana</v>
          </cell>
          <cell r="B55" t="str">
            <v>Pump</v>
          </cell>
          <cell r="C55">
            <v>3.3266834253321607</v>
          </cell>
          <cell r="D55">
            <v>5</v>
          </cell>
          <cell r="E55">
            <v>12.845511625508943</v>
          </cell>
          <cell r="F55">
            <v>-1.5837352587127447</v>
          </cell>
          <cell r="G55" t="str">
            <v>A-Irr-Irr-Irrigation-All-All-E</v>
          </cell>
          <cell r="I55">
            <v>0</v>
          </cell>
          <cell r="J55">
            <v>0</v>
          </cell>
        </row>
        <row r="56">
          <cell r="A56" t="str">
            <v>Pivot and Linear_Base boot gasket - Montana</v>
          </cell>
          <cell r="B56" t="str">
            <v>Pump</v>
          </cell>
          <cell r="C56">
            <v>6.9254757542047294</v>
          </cell>
          <cell r="D56">
            <v>8</v>
          </cell>
          <cell r="E56">
            <v>2.4405750787636538</v>
          </cell>
          <cell r="F56">
            <v>0</v>
          </cell>
          <cell r="G56" t="str">
            <v>A-Irr-Irr-Irrigation-All-All-E</v>
          </cell>
          <cell r="I56">
            <v>0</v>
          </cell>
          <cell r="J56">
            <v>0</v>
          </cell>
        </row>
        <row r="57">
          <cell r="A57" t="str">
            <v>Pivot and Linear_Tower gasket - Montana</v>
          </cell>
          <cell r="B57" t="str">
            <v>Pump</v>
          </cell>
          <cell r="C57">
            <v>0.21161175915625555</v>
          </cell>
          <cell r="D57">
            <v>8</v>
          </cell>
          <cell r="E57">
            <v>5.2419313748037162</v>
          </cell>
          <cell r="F57">
            <v>-0.44986254650718882</v>
          </cell>
          <cell r="G57" t="str">
            <v>A-Irr-Irr-Irrigation-All-All-E</v>
          </cell>
          <cell r="I57">
            <v>0</v>
          </cell>
          <cell r="J57">
            <v>0</v>
          </cell>
        </row>
        <row r="58">
          <cell r="A58" t="str">
            <v>Wheel and Hand_Nozzle replacement - Montana</v>
          </cell>
          <cell r="B58" t="str">
            <v>Pump</v>
          </cell>
          <cell r="C58">
            <v>18.944598496266746</v>
          </cell>
          <cell r="D58">
            <v>4</v>
          </cell>
          <cell r="E58">
            <v>4.9428547606377915</v>
          </cell>
          <cell r="F58">
            <v>-0.73415150171930543</v>
          </cell>
          <cell r="G58" t="str">
            <v>A-Irr-Irr-Irrigation-All-All-E</v>
          </cell>
          <cell r="I58">
            <v>0</v>
          </cell>
          <cell r="J58">
            <v>0</v>
          </cell>
        </row>
        <row r="59">
          <cell r="A59" t="str">
            <v>Pivot and Linear_Sprinkler package replacement, high pressure - Montana</v>
          </cell>
          <cell r="B59" t="str">
            <v>Pump</v>
          </cell>
          <cell r="C59">
            <v>11.163206532039521</v>
          </cell>
          <cell r="D59">
            <v>4</v>
          </cell>
          <cell r="E59">
            <v>8.4091036407101392</v>
          </cell>
          <cell r="F59">
            <v>-1.2489859332107978</v>
          </cell>
          <cell r="G59" t="str">
            <v>A-Irr-Irr-Irrigation-All-All-E</v>
          </cell>
          <cell r="I59">
            <v>0</v>
          </cell>
          <cell r="J59">
            <v>0</v>
          </cell>
        </row>
        <row r="60">
          <cell r="A60" t="str">
            <v>Pivot and Linear_Sprinkler package replacement, MESA - Montana</v>
          </cell>
          <cell r="B60" t="str">
            <v>Pump</v>
          </cell>
          <cell r="C60">
            <v>11.163206532039521</v>
          </cell>
          <cell r="D60">
            <v>5</v>
          </cell>
          <cell r="E60">
            <v>27.554783113802578</v>
          </cell>
          <cell r="F60">
            <v>-3.3972552309128203</v>
          </cell>
          <cell r="G60" t="str">
            <v>A-Irr-Irr-Irrigation-All-All-E</v>
          </cell>
          <cell r="I60">
            <v>0</v>
          </cell>
          <cell r="J60">
            <v>0</v>
          </cell>
        </row>
        <row r="61">
          <cell r="A61" t="str">
            <v>Pivot and Linear_Sprinkler package replacement, LESA/LEPA/MDI - Montana</v>
          </cell>
          <cell r="B61" t="str">
            <v>Pump</v>
          </cell>
          <cell r="C61">
            <v>11.163206532039521</v>
          </cell>
          <cell r="D61">
            <v>5</v>
          </cell>
          <cell r="E61">
            <v>37.921401277472171</v>
          </cell>
          <cell r="F61">
            <v>-4.675365373821589</v>
          </cell>
          <cell r="G61" t="str">
            <v>A-Irr-Irr-Irrigation-All-All-E</v>
          </cell>
          <cell r="I61">
            <v>0</v>
          </cell>
          <cell r="J61">
            <v>0</v>
          </cell>
        </row>
        <row r="62">
          <cell r="A62" t="str">
            <v>Pivot and Linear_Upgrade from high pressure to MESA - Montana</v>
          </cell>
          <cell r="B62" t="str">
            <v>Pump</v>
          </cell>
          <cell r="C62">
            <v>16.16060761111439</v>
          </cell>
          <cell r="D62">
            <v>10</v>
          </cell>
          <cell r="E62">
            <v>29.948384458157712</v>
          </cell>
          <cell r="F62">
            <v>0</v>
          </cell>
          <cell r="G62" t="str">
            <v>A-Irr-Irr-Irrigation-All-All-E</v>
          </cell>
          <cell r="I62">
            <v>1.6582412769936674</v>
          </cell>
          <cell r="J62">
            <v>5</v>
          </cell>
        </row>
        <row r="63">
          <cell r="A63" t="str">
            <v>Pivot and Linear_Upgrade from MESA to LESA/LEPA/MDI - Montana</v>
          </cell>
          <cell r="B63" t="str">
            <v>Pump</v>
          </cell>
          <cell r="C63">
            <v>27.473032938894431</v>
          </cell>
          <cell r="D63">
            <v>10</v>
          </cell>
          <cell r="E63">
            <v>36.438280264834965</v>
          </cell>
          <cell r="F63">
            <v>0</v>
          </cell>
          <cell r="G63" t="str">
            <v>A-Irr-Irr-Irrigation-All-All-E</v>
          </cell>
          <cell r="I63">
            <v>3.3164825539873348</v>
          </cell>
          <cell r="J63">
            <v>5</v>
          </cell>
        </row>
        <row r="64">
          <cell r="A64" t="str">
            <v>Pivot and Linear_Pressure Reduction_High to Medium - Idaho</v>
          </cell>
          <cell r="B64" t="str">
            <v>Pump</v>
          </cell>
          <cell r="C64">
            <v>275.49937480044798</v>
          </cell>
          <cell r="D64">
            <v>10</v>
          </cell>
          <cell r="E64">
            <v>62.768561959299596</v>
          </cell>
          <cell r="F64">
            <v>0</v>
          </cell>
          <cell r="G64" t="str">
            <v>A-Irr-Irr-Irrigation-All-All-E</v>
          </cell>
          <cell r="I64">
            <v>0</v>
          </cell>
          <cell r="J64">
            <v>0</v>
          </cell>
        </row>
        <row r="65">
          <cell r="A65" t="str">
            <v>Pivot and Linear_Pressure Reduction_Medium to Low - Idaho</v>
          </cell>
          <cell r="B65" t="str">
            <v>Pump</v>
          </cell>
          <cell r="C65">
            <v>247.57167010074016</v>
          </cell>
          <cell r="D65">
            <v>10</v>
          </cell>
          <cell r="E65">
            <v>46.026573045679669</v>
          </cell>
          <cell r="F65">
            <v>0</v>
          </cell>
          <cell r="G65" t="str">
            <v>A-Irr-Irr-Irrigation-All-All-E</v>
          </cell>
          <cell r="I65">
            <v>0</v>
          </cell>
          <cell r="J65">
            <v>0</v>
          </cell>
        </row>
        <row r="66">
          <cell r="A66" t="str">
            <v>Pivot and Linear_Pressure Reduction_Medium2 to Low - Idaho</v>
          </cell>
          <cell r="B66" t="str">
            <v>Pump</v>
          </cell>
          <cell r="C66">
            <v>247.57167010074016</v>
          </cell>
          <cell r="D66">
            <v>10</v>
          </cell>
          <cell r="E66">
            <v>0.01</v>
          </cell>
          <cell r="F66">
            <v>0</v>
          </cell>
          <cell r="G66" t="str">
            <v>A-Irr-Irr-Irrigation-All-All-E</v>
          </cell>
          <cell r="I66">
            <v>0</v>
          </cell>
          <cell r="J66">
            <v>0</v>
          </cell>
        </row>
        <row r="67">
          <cell r="A67" t="str">
            <v>Wheel-Line_Conversion to Low Pressure System (Alfalfa) - Idaho</v>
          </cell>
          <cell r="B67" t="str">
            <v>Pump</v>
          </cell>
          <cell r="C67">
            <v>131.00658286499751</v>
          </cell>
          <cell r="D67">
            <v>10</v>
          </cell>
          <cell r="E67">
            <v>117.11916365051205</v>
          </cell>
          <cell r="F67">
            <v>7.5</v>
          </cell>
          <cell r="G67" t="str">
            <v>A-Irr-Irr-Irrigation-All-All-E</v>
          </cell>
          <cell r="I67">
            <v>0</v>
          </cell>
          <cell r="J67">
            <v>5</v>
          </cell>
        </row>
        <row r="68">
          <cell r="A68" t="str">
            <v>Hand-Line_Conversion to Low Pressure System (Alfalfa) - Idaho</v>
          </cell>
          <cell r="B68" t="str">
            <v>Pump</v>
          </cell>
          <cell r="C68">
            <v>131.00658286499751</v>
          </cell>
          <cell r="D68">
            <v>10</v>
          </cell>
          <cell r="E68">
            <v>117.11916365051205</v>
          </cell>
          <cell r="F68">
            <v>7.5</v>
          </cell>
          <cell r="G68" t="str">
            <v>A-Irr-Irr-Irrigation-All-All-E</v>
          </cell>
          <cell r="I68">
            <v>0</v>
          </cell>
          <cell r="J68">
            <v>5</v>
          </cell>
        </row>
        <row r="69">
          <cell r="A69" t="str">
            <v>Pivot and Linear_Pressure Reduction_High to Medium - Montana</v>
          </cell>
          <cell r="B69" t="str">
            <v>Pump</v>
          </cell>
          <cell r="C69">
            <v>54.706624668663423</v>
          </cell>
          <cell r="D69">
            <v>10</v>
          </cell>
          <cell r="E69">
            <v>33.676751173193985</v>
          </cell>
          <cell r="F69">
            <v>0</v>
          </cell>
          <cell r="G69" t="str">
            <v>A-Irr-Irr-Irrigation-All-All-E</v>
          </cell>
          <cell r="I69">
            <v>0</v>
          </cell>
          <cell r="J69">
            <v>0</v>
          </cell>
        </row>
        <row r="70">
          <cell r="A70" t="str">
            <v>Pivot and Linear_Pressure Reduction_Medium to Low - Montana</v>
          </cell>
          <cell r="B70" t="str">
            <v>Pump</v>
          </cell>
          <cell r="C70">
            <v>130.32338258095652</v>
          </cell>
          <cell r="D70">
            <v>10</v>
          </cell>
          <cell r="E70">
            <v>28.178627478849705</v>
          </cell>
          <cell r="F70">
            <v>0</v>
          </cell>
          <cell r="G70" t="str">
            <v>A-Irr-Irr-Irrigation-All-All-E</v>
          </cell>
          <cell r="I70">
            <v>0</v>
          </cell>
          <cell r="J70">
            <v>0</v>
          </cell>
        </row>
        <row r="71">
          <cell r="A71" t="str">
            <v>Pivot and Linear_Pressure Reduction_Medium2 to Low - Montana</v>
          </cell>
          <cell r="B71" t="str">
            <v>Pump</v>
          </cell>
          <cell r="C71">
            <v>130.32338258095652</v>
          </cell>
          <cell r="D71">
            <v>10</v>
          </cell>
          <cell r="E71">
            <v>0.01</v>
          </cell>
          <cell r="F71">
            <v>0</v>
          </cell>
          <cell r="G71" t="str">
            <v>A-Irr-Irr-Irrigation-All-All-E</v>
          </cell>
          <cell r="I71">
            <v>0</v>
          </cell>
          <cell r="J71">
            <v>0</v>
          </cell>
        </row>
        <row r="72">
          <cell r="A72" t="str">
            <v>Wheel-Line_Conversion to Low Pressure System (Alfalfa) - Montana</v>
          </cell>
          <cell r="B72" t="str">
            <v>Pump</v>
          </cell>
          <cell r="C72">
            <v>73.326602740188392</v>
          </cell>
          <cell r="D72">
            <v>10</v>
          </cell>
          <cell r="E72">
            <v>67.881278415155279</v>
          </cell>
          <cell r="F72">
            <v>7.5</v>
          </cell>
          <cell r="G72" t="str">
            <v>A-Irr-Irr-Irrigation-All-All-E</v>
          </cell>
          <cell r="I72">
            <v>0</v>
          </cell>
          <cell r="J72">
            <v>5</v>
          </cell>
        </row>
        <row r="73">
          <cell r="A73" t="str">
            <v>Hand-Line_Conversion to Low Pressure System (Alfalfa) - Montana</v>
          </cell>
          <cell r="B73" t="str">
            <v>Pump</v>
          </cell>
          <cell r="C73">
            <v>73.326602740188392</v>
          </cell>
          <cell r="D73">
            <v>10</v>
          </cell>
          <cell r="E73">
            <v>67.881278415155279</v>
          </cell>
          <cell r="F73">
            <v>7.5</v>
          </cell>
          <cell r="G73" t="str">
            <v>A-Irr-Irr-Irrigation-All-All-E</v>
          </cell>
          <cell r="I73">
            <v>0</v>
          </cell>
          <cell r="J73">
            <v>5</v>
          </cell>
        </row>
        <row r="74">
          <cell r="A74" t="str">
            <v>Pivot and Linear_Pressure Reduction_High to Medium - Oregon</v>
          </cell>
          <cell r="B74" t="str">
            <v>Pump</v>
          </cell>
          <cell r="C74">
            <v>213.45106676362514</v>
          </cell>
          <cell r="D74">
            <v>10</v>
          </cell>
          <cell r="E74">
            <v>47.407842670896066</v>
          </cell>
          <cell r="F74">
            <v>0</v>
          </cell>
          <cell r="G74" t="str">
            <v>A-Irr-Irr-Irrigation-All-All-E</v>
          </cell>
          <cell r="I74">
            <v>0</v>
          </cell>
          <cell r="J74">
            <v>0</v>
          </cell>
        </row>
        <row r="75">
          <cell r="A75" t="str">
            <v>Pivot and Linear_Pressure Reduction_Medium to Low - Oregon</v>
          </cell>
          <cell r="B75" t="str">
            <v>Pump</v>
          </cell>
          <cell r="C75">
            <v>206.58121197288978</v>
          </cell>
          <cell r="D75">
            <v>10</v>
          </cell>
          <cell r="E75">
            <v>32.770851672462449</v>
          </cell>
          <cell r="F75">
            <v>0</v>
          </cell>
          <cell r="G75" t="str">
            <v>A-Irr-Irr-Irrigation-All-All-E</v>
          </cell>
          <cell r="I75">
            <v>0</v>
          </cell>
          <cell r="J75">
            <v>0</v>
          </cell>
        </row>
        <row r="76">
          <cell r="A76" t="str">
            <v>Pivot and Linear_Pressure Reduction_Medium2 to Low - Oregon</v>
          </cell>
          <cell r="B76" t="str">
            <v>Pump</v>
          </cell>
          <cell r="C76">
            <v>206.58121197288978</v>
          </cell>
          <cell r="D76">
            <v>10</v>
          </cell>
          <cell r="E76">
            <v>0.01</v>
          </cell>
          <cell r="F76">
            <v>0</v>
          </cell>
          <cell r="G76" t="str">
            <v>A-Irr-Irr-Irrigation-All-All-E</v>
          </cell>
          <cell r="I76">
            <v>0</v>
          </cell>
          <cell r="J76">
            <v>0</v>
          </cell>
        </row>
        <row r="77">
          <cell r="A77" t="str">
            <v>Wheel-Line_Conversion to Low Pressure System (Alfalfa) - Oregon</v>
          </cell>
          <cell r="B77" t="str">
            <v>Pump</v>
          </cell>
          <cell r="C77">
            <v>176.08152870102978</v>
          </cell>
          <cell r="D77">
            <v>10</v>
          </cell>
          <cell r="E77">
            <v>93.264188785754115</v>
          </cell>
          <cell r="F77">
            <v>7.5000000000000009</v>
          </cell>
          <cell r="G77" t="str">
            <v>A-Irr-Irr-Irrigation-All-All-E</v>
          </cell>
          <cell r="I77">
            <v>0</v>
          </cell>
          <cell r="J77">
            <v>5</v>
          </cell>
        </row>
        <row r="78">
          <cell r="A78" t="str">
            <v>Hand-Line_Conversion to Low Pressure System (Alfalfa) - Oregon</v>
          </cell>
          <cell r="B78" t="str">
            <v>Pump</v>
          </cell>
          <cell r="C78">
            <v>176.08152870102978</v>
          </cell>
          <cell r="D78">
            <v>10</v>
          </cell>
          <cell r="E78">
            <v>93.264188785754115</v>
          </cell>
          <cell r="F78">
            <v>7.5000000000000009</v>
          </cell>
          <cell r="G78" t="str">
            <v>A-Irr-Irr-Irrigation-All-All-E</v>
          </cell>
          <cell r="I78">
            <v>0</v>
          </cell>
          <cell r="J78">
            <v>5</v>
          </cell>
        </row>
        <row r="79">
          <cell r="A79" t="str">
            <v>Pivot and Linear_Pressure Reduction_High to Medium - Washington</v>
          </cell>
          <cell r="B79" t="str">
            <v>Pump</v>
          </cell>
          <cell r="C79">
            <v>280.92250339291985</v>
          </cell>
          <cell r="D79">
            <v>10</v>
          </cell>
          <cell r="E79">
            <v>50.822779311810613</v>
          </cell>
          <cell r="F79">
            <v>0</v>
          </cell>
          <cell r="G79" t="str">
            <v>A-Irr-Irr-Irrigation-All-All-E</v>
          </cell>
          <cell r="I79">
            <v>0</v>
          </cell>
          <cell r="J79">
            <v>0</v>
          </cell>
        </row>
        <row r="80">
          <cell r="A80" t="str">
            <v>Pivot and Linear_Pressure Reduction_Medium to Low - Washington</v>
          </cell>
          <cell r="B80" t="str">
            <v>Pump</v>
          </cell>
          <cell r="C80">
            <v>272.0321030754979</v>
          </cell>
          <cell r="D80">
            <v>10</v>
          </cell>
          <cell r="E80">
            <v>35.989643204399584</v>
          </cell>
          <cell r="F80">
            <v>0</v>
          </cell>
          <cell r="G80" t="str">
            <v>A-Irr-Irr-Irrigation-All-All-E</v>
          </cell>
          <cell r="I80">
            <v>0</v>
          </cell>
          <cell r="J80">
            <v>0</v>
          </cell>
        </row>
        <row r="81">
          <cell r="A81" t="str">
            <v>Pivot and Linear_Pressure Reduction_Medium2 to Low - Washington</v>
          </cell>
          <cell r="B81" t="str">
            <v>Pump</v>
          </cell>
          <cell r="C81">
            <v>272.0321030754979</v>
          </cell>
          <cell r="D81">
            <v>10</v>
          </cell>
          <cell r="E81">
            <v>0.01</v>
          </cell>
          <cell r="F81">
            <v>0</v>
          </cell>
          <cell r="G81" t="str">
            <v>A-Irr-Irr-Irrigation-All-All-E</v>
          </cell>
          <cell r="I81">
            <v>0</v>
          </cell>
          <cell r="J81">
            <v>0</v>
          </cell>
        </row>
        <row r="82">
          <cell r="A82" t="str">
            <v>Wheel-Line_Conversion to Low Pressure System (Alfalfa) - Washington</v>
          </cell>
          <cell r="B82" t="str">
            <v>Pump</v>
          </cell>
          <cell r="C82">
            <v>176.08152870103007</v>
          </cell>
          <cell r="D82">
            <v>10</v>
          </cell>
          <cell r="E82">
            <v>93.264188785754101</v>
          </cell>
          <cell r="F82">
            <v>7.5</v>
          </cell>
          <cell r="G82" t="str">
            <v>A-Irr-Irr-Irrigation-All-All-E</v>
          </cell>
          <cell r="I82">
            <v>0</v>
          </cell>
          <cell r="J82">
            <v>5</v>
          </cell>
        </row>
        <row r="83">
          <cell r="A83" t="str">
            <v>Hand-Line_Conversion to Low Pressure System (Alfalfa) - Washington</v>
          </cell>
          <cell r="B83" t="str">
            <v>Pump</v>
          </cell>
          <cell r="C83">
            <v>176.08152870103007</v>
          </cell>
          <cell r="D83">
            <v>10</v>
          </cell>
          <cell r="E83">
            <v>93.264188785754101</v>
          </cell>
          <cell r="F83">
            <v>7.5</v>
          </cell>
          <cell r="G83" t="str">
            <v>A-Irr-Irr-Irrigation-All-All-E</v>
          </cell>
          <cell r="I83">
            <v>0</v>
          </cell>
          <cell r="J83">
            <v>5</v>
          </cell>
        </row>
        <row r="84">
          <cell r="A84" t="str">
            <v>Variable Rate Irrigation - Idaho</v>
          </cell>
          <cell r="B84" t="str">
            <v>Pump</v>
          </cell>
          <cell r="C84">
            <v>56.93248276711963</v>
          </cell>
          <cell r="D84">
            <v>10</v>
          </cell>
          <cell r="E84">
            <v>317.01782041354164</v>
          </cell>
          <cell r="F84">
            <v>0</v>
          </cell>
          <cell r="G84" t="str">
            <v>A-Irr-Irr-Irrigation-All-All-E</v>
          </cell>
          <cell r="I84">
            <v>0</v>
          </cell>
          <cell r="J84">
            <v>0</v>
          </cell>
        </row>
        <row r="85">
          <cell r="A85" t="str">
            <v>Variable Rate Irrigation - Montana</v>
          </cell>
          <cell r="B85" t="str">
            <v>Pump</v>
          </cell>
          <cell r="C85">
            <v>20.13050790795193</v>
          </cell>
          <cell r="D85">
            <v>10</v>
          </cell>
          <cell r="E85">
            <v>300.41992642919615</v>
          </cell>
          <cell r="F85">
            <v>0</v>
          </cell>
          <cell r="G85" t="str">
            <v>A-Irr-Irr-Irrigation-All-All-E</v>
          </cell>
          <cell r="I85">
            <v>0</v>
          </cell>
          <cell r="J85">
            <v>0</v>
          </cell>
        </row>
        <row r="86">
          <cell r="A86" t="str">
            <v>Variable Rate Irrigation - Oregon</v>
          </cell>
          <cell r="B86" t="str">
            <v>Pump</v>
          </cell>
          <cell r="C86">
            <v>42.258650370667098</v>
          </cell>
          <cell r="D86">
            <v>10</v>
          </cell>
          <cell r="E86">
            <v>620.12860576958815</v>
          </cell>
          <cell r="F86">
            <v>0</v>
          </cell>
          <cell r="G86" t="str">
            <v>A-Irr-Irr-Irrigation-All-All-E</v>
          </cell>
          <cell r="I86">
            <v>0</v>
          </cell>
          <cell r="J86">
            <v>0</v>
          </cell>
        </row>
        <row r="87">
          <cell r="A87" t="str">
            <v>Variable Rate Irrigation - Washington</v>
          </cell>
          <cell r="B87" t="str">
            <v>Pump</v>
          </cell>
          <cell r="C87">
            <v>47.592217353772845</v>
          </cell>
          <cell r="D87">
            <v>10</v>
          </cell>
          <cell r="E87">
            <v>425.38373128882586</v>
          </cell>
          <cell r="F87">
            <v>0</v>
          </cell>
          <cell r="G87" t="str">
            <v>A-Irr-Irr-Irrigation-All-All-E</v>
          </cell>
          <cell r="I87">
            <v>0</v>
          </cell>
          <cell r="J87">
            <v>0</v>
          </cell>
        </row>
        <row r="91">
          <cell r="A91" t="str">
            <v>ProCost Results</v>
          </cell>
        </row>
        <row r="92">
          <cell r="A92" t="str">
            <v xml:space="preserve">Version:    </v>
          </cell>
          <cell r="B92" t="str">
            <v>ProCost 4.0.05</v>
          </cell>
        </row>
        <row r="93">
          <cell r="A93" t="str">
            <v>Run Time:</v>
          </cell>
          <cell r="B93" t="str">
            <v>Tuesday, 24 March , 2020 at 8:10 AM</v>
          </cell>
        </row>
        <row r="95">
          <cell r="A95" t="str">
            <v>Regurgitation of ProData input parameters which were used for this run</v>
          </cell>
        </row>
        <row r="96">
          <cell r="B96" t="str">
            <v>Run Type:</v>
          </cell>
          <cell r="C96" t="str">
            <v>Electric</v>
          </cell>
          <cell r="G96" t="str">
            <v>Marginal Cost &amp; Conservation Load Shape Parameters</v>
          </cell>
          <cell r="Q96" t="str">
            <v>Sector:</v>
          </cell>
          <cell r="R96" t="str">
            <v>Agriculture</v>
          </cell>
          <cell r="W96" t="str">
            <v>Program Parameters</v>
          </cell>
          <cell r="Z96" t="str">
            <v>Utility System Parameters</v>
          </cell>
        </row>
        <row r="97">
          <cell r="B97" t="str">
            <v>Negative B/C Ratios:</v>
          </cell>
          <cell r="C97" t="str">
            <v>OFF:  (Converts Negative B/C Ratios)</v>
          </cell>
          <cell r="G97" t="str">
            <v>Marginal Costs and Savings Shape File</v>
          </cell>
          <cell r="H97" t="str">
            <v>Q:\Eighth Plan\Conservation Analysis\ProCost v4\MC_AND_LOADSHAPE_v4.0.05.xlsx</v>
          </cell>
          <cell r="Q97" t="str">
            <v>Sponsor Parameters</v>
          </cell>
          <cell r="W97" t="str">
            <v>Program Life (yrs)</v>
          </cell>
          <cell r="X97">
            <v>20</v>
          </cell>
          <cell r="AA97" t="str">
            <v>Electric</v>
          </cell>
          <cell r="AB97" t="str">
            <v>Gas</v>
          </cell>
        </row>
        <row r="98">
          <cell r="B98" t="str">
            <v>Admin Cost / Category Level:</v>
          </cell>
          <cell r="C98" t="str">
            <v>ON:  Admin Costs added at Measure Application Results</v>
          </cell>
          <cell r="G98" t="str">
            <v>Marginal Elec Avoided Cost Input Worksheet</v>
          </cell>
          <cell r="H98" t="str">
            <v>2021P Electric Mid</v>
          </cell>
          <cell r="R98" t="str">
            <v>Customer</v>
          </cell>
          <cell r="S98" t="str">
            <v>Wholesale Elec</v>
          </cell>
          <cell r="T98" t="str">
            <v>Retail Elec</v>
          </cell>
          <cell r="U98" t="str">
            <v>Nat Gas</v>
          </cell>
          <cell r="W98" t="str">
            <v>Program Start Date</v>
          </cell>
          <cell r="X98">
            <v>2022</v>
          </cell>
          <cell r="Z98" t="str">
            <v>Bulk System T&amp;D Loss Factor</v>
          </cell>
          <cell r="AA98">
            <v>2.3E-2</v>
          </cell>
          <cell r="AB98">
            <v>0.01</v>
          </cell>
        </row>
        <row r="99">
          <cell r="B99" t="str">
            <v>Periodic O&amp;M Treatment:</v>
          </cell>
          <cell r="C99" t="str">
            <v>ON:  (Periodic O&amp;M Repeats over measure life)</v>
          </cell>
          <cell r="G99" t="str">
            <v>Elec Savings Shape Input Worksheet</v>
          </cell>
          <cell r="H99" t="str">
            <v>GLSShapes</v>
          </cell>
          <cell r="Q99" t="str">
            <v>Real After-Tax Cost of Capital</v>
          </cell>
          <cell r="R99">
            <v>3.0700000000000002E-2</v>
          </cell>
          <cell r="S99">
            <v>2.23E-2</v>
          </cell>
          <cell r="T99">
            <v>4.2799999999999998E-2</v>
          </cell>
          <cell r="U99">
            <v>4.8000000000000001E-2</v>
          </cell>
          <cell r="W99" t="str">
            <v>Present Value Time Zero</v>
          </cell>
          <cell r="X99">
            <v>2022</v>
          </cell>
          <cell r="Z99" t="str">
            <v>Bulk System T&amp;D Credit ($/kw-yr)($/dailytherm-yr)</v>
          </cell>
          <cell r="AA99">
            <v>3.08</v>
          </cell>
          <cell r="AB99">
            <v>0</v>
          </cell>
        </row>
        <row r="100">
          <cell r="B100" t="str">
            <v>Limit Program Life to Measure Life:</v>
          </cell>
          <cell r="C100" t="str">
            <v>ON:  (Program life limited to measure life)</v>
          </cell>
          <cell r="G100" t="str">
            <v>Marginal Gas Avoided Cost Input Worksheet</v>
          </cell>
          <cell r="H100" t="str">
            <v>2021P Gas</v>
          </cell>
          <cell r="Q100" t="str">
            <v>Financial Life (years)</v>
          </cell>
          <cell r="R100">
            <v>12</v>
          </cell>
          <cell r="S100">
            <v>1</v>
          </cell>
          <cell r="T100">
            <v>1</v>
          </cell>
          <cell r="U100">
            <v>1</v>
          </cell>
          <cell r="W100" t="str">
            <v>Input Cost Reference Year</v>
          </cell>
          <cell r="X100">
            <v>2016</v>
          </cell>
          <cell r="Z100" t="str">
            <v>Bulk System T&amp;D Credit - Applicable Peak Period (1,2, or both)</v>
          </cell>
          <cell r="AA100" t="str">
            <v>Peak Periods 1 and 2</v>
          </cell>
          <cell r="AB100" t="str">
            <v>Peak Period 1 only</v>
          </cell>
        </row>
        <row r="101">
          <cell r="G101" t="str">
            <v>Gas Savings Shape Input Worksheet</v>
          </cell>
          <cell r="H101" t="str">
            <v>GLSShapes</v>
          </cell>
          <cell r="R101" t="str">
            <v>Customer</v>
          </cell>
          <cell r="S101" t="str">
            <v>Wholesale Elec</v>
          </cell>
          <cell r="T101" t="str">
            <v>Retail Elec</v>
          </cell>
          <cell r="U101" t="str">
            <v>Nat Gas</v>
          </cell>
          <cell r="W101" t="str">
            <v>Real Discount Rate</v>
          </cell>
          <cell r="X101">
            <v>3.7499999999999999E-2</v>
          </cell>
          <cell r="Z101" t="str">
            <v>Bulk System T&amp;D I2R Loss Component (%)</v>
          </cell>
          <cell r="AA101">
            <v>0.9</v>
          </cell>
          <cell r="AB101" t="str">
            <v>N/A</v>
          </cell>
        </row>
        <row r="102">
          <cell r="G102" t="str">
            <v>Marginal Elec CO2 per kWh Input Worksheet</v>
          </cell>
          <cell r="H102" t="str">
            <v>CO2 lbs per kWh</v>
          </cell>
          <cell r="Q102" t="str">
            <v xml:space="preserve">Sponsor Share of Initial Capital Cost </v>
          </cell>
          <cell r="R102">
            <v>0.5</v>
          </cell>
          <cell r="S102">
            <v>0.35</v>
          </cell>
          <cell r="T102">
            <v>0.15</v>
          </cell>
          <cell r="U102">
            <v>0</v>
          </cell>
          <cell r="W102" t="str">
            <v>Capital Real Escalation Rate</v>
          </cell>
          <cell r="X102">
            <v>0</v>
          </cell>
          <cell r="Z102" t="str">
            <v>Local System Dist Loss Factor</v>
          </cell>
          <cell r="AA102">
            <v>4.7399348199455904E-2</v>
          </cell>
          <cell r="AB102">
            <v>0</v>
          </cell>
        </row>
        <row r="103">
          <cell r="G103" t="str">
            <v>Marginal Gas CO2 per therm Input Worksheet</v>
          </cell>
          <cell r="H103" t="str">
            <v>CO2 lbs per therm</v>
          </cell>
          <cell r="Q103" t="str">
            <v>Sponsor Share of Annual O&amp;M</v>
          </cell>
          <cell r="R103">
            <v>1</v>
          </cell>
          <cell r="S103">
            <v>0</v>
          </cell>
          <cell r="T103">
            <v>0</v>
          </cell>
          <cell r="U103">
            <v>0</v>
          </cell>
          <cell r="W103" t="str">
            <v>Admin Cost (as % of Initial Capital Cost)</v>
          </cell>
          <cell r="X103">
            <v>0.2</v>
          </cell>
          <cell r="Z103" t="str">
            <v>Local System Dist Credit ($/kw-yr)($/dailytherm-yr)</v>
          </cell>
          <cell r="AA103">
            <v>6.85</v>
          </cell>
          <cell r="AB103">
            <v>0</v>
          </cell>
        </row>
        <row r="104">
          <cell r="G104" t="str">
            <v>Marginal Avoided Cost CO2 Input Worksheet</v>
          </cell>
          <cell r="H104" t="str">
            <v>Dollars per ton CO2</v>
          </cell>
          <cell r="Q104" t="str">
            <v>Sponsor Share of Periodic Replacement Cost</v>
          </cell>
          <cell r="R104">
            <v>1</v>
          </cell>
          <cell r="S104">
            <v>0</v>
          </cell>
          <cell r="T104">
            <v>0</v>
          </cell>
          <cell r="U104">
            <v>0</v>
          </cell>
          <cell r="W104" t="str">
            <v>Regional Act Conservation Credit (%)</v>
          </cell>
          <cell r="X104">
            <v>0</v>
          </cell>
          <cell r="Z104" t="str">
            <v>Local System Dist Credit - Applicable Peak Period (1,2, or both)</v>
          </cell>
          <cell r="AA104" t="str">
            <v>Peak Periods 1 and 2</v>
          </cell>
          <cell r="AB104" t="str">
            <v>Peak Period 1 only</v>
          </cell>
        </row>
        <row r="105">
          <cell r="G105" t="str">
            <v>Peak Hours Definitions Input Worksheet</v>
          </cell>
          <cell r="H105" t="str">
            <v>UtilityPeakHours</v>
          </cell>
          <cell r="Q105" t="str">
            <v>Sponsor Share of Admin Cost</v>
          </cell>
          <cell r="S105">
            <v>0.3</v>
          </cell>
          <cell r="T105">
            <v>0.7</v>
          </cell>
          <cell r="U105">
            <v>0</v>
          </cell>
          <cell r="W105" t="str">
            <v>Report Annual Carbon Saved for Year</v>
          </cell>
          <cell r="X105">
            <v>2022</v>
          </cell>
          <cell r="Z105" t="str">
            <v>Local System Dist I2R Loss Component (%)</v>
          </cell>
          <cell r="AA105">
            <v>0.7</v>
          </cell>
          <cell r="AB105" t="str">
            <v>N/A</v>
          </cell>
        </row>
        <row r="106">
          <cell r="Q106" t="str">
            <v>Last Year of Non-Customer O&amp;M &amp; Period Replacement</v>
          </cell>
          <cell r="S106">
            <v>20</v>
          </cell>
          <cell r="Z106" t="str">
            <v>Risk-Mitigation Credit (mills/kWh)(mills/therm) - Retro.</v>
          </cell>
          <cell r="AA106">
            <v>0</v>
          </cell>
          <cell r="AB106">
            <v>0</v>
          </cell>
        </row>
        <row r="107">
          <cell r="Z107" t="str">
            <v>Risk-Mitigation Credit (mills/kWh)(mills/therm) - Lost Op.</v>
          </cell>
          <cell r="AA107">
            <v>0</v>
          </cell>
          <cell r="AB107">
            <v>0</v>
          </cell>
        </row>
        <row r="108">
          <cell r="Z108" t="str">
            <v>Deferred Generation Capacity Credit - Same or Different Resources?</v>
          </cell>
          <cell r="AA108" t="str">
            <v>None - No Credit</v>
          </cell>
          <cell r="AB108" t="str">
            <v>N/A</v>
          </cell>
        </row>
        <row r="109">
          <cell r="Z109" t="str">
            <v>Deferred Generation Capacity Credit ($/bulk kW-year) - Peak 1</v>
          </cell>
          <cell r="AA109">
            <v>0</v>
          </cell>
          <cell r="AB109" t="str">
            <v>N/A</v>
          </cell>
        </row>
        <row r="110">
          <cell r="Z110" t="str">
            <v>Deferred Generation Capacity Credit ($/bulk kW-year) - Peak 2</v>
          </cell>
          <cell r="AA110">
            <v>0</v>
          </cell>
          <cell r="AB110" t="str">
            <v>N/A</v>
          </cell>
        </row>
        <row r="113">
          <cell r="A113" t="str">
            <v>Savings Component Results; Sorted in same order as input</v>
          </cell>
        </row>
        <row r="114">
          <cell r="A114" t="str">
            <v>Total Results</v>
          </cell>
          <cell r="C114" t="str">
            <v>Measure Input Data</v>
          </cell>
          <cell r="O114" t="str">
            <v>Savings</v>
          </cell>
          <cell r="AI114" t="str">
            <v>PV Capital</v>
          </cell>
          <cell r="AM114" t="str">
            <v>PV Admin</v>
          </cell>
        </row>
        <row r="115">
          <cell r="A115" t="str">
            <v>Measure Application</v>
          </cell>
          <cell r="B115" t="str">
            <v>Savings Component</v>
          </cell>
          <cell r="C115" t="str">
            <v>Time Varying Savings? (Yes/No)</v>
          </cell>
          <cell r="D115" t="str">
            <v>Measure Life (yrs)</v>
          </cell>
          <cell r="E115" t="str">
            <v>Length of Period 1 (yrs)</v>
          </cell>
          <cell r="F115" t="str">
            <v>Site Savings - Period 1 (kWh)</v>
          </cell>
          <cell r="G115" t="str">
            <v>Site Savings - Period 2 (kWh)</v>
          </cell>
          <cell r="H115" t="str">
            <v>Site Savings - Period 1 (therms)</v>
          </cell>
          <cell r="I115" t="str">
            <v>Site Savings - Period 2 (therms)</v>
          </cell>
          <cell r="J115" t="str">
            <v>Capital Cost ($)</v>
          </cell>
          <cell r="K115" t="str">
            <v>PV Base Case Cost at Start of Period 2($)</v>
          </cell>
          <cell r="L115" t="str">
            <v>Annual O&amp;M Cost ($/unit)</v>
          </cell>
          <cell r="M115" t="str">
            <v>PV Per. Repl. Cost ($/unit)</v>
          </cell>
          <cell r="N115" t="str">
            <v>Load Shape (electric)</v>
          </cell>
          <cell r="O115" t="str">
            <v>Wholesale Electric Energy - Period 1 (kWh)</v>
          </cell>
          <cell r="P115" t="str">
            <v>Wholesale Electric Energy - Period 2 (kWh)</v>
          </cell>
          <cell r="Q115" t="str">
            <v>Wholesale Electric Demand - Period 1, Peak 1 (kW)</v>
          </cell>
          <cell r="R115" t="str">
            <v>Wholesale Electric Demand - Period 1, Peak 2 (kW)</v>
          </cell>
          <cell r="S115" t="str">
            <v>Wholesale Electric Demand - Period 2, Peak 1 (kW)</v>
          </cell>
          <cell r="T115" t="str">
            <v>Wholesale Electric Demand - Period 2, Peak 2 (kW)</v>
          </cell>
          <cell r="U115" t="str">
            <v>Retail Electric Demand - Period 1, Peak 1 (kW)</v>
          </cell>
          <cell r="V115" t="str">
            <v>Retail Electric Demand - Period 1, Peak 2 (kW)</v>
          </cell>
          <cell r="W115" t="str">
            <v>Retail Electric Demand - Period 2, Peak 1 (kW)</v>
          </cell>
          <cell r="X115" t="str">
            <v>Retail Electric Demand - Period 2, Peak 2 (kW)</v>
          </cell>
          <cell r="Y115" t="str">
            <v>Wholesale Gas Energy - Period 1 (therms/yr)</v>
          </cell>
          <cell r="Z115" t="str">
            <v>Wholesale Gas Energy - Period 2 (therms/yr)</v>
          </cell>
          <cell r="AA115" t="str">
            <v>Wholesale Gas Demand - Period 1, Peak 1 (therms/day)</v>
          </cell>
          <cell r="AB115" t="str">
            <v>Wholesale Gas Demand - Period 1, Peak 2 (therms/day)</v>
          </cell>
          <cell r="AC115" t="str">
            <v>Wholesale Gas Demand - Period 2, Peak 1 (therms/day)</v>
          </cell>
          <cell r="AD115" t="str">
            <v>Wholesale Gas Demand - Period 2, Peak 2 (therms/day)</v>
          </cell>
          <cell r="AE115" t="str">
            <v>Retail Gas Demand - Period 1, Peak 1 (therms/day)</v>
          </cell>
          <cell r="AF115" t="str">
            <v>Retail Gas Demand - Period 1, Peak 2 (therms/day)</v>
          </cell>
          <cell r="AG115" t="str">
            <v>Retail Gas Demand - Period 2, Peak 1 (therms/day)</v>
          </cell>
          <cell r="AH115" t="str">
            <v>Retail Gas Demand - Period 2, Peak 2 (therms/day)</v>
          </cell>
          <cell r="AI115" t="str">
            <v>Wholesale Electric</v>
          </cell>
          <cell r="AJ115" t="str">
            <v>Retail Electric</v>
          </cell>
          <cell r="AK115" t="str">
            <v>Natural Gas</v>
          </cell>
          <cell r="AL115" t="str">
            <v>Customer</v>
          </cell>
          <cell r="AM115" t="str">
            <v>Wholesale Electric</v>
          </cell>
          <cell r="AN115" t="str">
            <v>Retail Electric</v>
          </cell>
        </row>
        <row r="116">
          <cell r="A116" t="str">
            <v>Wheel and Hand_Rebuilt or new impact sprinkler - Idaho</v>
          </cell>
          <cell r="B116" t="str">
            <v>Pump</v>
          </cell>
          <cell r="C116" t="str">
            <v>No</v>
          </cell>
          <cell r="D116">
            <v>4</v>
          </cell>
          <cell r="F116">
            <v>5.2692688124895968</v>
          </cell>
          <cell r="H116">
            <v>0</v>
          </cell>
          <cell r="J116">
            <v>25.065699750603557</v>
          </cell>
          <cell r="L116">
            <v>-3.7229540426909793</v>
          </cell>
          <cell r="M116">
            <v>0</v>
          </cell>
          <cell r="N116" t="str">
            <v>A-Irr-Irr-Irrigation-All-All-E</v>
          </cell>
          <cell r="O116">
            <v>5.8118768757056722</v>
          </cell>
          <cell r="Q116">
            <v>0</v>
          </cell>
          <cell r="R116">
            <v>1.7759356174715439E-3</v>
          </cell>
          <cell r="U116">
            <v>0</v>
          </cell>
          <cell r="V116">
            <v>1.6954111915586723E-3</v>
          </cell>
          <cell r="Y116">
            <v>0</v>
          </cell>
          <cell r="AA116" t="str">
            <v>n/a</v>
          </cell>
          <cell r="AB116" t="str">
            <v>n/a</v>
          </cell>
          <cell r="AE116" t="str">
            <v>n/a</v>
          </cell>
          <cell r="AF116" t="str">
            <v>n/a</v>
          </cell>
          <cell r="AI116">
            <v>8.6444652523033554</v>
          </cell>
          <cell r="AJ116">
            <v>3.7790619325199244</v>
          </cell>
          <cell r="AK116">
            <v>0</v>
          </cell>
          <cell r="AL116">
            <v>12.039952912277959</v>
          </cell>
          <cell r="AM116" t="str">
            <v xml:space="preserve"> (na) </v>
          </cell>
          <cell r="AN116" t="str">
            <v xml:space="preserve"> (na) </v>
          </cell>
        </row>
        <row r="117">
          <cell r="A117" t="str">
            <v>Wheel and Hand_Gaskets - Idaho</v>
          </cell>
          <cell r="B117" t="str">
            <v>Pump</v>
          </cell>
          <cell r="C117" t="str">
            <v>No</v>
          </cell>
          <cell r="D117">
            <v>5</v>
          </cell>
          <cell r="F117">
            <v>25.816463044483005</v>
          </cell>
          <cell r="H117">
            <v>0</v>
          </cell>
          <cell r="J117">
            <v>6.9373406404505005</v>
          </cell>
          <cell r="L117">
            <v>-0.85531127870097634</v>
          </cell>
          <cell r="M117">
            <v>0</v>
          </cell>
          <cell r="N117" t="str">
            <v>A-Irr-Irr-Irrigation-All-All-E</v>
          </cell>
          <cell r="O117">
            <v>28.474938349150136</v>
          </cell>
          <cell r="Q117">
            <v>0</v>
          </cell>
          <cell r="R117">
            <v>8.7010888738798305E-3</v>
          </cell>
          <cell r="U117">
            <v>0</v>
          </cell>
          <cell r="V117">
            <v>8.3065643317212674E-3</v>
          </cell>
          <cell r="Y117">
            <v>0</v>
          </cell>
          <cell r="AA117" t="str">
            <v>n/a</v>
          </cell>
          <cell r="AB117" t="str">
            <v>n/a</v>
          </cell>
          <cell r="AE117" t="str">
            <v>n/a</v>
          </cell>
          <cell r="AF117" t="str">
            <v>n/a</v>
          </cell>
          <cell r="AI117">
            <v>2.3924965473314685</v>
          </cell>
          <cell r="AJ117">
            <v>1.0459169378113455</v>
          </cell>
          <cell r="AK117">
            <v>0</v>
          </cell>
          <cell r="AL117">
            <v>3.3322530581036358</v>
          </cell>
          <cell r="AM117" t="str">
            <v xml:space="preserve"> (na) </v>
          </cell>
          <cell r="AN117" t="str">
            <v xml:space="preserve"> (na) </v>
          </cell>
        </row>
        <row r="118">
          <cell r="A118" t="str">
            <v>Wheel and Hand_Drains - Idaho</v>
          </cell>
          <cell r="B118" t="str">
            <v>Pump</v>
          </cell>
          <cell r="C118" t="str">
            <v>No</v>
          </cell>
          <cell r="D118">
            <v>5</v>
          </cell>
          <cell r="F118">
            <v>16.785232306371459</v>
          </cell>
          <cell r="H118">
            <v>0</v>
          </cell>
          <cell r="J118">
            <v>9.9983998095375899</v>
          </cell>
          <cell r="L118">
            <v>-1.232712154308147</v>
          </cell>
          <cell r="M118">
            <v>0</v>
          </cell>
          <cell r="N118" t="str">
            <v>A-Irr-Irr-Irrigation-All-All-E</v>
          </cell>
          <cell r="O118">
            <v>18.51370787224203</v>
          </cell>
          <cell r="Q118">
            <v>0</v>
          </cell>
          <cell r="R118">
            <v>5.6572349905099767E-3</v>
          </cell>
          <cell r="U118">
            <v>0</v>
          </cell>
          <cell r="V118">
            <v>5.4007247908251484E-3</v>
          </cell>
          <cell r="Y118">
            <v>0</v>
          </cell>
          <cell r="AA118" t="str">
            <v>n/a</v>
          </cell>
          <cell r="AB118" t="str">
            <v>n/a</v>
          </cell>
          <cell r="AE118" t="str">
            <v>n/a</v>
          </cell>
          <cell r="AF118" t="str">
            <v>n/a</v>
          </cell>
          <cell r="AI118">
            <v>3.448171030218417</v>
          </cell>
          <cell r="AJ118">
            <v>1.5074213958630123</v>
          </cell>
          <cell r="AK118">
            <v>0</v>
          </cell>
          <cell r="AL118">
            <v>4.8025893592722406</v>
          </cell>
          <cell r="AM118" t="str">
            <v xml:space="preserve"> (na) </v>
          </cell>
          <cell r="AN118" t="str">
            <v xml:space="preserve"> (na) </v>
          </cell>
        </row>
        <row r="119">
          <cell r="A119" t="str">
            <v>Wheel and Hand_Cut and press repair - Idaho</v>
          </cell>
          <cell r="B119" t="str">
            <v>Pump</v>
          </cell>
          <cell r="C119" t="str">
            <v>No</v>
          </cell>
          <cell r="D119">
            <v>8</v>
          </cell>
          <cell r="F119">
            <v>74.219281680141904</v>
          </cell>
          <cell r="H119">
            <v>0</v>
          </cell>
          <cell r="J119">
            <v>30.388468755978995</v>
          </cell>
          <cell r="L119">
            <v>-2.6079383649944781</v>
          </cell>
          <cell r="M119">
            <v>0</v>
          </cell>
          <cell r="N119" t="str">
            <v>A-Irr-Irr-Irrigation-All-All-E</v>
          </cell>
          <cell r="O119">
            <v>81.862084148350505</v>
          </cell>
          <cell r="Q119">
            <v>0</v>
          </cell>
          <cell r="R119">
            <v>2.5014602695253459E-2</v>
          </cell>
          <cell r="U119">
            <v>0</v>
          </cell>
          <cell r="V119">
            <v>2.3880391239805735E-2</v>
          </cell>
          <cell r="Y119">
            <v>0</v>
          </cell>
          <cell r="AA119" t="str">
            <v>n/a</v>
          </cell>
          <cell r="AB119" t="str">
            <v>n/a</v>
          </cell>
          <cell r="AE119" t="str">
            <v>n/a</v>
          </cell>
          <cell r="AF119" t="str">
            <v>n/a</v>
          </cell>
          <cell r="AI119">
            <v>10.480140783839127</v>
          </cell>
          <cell r="AJ119">
            <v>4.5815559352387956</v>
          </cell>
          <cell r="AK119">
            <v>0</v>
          </cell>
          <cell r="AL119">
            <v>14.596669414322141</v>
          </cell>
          <cell r="AM119" t="str">
            <v xml:space="preserve"> (na) </v>
          </cell>
          <cell r="AN119" t="str">
            <v xml:space="preserve"> (na) </v>
          </cell>
        </row>
        <row r="120">
          <cell r="A120" t="str">
            <v>Wheel and Hand_Hub gasket - Idaho</v>
          </cell>
          <cell r="B120" t="str">
            <v>Pump</v>
          </cell>
          <cell r="C120" t="str">
            <v>No</v>
          </cell>
          <cell r="D120">
            <v>10</v>
          </cell>
          <cell r="F120">
            <v>84.945906067609471</v>
          </cell>
          <cell r="H120">
            <v>0</v>
          </cell>
          <cell r="J120">
            <v>28.461673476483401</v>
          </cell>
          <cell r="L120">
            <v>-2.0942597516815611</v>
          </cell>
          <cell r="M120">
            <v>0</v>
          </cell>
          <cell r="N120" t="str">
            <v>A-Irr-Irr-Irrigation-All-All-E</v>
          </cell>
          <cell r="O120">
            <v>93.693293078920959</v>
          </cell>
          <cell r="Q120">
            <v>0</v>
          </cell>
          <cell r="R120">
            <v>2.8629866023590276E-2</v>
          </cell>
          <cell r="U120">
            <v>0</v>
          </cell>
          <cell r="V120">
            <v>2.7331731393690623E-2</v>
          </cell>
          <cell r="Y120">
            <v>0</v>
          </cell>
          <cell r="AA120" t="str">
            <v>n/a</v>
          </cell>
          <cell r="AB120" t="str">
            <v>n/a</v>
          </cell>
          <cell r="AE120" t="str">
            <v>n/a</v>
          </cell>
          <cell r="AF120" t="str">
            <v>n/a</v>
          </cell>
          <cell r="AI120">
            <v>9.8156424850632984</v>
          </cell>
          <cell r="AJ120">
            <v>4.2910602074135404</v>
          </cell>
          <cell r="AK120">
            <v>0</v>
          </cell>
          <cell r="AL120">
            <v>13.671160664614574</v>
          </cell>
          <cell r="AM120" t="str">
            <v xml:space="preserve"> (na) </v>
          </cell>
          <cell r="AN120" t="str">
            <v xml:space="preserve"> (na) </v>
          </cell>
        </row>
        <row r="121">
          <cell r="A121" t="str">
            <v>Wheel and Hand_Levelers - Idaho</v>
          </cell>
          <cell r="B121" t="str">
            <v>Pump</v>
          </cell>
          <cell r="C121" t="str">
            <v>No</v>
          </cell>
          <cell r="D121">
            <v>5</v>
          </cell>
          <cell r="F121">
            <v>7.2581206499856705</v>
          </cell>
          <cell r="H121">
            <v>0</v>
          </cell>
          <cell r="J121">
            <v>12.845511625508943</v>
          </cell>
          <cell r="L121">
            <v>-1.5837352587127447</v>
          </cell>
          <cell r="M121">
            <v>0</v>
          </cell>
          <cell r="N121" t="str">
            <v>A-Irr-Irr-Irrigation-All-All-E</v>
          </cell>
          <cell r="O121">
            <v>8.0055326588667608</v>
          </cell>
          <cell r="Q121">
            <v>0</v>
          </cell>
          <cell r="R121">
            <v>2.4462511663217055E-3</v>
          </cell>
          <cell r="U121">
            <v>0</v>
          </cell>
          <cell r="V121">
            <v>2.3353333104778103E-3</v>
          </cell>
          <cell r="Y121">
            <v>0</v>
          </cell>
          <cell r="AA121" t="str">
            <v>n/a</v>
          </cell>
          <cell r="AB121" t="str">
            <v>n/a</v>
          </cell>
          <cell r="AE121" t="str">
            <v>n/a</v>
          </cell>
          <cell r="AF121" t="str">
            <v>n/a</v>
          </cell>
          <cell r="AI121">
            <v>4.4300609996773401</v>
          </cell>
          <cell r="AJ121">
            <v>1.9366698105658946</v>
          </cell>
          <cell r="AK121">
            <v>0</v>
          </cell>
          <cell r="AL121">
            <v>6.1701590876800774</v>
          </cell>
          <cell r="AM121" t="str">
            <v xml:space="preserve"> (na) </v>
          </cell>
          <cell r="AN121" t="str">
            <v xml:space="preserve"> (na) </v>
          </cell>
        </row>
        <row r="122">
          <cell r="A122" t="str">
            <v>Pivot and Linear_Base boot gasket - Idaho</v>
          </cell>
          <cell r="B122" t="str">
            <v>Pump</v>
          </cell>
          <cell r="C122" t="str">
            <v>No</v>
          </cell>
          <cell r="D122">
            <v>8</v>
          </cell>
          <cell r="F122">
            <v>15.996205555697001</v>
          </cell>
          <cell r="H122">
            <v>0</v>
          </cell>
          <cell r="J122">
            <v>2.4405750787636542</v>
          </cell>
          <cell r="L122">
            <v>0</v>
          </cell>
          <cell r="M122">
            <v>0</v>
          </cell>
          <cell r="N122" t="str">
            <v>A-Irr-Irr-Irrigation-All-All-E</v>
          </cell>
          <cell r="O122">
            <v>17.64343032715102</v>
          </cell>
          <cell r="Q122">
            <v>0</v>
          </cell>
          <cell r="R122">
            <v>5.3913042210758499E-3</v>
          </cell>
          <cell r="U122">
            <v>0</v>
          </cell>
          <cell r="V122">
            <v>5.1468518473226504E-3</v>
          </cell>
          <cell r="Y122">
            <v>0</v>
          </cell>
          <cell r="AA122" t="str">
            <v>n/a</v>
          </cell>
          <cell r="AB122" t="str">
            <v>n/a</v>
          </cell>
          <cell r="AE122" t="str">
            <v>n/a</v>
          </cell>
          <cell r="AF122" t="str">
            <v>n/a</v>
          </cell>
          <cell r="AI122">
            <v>0.84168671427183783</v>
          </cell>
          <cell r="AJ122">
            <v>0.36795638922430079</v>
          </cell>
          <cell r="AK122">
            <v>0</v>
          </cell>
          <cell r="AL122">
            <v>1.1722955799981576</v>
          </cell>
          <cell r="AM122" t="str">
            <v xml:space="preserve"> (na) </v>
          </cell>
          <cell r="AN122" t="str">
            <v xml:space="preserve"> (na) </v>
          </cell>
        </row>
        <row r="123">
          <cell r="A123" t="str">
            <v>Pivot and Linear_Tower gasket - Idaho</v>
          </cell>
          <cell r="B123" t="str">
            <v>Pump</v>
          </cell>
          <cell r="C123" t="str">
            <v>No</v>
          </cell>
          <cell r="D123">
            <v>8</v>
          </cell>
          <cell r="F123">
            <v>0.48877294753518602</v>
          </cell>
          <cell r="H123">
            <v>0</v>
          </cell>
          <cell r="J123">
            <v>5.2419313748037162</v>
          </cell>
          <cell r="L123">
            <v>-0.44986254650718882</v>
          </cell>
          <cell r="M123">
            <v>0</v>
          </cell>
          <cell r="N123" t="str">
            <v>A-Irr-Irr-Irrigation-All-All-E</v>
          </cell>
          <cell r="O123">
            <v>0.53910481555183665</v>
          </cell>
          <cell r="Q123">
            <v>0</v>
          </cell>
          <cell r="R123">
            <v>1.6473429564398427E-4</v>
          </cell>
          <cell r="U123">
            <v>0</v>
          </cell>
          <cell r="V123">
            <v>1.5726491755708094E-4</v>
          </cell>
          <cell r="Y123">
            <v>0</v>
          </cell>
          <cell r="AA123" t="str">
            <v>n/a</v>
          </cell>
          <cell r="AB123" t="str">
            <v>n/a</v>
          </cell>
          <cell r="AE123" t="str">
            <v>n/a</v>
          </cell>
          <cell r="AF123" t="str">
            <v>n/a</v>
          </cell>
          <cell r="AI123">
            <v>1.8077968728305052</v>
          </cell>
          <cell r="AJ123">
            <v>0.7903064150812531</v>
          </cell>
          <cell r="AK123">
            <v>0</v>
          </cell>
          <cell r="AL123">
            <v>2.517887294190122</v>
          </cell>
          <cell r="AM123" t="str">
            <v xml:space="preserve"> (na) </v>
          </cell>
          <cell r="AN123" t="str">
            <v xml:space="preserve"> (na) </v>
          </cell>
        </row>
        <row r="124">
          <cell r="A124" t="str">
            <v>Wheel and Hand_Nozzle replacement - Idaho</v>
          </cell>
          <cell r="B124" t="str">
            <v>Pump</v>
          </cell>
          <cell r="C124" t="str">
            <v>No</v>
          </cell>
          <cell r="D124">
            <v>4</v>
          </cell>
          <cell r="F124">
            <v>41.333112884858252</v>
          </cell>
          <cell r="H124">
            <v>0</v>
          </cell>
          <cell r="J124">
            <v>4.9428547606377924</v>
          </cell>
          <cell r="L124">
            <v>-0.73415150171930543</v>
          </cell>
          <cell r="M124">
            <v>0</v>
          </cell>
          <cell r="N124" t="str">
            <v>A-Irr-Irr-Irrigation-All-All-E</v>
          </cell>
          <cell r="O124">
            <v>45.589430246383756</v>
          </cell>
          <cell r="Q124">
            <v>0</v>
          </cell>
          <cell r="R124">
            <v>1.393076534247069E-2</v>
          </cell>
          <cell r="U124">
            <v>0</v>
          </cell>
          <cell r="V124">
            <v>1.3299116947847875E-2</v>
          </cell>
          <cell r="Y124">
            <v>0</v>
          </cell>
          <cell r="AA124" t="str">
            <v>n/a</v>
          </cell>
          <cell r="AB124" t="str">
            <v>n/a</v>
          </cell>
          <cell r="AE124" t="str">
            <v>n/a</v>
          </cell>
          <cell r="AF124" t="str">
            <v>n/a</v>
          </cell>
          <cell r="AI124">
            <v>1.7046536362698896</v>
          </cell>
          <cell r="AJ124">
            <v>0.74521575099659376</v>
          </cell>
          <cell r="AK124">
            <v>0</v>
          </cell>
          <cell r="AL124">
            <v>2.3742300898212498</v>
          </cell>
          <cell r="AM124" t="str">
            <v xml:space="preserve"> (na) </v>
          </cell>
          <cell r="AN124" t="str">
            <v xml:space="preserve"> (na) </v>
          </cell>
        </row>
        <row r="125">
          <cell r="A125" t="str">
            <v>Pivot and Linear_Sprinkler package replacement, high pressure - Idaho</v>
          </cell>
          <cell r="B125" t="str">
            <v>Pump</v>
          </cell>
          <cell r="C125" t="str">
            <v>No</v>
          </cell>
          <cell r="D125">
            <v>4</v>
          </cell>
          <cell r="F125">
            <v>25.784358026058701</v>
          </cell>
          <cell r="H125">
            <v>0</v>
          </cell>
          <cell r="J125">
            <v>8.4091036407101392</v>
          </cell>
          <cell r="L125">
            <v>-1.2489859332107978</v>
          </cell>
          <cell r="M125">
            <v>0</v>
          </cell>
          <cell r="N125" t="str">
            <v>A-Irr-Irr-Irrigation-All-All-E</v>
          </cell>
          <cell r="O125">
            <v>28.439527285335735</v>
          </cell>
          <cell r="Q125">
            <v>0</v>
          </cell>
          <cell r="R125">
            <v>8.6902683126694868E-3</v>
          </cell>
          <cell r="U125">
            <v>0</v>
          </cell>
          <cell r="V125">
            <v>8.2962343961118443E-3</v>
          </cell>
          <cell r="Y125">
            <v>0</v>
          </cell>
          <cell r="AA125" t="str">
            <v>n/a</v>
          </cell>
          <cell r="AB125" t="str">
            <v>n/a</v>
          </cell>
          <cell r="AE125" t="str">
            <v>n/a</v>
          </cell>
          <cell r="AF125" t="str">
            <v>n/a</v>
          </cell>
          <cell r="AI125">
            <v>2.9000668223270361</v>
          </cell>
          <cell r="AJ125">
            <v>1.2678091484143463</v>
          </cell>
          <cell r="AK125">
            <v>0</v>
          </cell>
          <cell r="AL125">
            <v>4.0391935144829674</v>
          </cell>
          <cell r="AM125" t="str">
            <v xml:space="preserve"> (na) </v>
          </cell>
          <cell r="AN125" t="str">
            <v xml:space="preserve"> (na) </v>
          </cell>
        </row>
        <row r="126">
          <cell r="A126" t="str">
            <v>Pivot and Linear_Sprinkler package replacement, MESA - Idaho</v>
          </cell>
          <cell r="B126" t="str">
            <v>Pump</v>
          </cell>
          <cell r="C126" t="str">
            <v>No</v>
          </cell>
          <cell r="D126">
            <v>5</v>
          </cell>
          <cell r="F126">
            <v>25.784358026058701</v>
          </cell>
          <cell r="H126">
            <v>0</v>
          </cell>
          <cell r="J126">
            <v>27.554783113802578</v>
          </cell>
          <cell r="L126">
            <v>-3.3972552309128208</v>
          </cell>
          <cell r="M126">
            <v>0</v>
          </cell>
          <cell r="N126" t="str">
            <v>A-Irr-Irr-Irrigation-All-All-E</v>
          </cell>
          <cell r="O126">
            <v>28.439527285335735</v>
          </cell>
          <cell r="Q126">
            <v>0</v>
          </cell>
          <cell r="R126">
            <v>8.6902683126694868E-3</v>
          </cell>
          <cell r="U126">
            <v>0</v>
          </cell>
          <cell r="V126">
            <v>8.2962343961118443E-3</v>
          </cell>
          <cell r="Y126">
            <v>0</v>
          </cell>
          <cell r="AA126" t="str">
            <v>n/a</v>
          </cell>
          <cell r="AB126" t="str">
            <v>n/a</v>
          </cell>
          <cell r="AE126" t="str">
            <v>n/a</v>
          </cell>
          <cell r="AF126" t="str">
            <v>n/a</v>
          </cell>
          <cell r="AI126">
            <v>9.5028811296714792</v>
          </cell>
          <cell r="AJ126">
            <v>4.1543317346130255</v>
          </cell>
          <cell r="AK126">
            <v>0</v>
          </cell>
          <cell r="AL126">
            <v>13.235548757828973</v>
          </cell>
          <cell r="AM126" t="str">
            <v xml:space="preserve"> (na) </v>
          </cell>
          <cell r="AN126" t="str">
            <v xml:space="preserve"> (na) </v>
          </cell>
        </row>
        <row r="127">
          <cell r="A127" t="str">
            <v>Pivot and Linear_Sprinkler package replacement, LESA/LEPA/MDI - Idaho</v>
          </cell>
          <cell r="B127" t="str">
            <v>Pump</v>
          </cell>
          <cell r="C127" t="str">
            <v>No</v>
          </cell>
          <cell r="D127">
            <v>5</v>
          </cell>
          <cell r="F127">
            <v>25.784358026058701</v>
          </cell>
          <cell r="H127">
            <v>0</v>
          </cell>
          <cell r="J127">
            <v>37.921401277472171</v>
          </cell>
          <cell r="L127">
            <v>-4.675365373821589</v>
          </cell>
          <cell r="M127">
            <v>0</v>
          </cell>
          <cell r="N127" t="str">
            <v>A-Irr-Irr-Irrigation-All-All-E</v>
          </cell>
          <cell r="O127">
            <v>28.439527285335735</v>
          </cell>
          <cell r="Q127">
            <v>0</v>
          </cell>
          <cell r="R127">
            <v>8.6902683126694868E-3</v>
          </cell>
          <cell r="U127">
            <v>0</v>
          </cell>
          <cell r="V127">
            <v>8.2962343961118443E-3</v>
          </cell>
          <cell r="Y127">
            <v>0</v>
          </cell>
          <cell r="AA127" t="str">
            <v>n/a</v>
          </cell>
          <cell r="AB127" t="str">
            <v>n/a</v>
          </cell>
          <cell r="AE127" t="str">
            <v>n/a</v>
          </cell>
          <cell r="AF127" t="str">
            <v>n/a</v>
          </cell>
          <cell r="AI127">
            <v>13.078040466588885</v>
          </cell>
          <cell r="AJ127">
            <v>5.7172680364551489</v>
          </cell>
          <cell r="AK127">
            <v>0</v>
          </cell>
          <cell r="AL127">
            <v>18.215006574367365</v>
          </cell>
          <cell r="AM127" t="str">
            <v xml:space="preserve"> (na) </v>
          </cell>
          <cell r="AN127" t="str">
            <v xml:space="preserve"> (na) </v>
          </cell>
        </row>
      </sheetData>
      <sheetData sheetId="7">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row>
        <row r="6">
          <cell r="A6" t="str">
            <v>Start with RTF Savings</v>
          </cell>
          <cell r="C6" t="str">
            <v>Input Data</v>
          </cell>
          <cell r="K6" t="str">
            <v>Periodic Replacement Costs and Savings and Replacement Period</v>
          </cell>
          <cell r="Q6" t="str">
            <v>Gas Inputs</v>
          </cell>
          <cell r="S6" t="str">
            <v>Savings Period 2 Parameters (if applicable)</v>
          </cell>
        </row>
        <row r="7">
          <cell r="A7" t="str">
            <v>Weighting</v>
          </cell>
          <cell r="B7" t="str">
            <v>Region</v>
          </cell>
          <cell r="C7" t="str">
            <v>Measure Application</v>
          </cell>
          <cell r="D7" t="str">
            <v>Savings Component</v>
          </cell>
          <cell r="E7" t="str">
            <v>Savings for Period 1</v>
          </cell>
          <cell r="F7" t="str">
            <v>Measure Life</v>
          </cell>
          <cell r="G7" t="str">
            <v>Capital Cost</v>
          </cell>
          <cell r="H7" t="str">
            <v>Annual O&amp;M</v>
          </cell>
          <cell r="I7" t="str">
            <v>Shape Pointer</v>
          </cell>
          <cell r="J7" t="str">
            <v>Non-E Val ($/yr)</v>
          </cell>
          <cell r="K7" t="str">
            <v>Cost A</v>
          </cell>
          <cell r="L7" t="str">
            <v>Replacement Period A (yrs)</v>
          </cell>
          <cell r="M7" t="str">
            <v>Cost B</v>
          </cell>
          <cell r="N7" t="str">
            <v>Replacement Period B (yrs)</v>
          </cell>
          <cell r="O7" t="str">
            <v>Cost C</v>
          </cell>
          <cell r="P7" t="str">
            <v>Replacement Period C (yrs)</v>
          </cell>
          <cell r="Q7" t="str">
            <v>Savings (therms/yr)</v>
          </cell>
          <cell r="R7" t="str">
            <v>Shape Pointer</v>
          </cell>
          <cell r="S7" t="str">
            <v>Savings for Period 2 (kWh/yr)</v>
          </cell>
          <cell r="T7" t="str">
            <v>Length of Period 1 (yrs)</v>
          </cell>
          <cell r="U7" t="str">
            <v>Base Case Cost at Start of Period 2 ($)</v>
          </cell>
        </row>
        <row r="8">
          <cell r="A8">
            <v>0.8</v>
          </cell>
          <cell r="B8" t="str">
            <v>Eastern &amp; Southern Idaho</v>
          </cell>
          <cell r="C8" t="str">
            <v>Eastern and Southern Idaho_Wheel and Hand_Rebuilt or new impact sprinkler</v>
          </cell>
          <cell r="D8" t="str">
            <v>Pump</v>
          </cell>
          <cell r="E8">
            <v>3.1700535615091776</v>
          </cell>
          <cell r="F8">
            <v>4</v>
          </cell>
          <cell r="G8">
            <v>15.666062344127223</v>
          </cell>
          <cell r="H8">
            <v>-2.3268462766818621</v>
          </cell>
          <cell r="I8" t="str">
            <v>A-Irr-Irr-Irrigation-All-All-E</v>
          </cell>
        </row>
        <row r="9">
          <cell r="A9">
            <v>0.8</v>
          </cell>
          <cell r="B9" t="str">
            <v>Eastern &amp; Southern Idaho</v>
          </cell>
          <cell r="C9" t="str">
            <v>Eastern and Southern Idaho_Wheel and Hand_Gaskets</v>
          </cell>
          <cell r="D9" t="str">
            <v>Pump</v>
          </cell>
          <cell r="E9">
            <v>15.531485208299003</v>
          </cell>
          <cell r="F9">
            <v>5</v>
          </cell>
          <cell r="G9">
            <v>4.3358379002815628</v>
          </cell>
          <cell r="H9">
            <v>-0.53456954918811017</v>
          </cell>
          <cell r="I9" t="str">
            <v>A-Irr-Irr-Irrigation-All-All-E</v>
          </cell>
        </row>
        <row r="10">
          <cell r="A10">
            <v>0.8</v>
          </cell>
          <cell r="B10" t="str">
            <v>Eastern &amp; Southern Idaho</v>
          </cell>
          <cell r="C10" t="str">
            <v>Eastern and Southern Idaho_Wheel and Hand_Drains</v>
          </cell>
          <cell r="D10" t="str">
            <v>Pump</v>
          </cell>
          <cell r="E10">
            <v>10.098191484831712</v>
          </cell>
          <cell r="F10">
            <v>5</v>
          </cell>
          <cell r="G10">
            <v>6.2489998809609935</v>
          </cell>
          <cell r="H10">
            <v>-0.77044509644259163</v>
          </cell>
          <cell r="I10" t="str">
            <v>A-Irr-Irr-Irrigation-All-All-E</v>
          </cell>
        </row>
        <row r="11">
          <cell r="A11">
            <v>0.8</v>
          </cell>
          <cell r="B11" t="str">
            <v>Eastern &amp; Southern Idaho</v>
          </cell>
          <cell r="C11" t="str">
            <v>Eastern and Southern Idaho_Wheel and Hand_Cut and press repair</v>
          </cell>
          <cell r="D11" t="str">
            <v>Pump</v>
          </cell>
          <cell r="E11">
            <v>44.651185315334722</v>
          </cell>
          <cell r="F11">
            <v>8</v>
          </cell>
          <cell r="G11">
            <v>18.992792972486871</v>
          </cell>
          <cell r="H11">
            <v>-1.6299614781215486</v>
          </cell>
          <cell r="I11" t="str">
            <v>A-Irr-Irr-Irrigation-All-All-E</v>
          </cell>
        </row>
        <row r="12">
          <cell r="A12">
            <v>0.8</v>
          </cell>
          <cell r="B12" t="str">
            <v>Eastern &amp; Southern Idaho</v>
          </cell>
          <cell r="C12" t="str">
            <v>Eastern and Southern Idaho_Wheel and Hand_Hub gasket</v>
          </cell>
          <cell r="D12" t="str">
            <v>Pump</v>
          </cell>
          <cell r="E12">
            <v>25.552223813954559</v>
          </cell>
          <cell r="F12">
            <v>10</v>
          </cell>
          <cell r="G12">
            <v>8.8942729614010627</v>
          </cell>
          <cell r="H12">
            <v>-0.65445617240048781</v>
          </cell>
          <cell r="I12" t="str">
            <v>A-Irr-Irr-Irrigation-All-All-E</v>
          </cell>
        </row>
        <row r="13">
          <cell r="A13">
            <v>0.8</v>
          </cell>
          <cell r="B13" t="str">
            <v>Eastern &amp; Southern Idaho</v>
          </cell>
          <cell r="C13" t="str">
            <v>Eastern and Southern Idaho_Wheel and Hand_Levelers</v>
          </cell>
          <cell r="D13" t="str">
            <v>Pump</v>
          </cell>
          <cell r="E13">
            <v>4.3665700185600107</v>
          </cell>
          <cell r="F13">
            <v>5</v>
          </cell>
          <cell r="G13">
            <v>8.0284447659430889</v>
          </cell>
          <cell r="H13">
            <v>-0.98983453669546539</v>
          </cell>
          <cell r="I13" t="str">
            <v>A-Irr-Irr-Irrigation-All-All-E</v>
          </cell>
        </row>
        <row r="14">
          <cell r="A14">
            <v>0.8</v>
          </cell>
          <cell r="B14" t="str">
            <v>Eastern &amp; Southern Idaho</v>
          </cell>
          <cell r="C14" t="str">
            <v>Eastern and Southern Idaho_Pivot and Linear_Base boot gasket</v>
          </cell>
          <cell r="D14" t="str">
            <v>Pump</v>
          </cell>
          <cell r="E14">
            <v>1898.3411674394713</v>
          </cell>
          <cell r="F14">
            <v>8</v>
          </cell>
          <cell r="G14">
            <v>294.04519021248842</v>
          </cell>
          <cell r="H14">
            <v>0</v>
          </cell>
          <cell r="I14" t="str">
            <v>A-Irr-Irr-Irrigation-All-All-E</v>
          </cell>
        </row>
        <row r="15">
          <cell r="A15">
            <v>0.8</v>
          </cell>
          <cell r="B15" t="str">
            <v>Eastern &amp; Southern Idaho</v>
          </cell>
          <cell r="C15" t="str">
            <v>Eastern and Southern Idaho_Pivot and Linear_Tower gasket</v>
          </cell>
          <cell r="D15" t="str">
            <v>Pump</v>
          </cell>
          <cell r="E15">
            <v>5.8004869005094939</v>
          </cell>
          <cell r="F15">
            <v>8</v>
          </cell>
          <cell r="G15">
            <v>63.155799696430307</v>
          </cell>
          <cell r="H15">
            <v>-5.4200306808095036</v>
          </cell>
          <cell r="I15" t="str">
            <v>A-Irr-Irr-Irrigation-All-All-E</v>
          </cell>
        </row>
        <row r="16">
          <cell r="A16">
            <v>0.8</v>
          </cell>
          <cell r="B16" t="str">
            <v>Eastern &amp; Southern Idaho</v>
          </cell>
          <cell r="C16" t="str">
            <v>Eastern and Southern Idaho_Wheel and Hand_Nozzle replacement</v>
          </cell>
          <cell r="D16" t="str">
            <v>Pump</v>
          </cell>
          <cell r="E16">
            <v>24.866482688894795</v>
          </cell>
          <cell r="F16">
            <v>4</v>
          </cell>
          <cell r="G16">
            <v>3.0892842253986195</v>
          </cell>
          <cell r="H16">
            <v>-0.45884468857456584</v>
          </cell>
          <cell r="I16" t="str">
            <v>A-Irr-Irr-Irrigation-All-All-E</v>
          </cell>
        </row>
        <row r="17">
          <cell r="A17">
            <v>0.8</v>
          </cell>
          <cell r="B17" t="str">
            <v>Eastern &amp; Southern Idaho</v>
          </cell>
          <cell r="C17" t="str">
            <v>Eastern and Southern Idaho_Pivot and Linear_Sprinkler package replacement, high pressure</v>
          </cell>
          <cell r="D17" t="str">
            <v>Pump</v>
          </cell>
          <cell r="E17">
            <v>47.31532748384074</v>
          </cell>
          <cell r="F17">
            <v>4</v>
          </cell>
          <cell r="G17">
            <v>15.666062344127223</v>
          </cell>
          <cell r="H17">
            <v>-2.3268462766818621</v>
          </cell>
          <cell r="I17" t="str">
            <v>A-Irr-Irr-Irrigation-All-All-E</v>
          </cell>
        </row>
        <row r="18">
          <cell r="A18">
            <v>0.8</v>
          </cell>
          <cell r="B18" t="str">
            <v>Eastern &amp; Southern Idaho</v>
          </cell>
          <cell r="C18" t="str">
            <v>Eastern and Southern Idaho_Pivot and Linear_Sprinkler package replacement, MESA</v>
          </cell>
          <cell r="D18" t="str">
            <v>Pump</v>
          </cell>
          <cell r="E18">
            <v>23.65766374192037</v>
          </cell>
          <cell r="F18">
            <v>5</v>
          </cell>
          <cell r="G18">
            <v>25.667120336697433</v>
          </cell>
          <cell r="H18">
            <v>-3.1645235045466786</v>
          </cell>
          <cell r="I18" t="str">
            <v>A-Irr-Irr-Irrigation-All-All-E</v>
          </cell>
        </row>
        <row r="19">
          <cell r="A19">
            <v>0.8</v>
          </cell>
          <cell r="B19" t="str">
            <v>Eastern &amp; Southern Idaho</v>
          </cell>
          <cell r="C19" t="str">
            <v>Eastern and Southern Idaho_Pivot and Linear_Sprinkler package replacement, LESA/LEPA/MDI</v>
          </cell>
          <cell r="D19" t="str">
            <v>Pump</v>
          </cell>
          <cell r="E19">
            <v>11.828831870960185</v>
          </cell>
          <cell r="F19">
            <v>5</v>
          </cell>
          <cell r="G19">
            <v>17.661782455429918</v>
          </cell>
          <cell r="H19">
            <v>-2.177537837483392</v>
          </cell>
          <cell r="I19" t="str">
            <v>A-Irr-Irr-Irrigation-All-All-E</v>
          </cell>
        </row>
        <row r="20">
          <cell r="A20">
            <v>0.8</v>
          </cell>
          <cell r="B20" t="str">
            <v>Eastern &amp; Southern Idaho</v>
          </cell>
          <cell r="C20" t="str">
            <v>Eastern and Southern Idaho_Pivot and Linear_Upgrade from high pressure to MESA</v>
          </cell>
          <cell r="D20" t="str">
            <v>Pump</v>
          </cell>
          <cell r="E20">
            <v>41.526213037738465</v>
          </cell>
          <cell r="F20">
            <v>10</v>
          </cell>
          <cell r="G20">
            <v>27.896746078620595</v>
          </cell>
          <cell r="H20">
            <v>0</v>
          </cell>
          <cell r="I20" t="str">
            <v>A-Irr-Irr-Irrigation-All-All-E</v>
          </cell>
        </row>
        <row r="21">
          <cell r="A21">
            <v>0.8</v>
          </cell>
          <cell r="B21" t="str">
            <v>Eastern &amp; Southern Idaho</v>
          </cell>
          <cell r="C21" t="str">
            <v>Eastern and Southern Idaho_Pivot and Linear_Upgrade from high pressure to LESA/LEPA/MDI</v>
          </cell>
          <cell r="D21" t="str">
            <v>Pump</v>
          </cell>
          <cell r="E21">
            <v>46.235371217275784</v>
          </cell>
          <cell r="F21">
            <v>10</v>
          </cell>
          <cell r="G21">
            <v>30.919396192661459</v>
          </cell>
          <cell r="H21">
            <v>0</v>
          </cell>
          <cell r="I21" t="str">
            <v>A-Irr-Irr-Irrigation-All-All-E</v>
          </cell>
        </row>
        <row r="22">
          <cell r="A22">
            <v>0.8</v>
          </cell>
          <cell r="B22" t="str">
            <v>Eastern &amp; Southern Idaho</v>
          </cell>
          <cell r="C22" t="str">
            <v>Eastern and Southern Idaho_Pivot and Linear_Upgrade from MESA to LESA/LEPA/MDI</v>
          </cell>
          <cell r="D22" t="str">
            <v>Pump</v>
          </cell>
          <cell r="E22">
            <v>29.111159655321771</v>
          </cell>
          <cell r="F22">
            <v>10</v>
          </cell>
          <cell r="G22">
            <v>30.919396192661459</v>
          </cell>
          <cell r="H22">
            <v>0</v>
          </cell>
          <cell r="I22" t="str">
            <v>A-Irr-Irr-Irrigation-All-All-E</v>
          </cell>
        </row>
        <row r="23">
          <cell r="A23">
            <v>0.2</v>
          </cell>
          <cell r="B23" t="str">
            <v>Western Idaho</v>
          </cell>
          <cell r="C23" t="str">
            <v>Western Idaho_Wheel and Hand_Rebuilt or new impact sprinkler</v>
          </cell>
          <cell r="D23" t="str">
            <v>Pump</v>
          </cell>
          <cell r="E23">
            <v>3.7862507929932767</v>
          </cell>
          <cell r="F23">
            <v>4</v>
          </cell>
          <cell r="G23">
            <v>15.666062344127223</v>
          </cell>
          <cell r="H23">
            <v>-2.3268462766818621</v>
          </cell>
          <cell r="I23" t="str">
            <v>A-Irr-Irr-Irrigation-All-All-E</v>
          </cell>
        </row>
        <row r="24">
          <cell r="A24">
            <v>0.2</v>
          </cell>
          <cell r="B24" t="str">
            <v>Western Idaho</v>
          </cell>
          <cell r="C24" t="str">
            <v>Western Idaho_Wheel and Hand_Gaskets</v>
          </cell>
          <cell r="D24" t="str">
            <v>Pump</v>
          </cell>
          <cell r="E24">
            <v>18.550506180813368</v>
          </cell>
          <cell r="F24">
            <v>5</v>
          </cell>
          <cell r="G24">
            <v>4.3358379002815628</v>
          </cell>
          <cell r="H24">
            <v>-0.53456954918811017</v>
          </cell>
          <cell r="I24" t="str">
            <v>A-Irr-Irr-Irrigation-All-All-E</v>
          </cell>
        </row>
        <row r="25">
          <cell r="A25">
            <v>0.2</v>
          </cell>
          <cell r="B25" t="str">
            <v>Western Idaho</v>
          </cell>
          <cell r="C25" t="str">
            <v>Western Idaho_Wheel and Hand_Drains</v>
          </cell>
          <cell r="D25" t="str">
            <v>Pump</v>
          </cell>
          <cell r="E25">
            <v>12.061085018083952</v>
          </cell>
          <cell r="F25">
            <v>5</v>
          </cell>
          <cell r="G25">
            <v>6.2489998809609935</v>
          </cell>
          <cell r="H25">
            <v>-0.77044509644259163</v>
          </cell>
          <cell r="I25" t="str">
            <v>A-Irr-Irr-Irrigation-All-All-E</v>
          </cell>
        </row>
        <row r="26">
          <cell r="A26">
            <v>0.2</v>
          </cell>
          <cell r="B26" t="str">
            <v>Western Idaho</v>
          </cell>
          <cell r="C26" t="str">
            <v>Western Idaho_Wheel and Hand_Cut and press repair</v>
          </cell>
          <cell r="D26" t="str">
            <v>Pump</v>
          </cell>
          <cell r="E26">
            <v>53.330513989104531</v>
          </cell>
          <cell r="F26">
            <v>8</v>
          </cell>
          <cell r="G26">
            <v>18.992792972486871</v>
          </cell>
          <cell r="H26">
            <v>-1.6299614781215486</v>
          </cell>
          <cell r="I26" t="str">
            <v>A-Irr-Irr-Irrigation-All-All-E</v>
          </cell>
        </row>
        <row r="27">
          <cell r="A27">
            <v>0.2</v>
          </cell>
          <cell r="B27" t="str">
            <v>Western Idaho</v>
          </cell>
          <cell r="C27" t="str">
            <v>Western Idaho_Wheel and Hand_Hub gasket</v>
          </cell>
          <cell r="D27" t="str">
            <v>Pump</v>
          </cell>
          <cell r="E27">
            <v>30.519082974821544</v>
          </cell>
          <cell r="F27">
            <v>10</v>
          </cell>
          <cell r="G27">
            <v>8.8942729614010627</v>
          </cell>
          <cell r="H27">
            <v>-0.65445617240048781</v>
          </cell>
          <cell r="I27" t="str">
            <v>A-Irr-Irr-Irrigation-All-All-E</v>
          </cell>
        </row>
        <row r="28">
          <cell r="A28">
            <v>0.2</v>
          </cell>
          <cell r="B28" t="str">
            <v>Western Idaho</v>
          </cell>
          <cell r="C28" t="str">
            <v>Western Idaho_Wheel and Hand_Levelers</v>
          </cell>
          <cell r="D28" t="str">
            <v>Pump</v>
          </cell>
          <cell r="E28">
            <v>5.2153469569651758</v>
          </cell>
          <cell r="F28">
            <v>5</v>
          </cell>
          <cell r="G28">
            <v>8.0284447659430889</v>
          </cell>
          <cell r="H28">
            <v>-0.98983453669546539</v>
          </cell>
          <cell r="I28" t="str">
            <v>A-Irr-Irr-Irrigation-All-All-E</v>
          </cell>
        </row>
        <row r="29">
          <cell r="A29">
            <v>0.2</v>
          </cell>
          <cell r="B29" t="str">
            <v>Western Idaho</v>
          </cell>
          <cell r="C29" t="str">
            <v>Western Idaho_Pivot and Linear_Base boot gasket</v>
          </cell>
          <cell r="D29" t="str">
            <v>Pump</v>
          </cell>
          <cell r="E29">
            <v>2042.9037372885014</v>
          </cell>
          <cell r="F29">
            <v>8</v>
          </cell>
          <cell r="G29">
            <v>294.04519021248842</v>
          </cell>
          <cell r="H29">
            <v>0</v>
          </cell>
          <cell r="I29" t="str">
            <v>A-Irr-Irr-Irrigation-All-All-E</v>
          </cell>
        </row>
        <row r="30">
          <cell r="A30">
            <v>0.2</v>
          </cell>
          <cell r="B30" t="str">
            <v>Western Idaho</v>
          </cell>
          <cell r="C30" t="str">
            <v>Western Idaho_Pivot and Linear_Tower gasket</v>
          </cell>
          <cell r="D30" t="str">
            <v>Pump</v>
          </cell>
          <cell r="E30">
            <v>6.2422058639370848</v>
          </cell>
          <cell r="F30">
            <v>8</v>
          </cell>
          <cell r="G30">
            <v>63.155799696430307</v>
          </cell>
          <cell r="H30">
            <v>-5.4200306808095036</v>
          </cell>
          <cell r="I30" t="str">
            <v>A-Irr-Irr-Irrigation-All-All-E</v>
          </cell>
        </row>
        <row r="31">
          <cell r="A31">
            <v>0.2</v>
          </cell>
          <cell r="B31" t="str">
            <v>Western Idaho</v>
          </cell>
          <cell r="C31" t="str">
            <v>Western Idaho_Wheel and Hand_Nozzle replacement</v>
          </cell>
          <cell r="D31" t="str">
            <v>Pump</v>
          </cell>
          <cell r="E31">
            <v>29.700047009602848</v>
          </cell>
          <cell r="F31">
            <v>4</v>
          </cell>
          <cell r="G31">
            <v>3.0892842253986195</v>
          </cell>
          <cell r="H31">
            <v>-0.45884468857456584</v>
          </cell>
          <cell r="I31" t="str">
            <v>A-Irr-Irr-Irrigation-All-All-E</v>
          </cell>
        </row>
        <row r="32">
          <cell r="A32">
            <v>0.2</v>
          </cell>
          <cell r="B32" t="str">
            <v>Western Idaho</v>
          </cell>
          <cell r="C32" t="str">
            <v>Western Idaho_Pivot and Linear_Sprinkler package replacement, high pressure</v>
          </cell>
          <cell r="D32" t="str">
            <v>Pump</v>
          </cell>
          <cell r="E32">
            <v>50.918486627009109</v>
          </cell>
          <cell r="F32">
            <v>4</v>
          </cell>
          <cell r="G32">
            <v>15.666062344127223</v>
          </cell>
          <cell r="H32">
            <v>-2.3268462766818621</v>
          </cell>
          <cell r="I32" t="str">
            <v>A-Irr-Irr-Irrigation-All-All-E</v>
          </cell>
        </row>
        <row r="33">
          <cell r="A33">
            <v>0.2</v>
          </cell>
          <cell r="B33" t="str">
            <v>Western Idaho</v>
          </cell>
          <cell r="C33" t="str">
            <v>Western Idaho_Pivot and Linear_Sprinkler package replacement, MESA</v>
          </cell>
          <cell r="D33" t="str">
            <v>Pump</v>
          </cell>
          <cell r="E33">
            <v>25.459243313504555</v>
          </cell>
          <cell r="F33">
            <v>5</v>
          </cell>
          <cell r="G33">
            <v>25.667120336697433</v>
          </cell>
          <cell r="H33">
            <v>-3.1645235045466786</v>
          </cell>
          <cell r="I33" t="str">
            <v>A-Irr-Irr-Irrigation-All-All-E</v>
          </cell>
        </row>
        <row r="34">
          <cell r="A34">
            <v>0.2</v>
          </cell>
          <cell r="B34" t="str">
            <v>Western Idaho</v>
          </cell>
          <cell r="C34" t="str">
            <v>Western Idaho_Pivot and Linear_Sprinkler package replacement, LESA/LEPA/MDI</v>
          </cell>
          <cell r="D34" t="str">
            <v>Pump</v>
          </cell>
          <cell r="E34">
            <v>12.729621656752277</v>
          </cell>
          <cell r="F34">
            <v>5</v>
          </cell>
          <cell r="G34">
            <v>17.661782455429918</v>
          </cell>
          <cell r="H34">
            <v>-2.177537837483392</v>
          </cell>
          <cell r="I34" t="str">
            <v>A-Irr-Irr-Irrigation-All-All-E</v>
          </cell>
        </row>
        <row r="35">
          <cell r="A35">
            <v>0.2</v>
          </cell>
          <cell r="B35" t="str">
            <v>Western Idaho</v>
          </cell>
          <cell r="C35" t="str">
            <v>Western Idaho_Pivot and Linear_Upgrade from high pressure to MESA</v>
          </cell>
          <cell r="D35" t="str">
            <v>Pump</v>
          </cell>
          <cell r="E35">
            <v>44.688519253186001</v>
          </cell>
          <cell r="F35">
            <v>10</v>
          </cell>
          <cell r="G35">
            <v>27.896746078620595</v>
          </cell>
          <cell r="H35">
            <v>0</v>
          </cell>
          <cell r="I35" t="str">
            <v>A-Irr-Irr-Irrigation-All-All-E</v>
          </cell>
        </row>
        <row r="36">
          <cell r="A36">
            <v>0.2</v>
          </cell>
          <cell r="B36" t="str">
            <v>Western Idaho</v>
          </cell>
          <cell r="C36" t="str">
            <v>Western Idaho_Pivot and Linear_Upgrade from high pressure to LESA/LEPA/MDI</v>
          </cell>
          <cell r="D36" t="str">
            <v>Pump</v>
          </cell>
          <cell r="E36">
            <v>49.756289477774061</v>
          </cell>
          <cell r="F36">
            <v>10</v>
          </cell>
          <cell r="G36">
            <v>30.919396192661459</v>
          </cell>
          <cell r="H36">
            <v>0</v>
          </cell>
          <cell r="I36" t="str">
            <v>A-Irr-Irr-Irrigation-All-All-E</v>
          </cell>
        </row>
        <row r="37">
          <cell r="A37">
            <v>0.2</v>
          </cell>
          <cell r="B37" t="str">
            <v>Western Idaho</v>
          </cell>
          <cell r="C37" t="str">
            <v>Western Idaho_Pivot and Linear_Upgrade from MESA to LESA/LEPA/MDI</v>
          </cell>
          <cell r="D37" t="str">
            <v>Pump</v>
          </cell>
          <cell r="E37">
            <v>31.328034115635507</v>
          </cell>
          <cell r="F37">
            <v>10</v>
          </cell>
          <cell r="G37">
            <v>30.919396192661459</v>
          </cell>
          <cell r="H37">
            <v>0</v>
          </cell>
          <cell r="I37" t="str">
            <v>A-Irr-Irr-Irrigation-All-All-E</v>
          </cell>
        </row>
        <row r="38">
          <cell r="A38">
            <v>0.1</v>
          </cell>
          <cell r="B38" t="str">
            <v>Western Washington and Oregon</v>
          </cell>
          <cell r="C38" t="str">
            <v>Western Washington and Oregon_Wheel and Hand_Rebuilt or new impact sprinkler</v>
          </cell>
          <cell r="D38" t="str">
            <v>Pump</v>
          </cell>
          <cell r="E38">
            <v>3.3879944353507496</v>
          </cell>
          <cell r="F38">
            <v>4</v>
          </cell>
          <cell r="G38">
            <v>15.666062344127223</v>
          </cell>
          <cell r="H38">
            <v>-2.3268462766818621</v>
          </cell>
          <cell r="I38" t="str">
            <v>A-Irr-Irr-Irrigation-All-All-E</v>
          </cell>
        </row>
        <row r="39">
          <cell r="A39">
            <v>0.1</v>
          </cell>
          <cell r="B39" t="str">
            <v>Western Washington and Oregon</v>
          </cell>
          <cell r="C39" t="str">
            <v>Western Washington and Oregon_Wheel and Hand_Gaskets</v>
          </cell>
          <cell r="D39" t="str">
            <v>Pump</v>
          </cell>
          <cell r="E39">
            <v>16.599273304832817</v>
          </cell>
          <cell r="F39">
            <v>5</v>
          </cell>
          <cell r="G39">
            <v>4.3358379002815628</v>
          </cell>
          <cell r="H39">
            <v>-0.53456954918811017</v>
          </cell>
          <cell r="I39" t="str">
            <v>A-Irr-Irr-Irrigation-All-All-E</v>
          </cell>
        </row>
        <row r="40">
          <cell r="A40">
            <v>0.1</v>
          </cell>
          <cell r="B40" t="str">
            <v>Western Washington and Oregon</v>
          </cell>
          <cell r="C40" t="str">
            <v>Western Washington and Oregon_Wheel and Hand_Drains</v>
          </cell>
          <cell r="D40" t="str">
            <v>Pump</v>
          </cell>
          <cell r="E40">
            <v>10.792441166649704</v>
          </cell>
          <cell r="F40">
            <v>5</v>
          </cell>
          <cell r="G40">
            <v>6.2489998809609935</v>
          </cell>
          <cell r="H40">
            <v>-0.77044509644259163</v>
          </cell>
          <cell r="I40" t="str">
            <v>A-Irr-Irr-Irrigation-All-All-E</v>
          </cell>
        </row>
        <row r="41">
          <cell r="A41">
            <v>0.1</v>
          </cell>
          <cell r="B41" t="str">
            <v>Western Washington and Oregon</v>
          </cell>
          <cell r="C41" t="str">
            <v>Western Washington and Oregon_Wheel and Hand_Cut and press repair</v>
          </cell>
          <cell r="D41" t="str">
            <v>Pump</v>
          </cell>
          <cell r="E41">
            <v>47.720949960274403</v>
          </cell>
          <cell r="F41">
            <v>8</v>
          </cell>
          <cell r="G41">
            <v>18.992792972486871</v>
          </cell>
          <cell r="H41">
            <v>-1.6299614781215486</v>
          </cell>
          <cell r="I41" t="str">
            <v>A-Irr-Irr-Irrigation-All-All-E</v>
          </cell>
        </row>
        <row r="42">
          <cell r="A42">
            <v>0.1</v>
          </cell>
          <cell r="B42" t="str">
            <v>Western Washington and Oregon</v>
          </cell>
          <cell r="C42" t="str">
            <v>Western Washington and Oregon_Wheel and Hand_Hub gasket</v>
          </cell>
          <cell r="D42" t="str">
            <v>Pump</v>
          </cell>
          <cell r="E42">
            <v>27.308936714400783</v>
          </cell>
          <cell r="F42">
            <v>10</v>
          </cell>
          <cell r="G42">
            <v>8.8942729614010627</v>
          </cell>
          <cell r="H42">
            <v>-0.65445617240048781</v>
          </cell>
          <cell r="I42" t="str">
            <v>A-Irr-Irr-Irrigation-All-All-E</v>
          </cell>
        </row>
        <row r="43">
          <cell r="A43">
            <v>0.1</v>
          </cell>
          <cell r="B43" t="str">
            <v>Western Washington and Oregon</v>
          </cell>
          <cell r="C43" t="str">
            <v>Western Washington and Oregon_Wheel and Hand_Levelers</v>
          </cell>
          <cell r="D43" t="str">
            <v>Pump</v>
          </cell>
          <cell r="E43">
            <v>4.6667712823778755</v>
          </cell>
          <cell r="F43">
            <v>5</v>
          </cell>
          <cell r="G43">
            <v>8.0284447659430889</v>
          </cell>
          <cell r="H43">
            <v>-0.98983453669546539</v>
          </cell>
          <cell r="I43" t="str">
            <v>A-Irr-Irr-Irrigation-All-All-E</v>
          </cell>
        </row>
        <row r="44">
          <cell r="A44">
            <v>0.1</v>
          </cell>
          <cell r="B44" t="str">
            <v>Western Washington and Oregon</v>
          </cell>
          <cell r="C44" t="str">
            <v>Western Washington and Oregon_Pivot and Linear_Base boot gasket</v>
          </cell>
          <cell r="D44" t="str">
            <v>Pump</v>
          </cell>
          <cell r="E44">
            <v>1872.8221871202038</v>
          </cell>
          <cell r="F44">
            <v>8</v>
          </cell>
          <cell r="G44">
            <v>294.04519021248842</v>
          </cell>
          <cell r="H44">
            <v>0</v>
          </cell>
          <cell r="I44" t="str">
            <v>A-Irr-Irr-Irrigation-All-All-E</v>
          </cell>
        </row>
        <row r="45">
          <cell r="A45">
            <v>0.1</v>
          </cell>
          <cell r="B45" t="str">
            <v>Western Washington and Oregon</v>
          </cell>
          <cell r="C45" t="str">
            <v>Western Washington and Oregon_Pivot and Linear_Tower gasket</v>
          </cell>
          <cell r="D45" t="str">
            <v>Pump</v>
          </cell>
          <cell r="E45">
            <v>5.7225122384228433</v>
          </cell>
          <cell r="F45">
            <v>8</v>
          </cell>
          <cell r="G45">
            <v>63.155799696430307</v>
          </cell>
          <cell r="H45">
            <v>-5.4200306808095036</v>
          </cell>
          <cell r="I45" t="str">
            <v>A-Irr-Irr-Irrigation-All-All-E</v>
          </cell>
        </row>
        <row r="46">
          <cell r="A46">
            <v>0.1</v>
          </cell>
          <cell r="B46" t="str">
            <v>Western Washington and Oregon</v>
          </cell>
          <cell r="C46" t="str">
            <v>Western Washington and Oregon_Wheel and Hand_Nozzle replacement</v>
          </cell>
          <cell r="D46" t="str">
            <v>Pump</v>
          </cell>
          <cell r="E46">
            <v>26.576050953730046</v>
          </cell>
          <cell r="F46">
            <v>4</v>
          </cell>
          <cell r="G46">
            <v>3.0892842253986195</v>
          </cell>
          <cell r="H46">
            <v>-0.45884468857456584</v>
          </cell>
          <cell r="I46" t="str">
            <v>A-Irr-Irr-Irrigation-All-All-E</v>
          </cell>
        </row>
        <row r="47">
          <cell r="A47">
            <v>0.1</v>
          </cell>
          <cell r="B47" t="str">
            <v>Western Washington and Oregon</v>
          </cell>
          <cell r="C47" t="str">
            <v>Western Washington and Oregon_Pivot and Linear_Sprinkler package replacement, high pressure</v>
          </cell>
          <cell r="D47" t="str">
            <v>Pump</v>
          </cell>
          <cell r="E47">
            <v>46.679278004658642</v>
          </cell>
          <cell r="F47">
            <v>4</v>
          </cell>
          <cell r="G47">
            <v>15.666062344127223</v>
          </cell>
          <cell r="H47">
            <v>-2.3268462766818621</v>
          </cell>
          <cell r="I47" t="str">
            <v>A-Irr-Irr-Irrigation-All-All-E</v>
          </cell>
        </row>
        <row r="48">
          <cell r="A48">
            <v>0.1</v>
          </cell>
          <cell r="B48" t="str">
            <v>Western Washington and Oregon</v>
          </cell>
          <cell r="C48" t="str">
            <v>Western Washington and Oregon_Pivot and Linear_Sprinkler package replacement, MESA</v>
          </cell>
          <cell r="D48" t="str">
            <v>Pump</v>
          </cell>
          <cell r="E48">
            <v>23.339639002329321</v>
          </cell>
          <cell r="F48">
            <v>5</v>
          </cell>
          <cell r="G48">
            <v>25.667120336697433</v>
          </cell>
          <cell r="H48">
            <v>-3.1645235045466786</v>
          </cell>
          <cell r="I48" t="str">
            <v>A-Irr-Irr-Irrigation-All-All-E</v>
          </cell>
        </row>
        <row r="49">
          <cell r="A49">
            <v>0.1</v>
          </cell>
          <cell r="B49" t="str">
            <v>Western Washington and Oregon</v>
          </cell>
          <cell r="C49" t="str">
            <v>Western Washington and Oregon_Pivot and Linear_Sprinkler package replacement, LESA/LEPA/MDI</v>
          </cell>
          <cell r="D49" t="str">
            <v>Pump</v>
          </cell>
          <cell r="E49">
            <v>11.66981950116466</v>
          </cell>
          <cell r="F49">
            <v>5</v>
          </cell>
          <cell r="G49">
            <v>17.661782455429918</v>
          </cell>
          <cell r="H49">
            <v>-2.177537837483392</v>
          </cell>
          <cell r="I49" t="str">
            <v>A-Irr-Irr-Irrigation-All-All-E</v>
          </cell>
        </row>
        <row r="50">
          <cell r="A50">
            <v>0.1</v>
          </cell>
          <cell r="B50" t="str">
            <v>Western Washington and Oregon</v>
          </cell>
          <cell r="C50" t="str">
            <v>Western Washington and Oregon_Pivot and Linear_Upgrade from high pressure to MESA</v>
          </cell>
          <cell r="D50" t="str">
            <v>Pump</v>
          </cell>
          <cell r="E50">
            <v>40.96798534325449</v>
          </cell>
          <cell r="F50">
            <v>10</v>
          </cell>
          <cell r="G50">
            <v>27.896746078620595</v>
          </cell>
          <cell r="H50">
            <v>0</v>
          </cell>
          <cell r="I50" t="str">
            <v>A-Irr-Irr-Irrigation-All-All-E</v>
          </cell>
        </row>
        <row r="51">
          <cell r="A51">
            <v>0.1</v>
          </cell>
          <cell r="B51" t="str">
            <v>Western Washington and Oregon</v>
          </cell>
          <cell r="C51" t="str">
            <v>Western Washington and Oregon_Pivot and Linear_Upgrade from high pressure to LESA/LEPA/MDI</v>
          </cell>
          <cell r="D51" t="str">
            <v>Pump</v>
          </cell>
          <cell r="E51">
            <v>45.613839351252388</v>
          </cell>
          <cell r="F51">
            <v>10</v>
          </cell>
          <cell r="G51">
            <v>30.919396192661459</v>
          </cell>
          <cell r="H51">
            <v>0</v>
          </cell>
          <cell r="I51" t="str">
            <v>A-Irr-Irr-Irrigation-All-All-E</v>
          </cell>
        </row>
        <row r="52">
          <cell r="A52">
            <v>0.1</v>
          </cell>
          <cell r="B52" t="str">
            <v>Western Washington and Oregon</v>
          </cell>
          <cell r="C52" t="str">
            <v>Western Washington and Oregon_Pivot and Linear_Upgrade from MESA to LESA/LEPA/MDI</v>
          </cell>
          <cell r="D52" t="str">
            <v>Pump</v>
          </cell>
          <cell r="E52">
            <v>28.719824776714454</v>
          </cell>
          <cell r="F52">
            <v>10</v>
          </cell>
          <cell r="G52">
            <v>30.919396192661459</v>
          </cell>
          <cell r="H52">
            <v>0</v>
          </cell>
          <cell r="I52" t="str">
            <v>A-Irr-Irr-Irrigation-All-All-E</v>
          </cell>
        </row>
        <row r="53">
          <cell r="A53">
            <v>0.9</v>
          </cell>
          <cell r="B53" t="str">
            <v>Eastern Washington and Oregon</v>
          </cell>
          <cell r="C53" t="str">
            <v>Eastern Washington and Oregon_Wheel and Hand_Rebuilt or new impact sprinkler</v>
          </cell>
          <cell r="D53" t="str">
            <v>Pump</v>
          </cell>
          <cell r="E53">
            <v>4.6439799113842053</v>
          </cell>
          <cell r="F53">
            <v>4</v>
          </cell>
          <cell r="G53">
            <v>15.666062344127223</v>
          </cell>
          <cell r="H53">
            <v>-2.3268462766818621</v>
          </cell>
          <cell r="I53" t="str">
            <v>A-Irr-Irr-Irrigation-All-All-E</v>
          </cell>
        </row>
        <row r="54">
          <cell r="A54">
            <v>0.9</v>
          </cell>
          <cell r="B54" t="str">
            <v>Eastern Washington and Oregon</v>
          </cell>
          <cell r="C54" t="str">
            <v>Eastern Washington and Oregon_Wheel and Hand_Gaskets</v>
          </cell>
          <cell r="D54" t="str">
            <v>Pump</v>
          </cell>
          <cell r="E54">
            <v>22.752897987932833</v>
          </cell>
          <cell r="F54">
            <v>5</v>
          </cell>
          <cell r="G54">
            <v>4.3358379002815628</v>
          </cell>
          <cell r="H54">
            <v>-0.53456954918811017</v>
          </cell>
          <cell r="I54" t="str">
            <v>A-Irr-Irr-Irrigation-All-All-E</v>
          </cell>
        </row>
        <row r="55">
          <cell r="A55">
            <v>0.9</v>
          </cell>
          <cell r="B55" t="str">
            <v>Eastern Washington and Oregon</v>
          </cell>
          <cell r="C55" t="str">
            <v>Eastern Washington and Oregon_Wheel and Hand_Drains</v>
          </cell>
          <cell r="D55" t="str">
            <v>Pump</v>
          </cell>
          <cell r="E55">
            <v>14.793377300080591</v>
          </cell>
          <cell r="F55">
            <v>5</v>
          </cell>
          <cell r="G55">
            <v>6.2489998809609935</v>
          </cell>
          <cell r="H55">
            <v>-0.77044509644259163</v>
          </cell>
          <cell r="I55" t="str">
            <v>A-Irr-Irr-Irrigation-All-All-E</v>
          </cell>
        </row>
        <row r="56">
          <cell r="A56">
            <v>0.9</v>
          </cell>
          <cell r="B56" t="str">
            <v>Eastern Washington and Oregon</v>
          </cell>
          <cell r="C56" t="str">
            <v>Eastern Washington and Oregon_Wheel and Hand_Cut and press repair</v>
          </cell>
          <cell r="D56" t="str">
            <v>Pump</v>
          </cell>
          <cell r="E56">
            <v>65.41189402654436</v>
          </cell>
          <cell r="F56">
            <v>8</v>
          </cell>
          <cell r="G56">
            <v>18.992792972486871</v>
          </cell>
          <cell r="H56">
            <v>-1.6299614781215486</v>
          </cell>
          <cell r="I56" t="str">
            <v>A-Irr-Irr-Irrigation-All-All-E</v>
          </cell>
        </row>
        <row r="57">
          <cell r="A57">
            <v>0.9</v>
          </cell>
          <cell r="B57" t="str">
            <v>Eastern Washington and Oregon</v>
          </cell>
          <cell r="C57" t="str">
            <v>Eastern Washington and Oregon_Wheel and Hand_Hub gasket</v>
          </cell>
          <cell r="D57" t="str">
            <v>Pump</v>
          </cell>
          <cell r="E57">
            <v>37.432810449645935</v>
          </cell>
          <cell r="F57">
            <v>10</v>
          </cell>
          <cell r="G57">
            <v>8.8942729614010627</v>
          </cell>
          <cell r="H57">
            <v>-0.65445617240048781</v>
          </cell>
          <cell r="I57" t="str">
            <v>A-Irr-Irr-Irrigation-All-All-E</v>
          </cell>
        </row>
        <row r="58">
          <cell r="A58">
            <v>0.9</v>
          </cell>
          <cell r="B58" t="str">
            <v>Eastern Washington and Oregon</v>
          </cell>
          <cell r="C58" t="str">
            <v>Eastern Washington and Oregon_Wheel and Hand_Levelers</v>
          </cell>
          <cell r="D58" t="str">
            <v>Pump</v>
          </cell>
          <cell r="E58">
            <v>6.396820449365312</v>
          </cell>
          <cell r="F58">
            <v>5</v>
          </cell>
          <cell r="G58">
            <v>8.0284447659430889</v>
          </cell>
          <cell r="H58">
            <v>-0.98983453669546539</v>
          </cell>
          <cell r="I58" t="str">
            <v>A-Irr-Irr-Irrigation-All-All-E</v>
          </cell>
        </row>
        <row r="59">
          <cell r="A59">
            <v>0.9</v>
          </cell>
          <cell r="B59" t="str">
            <v>Eastern Washington and Oregon</v>
          </cell>
          <cell r="C59" t="str">
            <v>Eastern Washington and Oregon_Pivot and Linear_Base boot gasket</v>
          </cell>
          <cell r="D59" t="str">
            <v>Pump</v>
          </cell>
          <cell r="E59">
            <v>2567.1082938719305</v>
          </cell>
          <cell r="F59">
            <v>8</v>
          </cell>
          <cell r="G59">
            <v>294.04519021248842</v>
          </cell>
          <cell r="H59">
            <v>0</v>
          </cell>
          <cell r="I59" t="str">
            <v>A-Irr-Irr-Irrigation-All-All-E</v>
          </cell>
        </row>
        <row r="60">
          <cell r="A60">
            <v>0.9</v>
          </cell>
          <cell r="B60" t="str">
            <v>Eastern Washington and Oregon</v>
          </cell>
          <cell r="C60" t="str">
            <v>Eastern Washington and Oregon_Pivot and Linear_Tower gasket</v>
          </cell>
          <cell r="D60" t="str">
            <v>Pump</v>
          </cell>
          <cell r="E60">
            <v>7.8439420090531184</v>
          </cell>
          <cell r="F60">
            <v>8</v>
          </cell>
          <cell r="G60">
            <v>63.155799696430307</v>
          </cell>
          <cell r="H60">
            <v>-5.4200306808095036</v>
          </cell>
          <cell r="I60" t="str">
            <v>A-Irr-Irr-Irrigation-All-All-E</v>
          </cell>
        </row>
        <row r="61">
          <cell r="A61">
            <v>0.9</v>
          </cell>
          <cell r="B61" t="str">
            <v>Eastern Washington and Oregon</v>
          </cell>
          <cell r="C61" t="str">
            <v>Eastern Washington and Oregon_Wheel and Hand_Nozzle replacement</v>
          </cell>
          <cell r="D61" t="str">
            <v>Pump</v>
          </cell>
          <cell r="E61">
            <v>36.428231836888536</v>
          </cell>
          <cell r="F61">
            <v>4</v>
          </cell>
          <cell r="G61">
            <v>3.0892842253986195</v>
          </cell>
          <cell r="H61">
            <v>-0.45884468857456584</v>
          </cell>
          <cell r="I61" t="str">
            <v>A-Irr-Irr-Irrigation-All-All-E</v>
          </cell>
        </row>
        <row r="62">
          <cell r="A62">
            <v>0.9</v>
          </cell>
          <cell r="B62" t="str">
            <v>Eastern Washington and Oregon</v>
          </cell>
          <cell r="C62" t="str">
            <v>Eastern Washington and Oregon_Pivot and Linear_Sprinkler package replacement, high pressure</v>
          </cell>
          <cell r="D62" t="str">
            <v>Pump</v>
          </cell>
          <cell r="E62">
            <v>63.984057078036763</v>
          </cell>
          <cell r="F62">
            <v>4</v>
          </cell>
          <cell r="G62">
            <v>15.666062344127223</v>
          </cell>
          <cell r="H62">
            <v>-2.3268462766818621</v>
          </cell>
          <cell r="I62" t="str">
            <v>A-Irr-Irr-Irrigation-All-All-E</v>
          </cell>
        </row>
        <row r="63">
          <cell r="A63">
            <v>0.9</v>
          </cell>
          <cell r="B63" t="str">
            <v>Eastern Washington and Oregon</v>
          </cell>
          <cell r="C63" t="str">
            <v>Eastern Washington and Oregon_Pivot and Linear_Sprinkler package replacement, MESA</v>
          </cell>
          <cell r="D63" t="str">
            <v>Pump</v>
          </cell>
          <cell r="E63">
            <v>31.992028539018381</v>
          </cell>
          <cell r="F63">
            <v>5</v>
          </cell>
          <cell r="G63">
            <v>25.667120336697433</v>
          </cell>
          <cell r="H63">
            <v>-3.1645235045466786</v>
          </cell>
          <cell r="I63" t="str">
            <v>A-Irr-Irr-Irrigation-All-All-E</v>
          </cell>
        </row>
        <row r="64">
          <cell r="A64">
            <v>0.9</v>
          </cell>
          <cell r="B64" t="str">
            <v>Eastern Washington and Oregon</v>
          </cell>
          <cell r="C64" t="str">
            <v>Eastern Washington and Oregon_Pivot and Linear_Sprinkler package replacement, LESA/LEPA/MDI</v>
          </cell>
          <cell r="D64" t="str">
            <v>Pump</v>
          </cell>
          <cell r="E64">
            <v>15.996014269509191</v>
          </cell>
          <cell r="F64">
            <v>5</v>
          </cell>
          <cell r="G64">
            <v>17.661782455429918</v>
          </cell>
          <cell r="H64">
            <v>-2.177537837483392</v>
          </cell>
          <cell r="I64" t="str">
            <v>A-Irr-Irr-Irrigation-All-All-E</v>
          </cell>
        </row>
        <row r="65">
          <cell r="A65">
            <v>0.9</v>
          </cell>
          <cell r="B65" t="str">
            <v>Eastern Washington and Oregon</v>
          </cell>
          <cell r="C65" t="str">
            <v>Eastern Washington and Oregon_Pivot and Linear_Upgrade from high pressure to MESA</v>
          </cell>
          <cell r="D65" t="str">
            <v>Pump</v>
          </cell>
          <cell r="E65">
            <v>56.155493928448529</v>
          </cell>
          <cell r="F65">
            <v>10</v>
          </cell>
          <cell r="G65">
            <v>27.896746078620595</v>
          </cell>
          <cell r="H65">
            <v>0</v>
          </cell>
          <cell r="I65" t="str">
            <v>A-Irr-Irr-Irrigation-All-All-E</v>
          </cell>
        </row>
        <row r="66">
          <cell r="A66">
            <v>0.9</v>
          </cell>
          <cell r="B66" t="str">
            <v>Eastern Washington and Oregon</v>
          </cell>
          <cell r="C66" t="str">
            <v>Eastern Washington and Oregon_Pivot and Linear_Upgrade from high pressure to LESA/LEPA/MDI</v>
          </cell>
          <cell r="D66" t="str">
            <v>Pump</v>
          </cell>
          <cell r="E66">
            <v>62.523642724458107</v>
          </cell>
          <cell r="F66">
            <v>10</v>
          </cell>
          <cell r="G66">
            <v>30.919396192661459</v>
          </cell>
          <cell r="H66">
            <v>0</v>
          </cell>
          <cell r="I66" t="str">
            <v>A-Irr-Irr-Irrigation-All-All-E</v>
          </cell>
        </row>
        <row r="67">
          <cell r="A67">
            <v>0.9</v>
          </cell>
          <cell r="B67" t="str">
            <v>Eastern Washington and Oregon</v>
          </cell>
          <cell r="C67" t="str">
            <v>Eastern Washington and Oregon_Pivot and Linear_Upgrade from MESA to LESA/LEPA/MDI</v>
          </cell>
          <cell r="D67" t="str">
            <v>Pump</v>
          </cell>
          <cell r="E67">
            <v>39.366738011695823</v>
          </cell>
          <cell r="F67">
            <v>10</v>
          </cell>
          <cell r="G67">
            <v>30.919396192661459</v>
          </cell>
          <cell r="H67">
            <v>0</v>
          </cell>
          <cell r="I67" t="str">
            <v>A-Irr-Irr-Irrigation-All-All-E</v>
          </cell>
        </row>
        <row r="68">
          <cell r="B68" t="str">
            <v>Montana</v>
          </cell>
          <cell r="C68" t="str">
            <v>Montana_Wheel and Hand_Rebuilt or new impact sprinkler</v>
          </cell>
          <cell r="D68" t="str">
            <v>Pump</v>
          </cell>
          <cell r="E68">
            <v>1.5094462867398244</v>
          </cell>
          <cell r="F68">
            <v>4</v>
          </cell>
          <cell r="G68">
            <v>15.666062344127223</v>
          </cell>
          <cell r="H68">
            <v>-2.3268462766818621</v>
          </cell>
          <cell r="I68" t="str">
            <v>A-Irr-Irr-Irrigation-All-All-E</v>
          </cell>
        </row>
        <row r="69">
          <cell r="B69" t="str">
            <v>Montana</v>
          </cell>
          <cell r="C69" t="str">
            <v>Montana_Wheel and Hand_Gaskets</v>
          </cell>
          <cell r="D69" t="str">
            <v>Pump</v>
          </cell>
          <cell r="E69">
            <v>7.3954405565502199</v>
          </cell>
          <cell r="F69">
            <v>5</v>
          </cell>
          <cell r="G69">
            <v>4.3358379002815628</v>
          </cell>
          <cell r="H69">
            <v>-0.53456954918811017</v>
          </cell>
          <cell r="I69" t="str">
            <v>A-Irr-Irr-Irrigation-All-All-E</v>
          </cell>
        </row>
        <row r="70">
          <cell r="B70" t="str">
            <v>Montana</v>
          </cell>
          <cell r="C70" t="str">
            <v>Montana_Wheel and Hand_Drains</v>
          </cell>
          <cell r="D70" t="str">
            <v>Pump</v>
          </cell>
          <cell r="E70">
            <v>4.8083344157473205</v>
          </cell>
          <cell r="F70">
            <v>5</v>
          </cell>
          <cell r="G70">
            <v>6.2489998809609935</v>
          </cell>
          <cell r="H70">
            <v>-0.77044509644259163</v>
          </cell>
          <cell r="I70" t="str">
            <v>A-Irr-Irr-Irrigation-All-All-E</v>
          </cell>
        </row>
        <row r="71">
          <cell r="B71" t="str">
            <v>Montana</v>
          </cell>
          <cell r="C71" t="str">
            <v>Montana_Wheel and Hand_Cut and press repair</v>
          </cell>
          <cell r="D71" t="str">
            <v>Pump</v>
          </cell>
          <cell r="E71">
            <v>21.261018012792547</v>
          </cell>
          <cell r="F71">
            <v>8</v>
          </cell>
          <cell r="G71">
            <v>18.992792972486871</v>
          </cell>
          <cell r="H71">
            <v>-1.6299614781215486</v>
          </cell>
          <cell r="I71" t="str">
            <v>A-Irr-Irr-Irrigation-All-All-E</v>
          </cell>
        </row>
        <row r="72">
          <cell r="B72" t="str">
            <v>Montana</v>
          </cell>
          <cell r="C72" t="str">
            <v>Montana_Wheel and Hand_Hub gasket</v>
          </cell>
          <cell r="D72" t="str">
            <v>Pump</v>
          </cell>
          <cell r="E72">
            <v>12.166895166136129</v>
          </cell>
          <cell r="F72">
            <v>10</v>
          </cell>
          <cell r="G72">
            <v>8.8942729614010627</v>
          </cell>
          <cell r="H72">
            <v>-0.65445617240048781</v>
          </cell>
          <cell r="I72" t="str">
            <v>A-Irr-Irr-Irrigation-All-All-E</v>
          </cell>
        </row>
        <row r="73">
          <cell r="B73" t="str">
            <v>Montana</v>
          </cell>
          <cell r="C73" t="str">
            <v>Montana_Wheel and Hand_Levelers</v>
          </cell>
          <cell r="D73" t="str">
            <v>Pump</v>
          </cell>
          <cell r="E73">
            <v>2.0791771408326003</v>
          </cell>
          <cell r="F73">
            <v>5</v>
          </cell>
          <cell r="G73">
            <v>8.0284447659430889</v>
          </cell>
          <cell r="H73">
            <v>-0.98983453669546539</v>
          </cell>
          <cell r="I73" t="str">
            <v>A-Irr-Irr-Irrigation-All-All-E</v>
          </cell>
        </row>
        <row r="74">
          <cell r="B74" t="str">
            <v>Montana</v>
          </cell>
          <cell r="C74" t="str">
            <v>Montana_Pivot and Linear_Base boot gasket</v>
          </cell>
          <cell r="D74" t="str">
            <v>Pump</v>
          </cell>
          <cell r="E74">
            <v>834.39466918129267</v>
          </cell>
          <cell r="F74">
            <v>8</v>
          </cell>
          <cell r="G74">
            <v>294.04519021248842</v>
          </cell>
          <cell r="H74">
            <v>0</v>
          </cell>
          <cell r="I74" t="str">
            <v>A-Irr-Irr-Irrigation-All-All-E</v>
          </cell>
        </row>
        <row r="75">
          <cell r="B75" t="str">
            <v>Montana</v>
          </cell>
          <cell r="C75" t="str">
            <v>Montana_Pivot and Linear_Tower gasket</v>
          </cell>
          <cell r="D75" t="str">
            <v>Pump</v>
          </cell>
          <cell r="E75">
            <v>2.5495392669428378</v>
          </cell>
          <cell r="F75">
            <v>8</v>
          </cell>
          <cell r="G75">
            <v>63.155799696430307</v>
          </cell>
          <cell r="H75">
            <v>-5.4200306808095036</v>
          </cell>
          <cell r="I75" t="str">
            <v>A-Irr-Irr-Irrigation-All-All-E</v>
          </cell>
        </row>
        <row r="76">
          <cell r="B76" t="str">
            <v>Montana</v>
          </cell>
          <cell r="C76" t="str">
            <v>Montana_Wheel and Hand_Nozzle replacement</v>
          </cell>
          <cell r="D76" t="str">
            <v>Pump</v>
          </cell>
          <cell r="E76">
            <v>11.840374060166717</v>
          </cell>
          <cell r="F76">
            <v>4</v>
          </cell>
          <cell r="G76">
            <v>3.0892842253986195</v>
          </cell>
          <cell r="H76">
            <v>-0.45884468857456584</v>
          </cell>
          <cell r="I76" t="str">
            <v>A-Irr-Irr-Irrigation-All-All-E</v>
          </cell>
        </row>
        <row r="77">
          <cell r="B77" t="str">
            <v>Montana</v>
          </cell>
          <cell r="C77" t="str">
            <v>Montana_Pivot and Linear_Sprinkler package replacement, high pressure</v>
          </cell>
          <cell r="D77" t="str">
            <v>Pump</v>
          </cell>
          <cell r="E77">
            <v>20.796924019898352</v>
          </cell>
          <cell r="F77">
            <v>4</v>
          </cell>
          <cell r="G77">
            <v>15.666062344127223</v>
          </cell>
          <cell r="H77">
            <v>-2.3268462766818621</v>
          </cell>
          <cell r="I77" t="str">
            <v>A-Irr-Irr-Irrigation-All-All-E</v>
          </cell>
        </row>
        <row r="78">
          <cell r="B78" t="str">
            <v>Montana</v>
          </cell>
          <cell r="C78" t="str">
            <v>Montana_Pivot and Linear_Sprinkler package replacement, MESA</v>
          </cell>
          <cell r="D78" t="str">
            <v>Pump</v>
          </cell>
          <cell r="E78">
            <v>10.398462009949176</v>
          </cell>
          <cell r="F78">
            <v>5</v>
          </cell>
          <cell r="G78">
            <v>25.667120336697433</v>
          </cell>
          <cell r="H78">
            <v>-3.1645235045466786</v>
          </cell>
          <cell r="I78" t="str">
            <v>A-Irr-Irr-Irrigation-All-All-E</v>
          </cell>
        </row>
        <row r="79">
          <cell r="B79" t="str">
            <v>Montana</v>
          </cell>
          <cell r="C79" t="str">
            <v>Montana_Pivot and Linear_Sprinkler package replacement, LESA/LEPA/MDI</v>
          </cell>
          <cell r="D79" t="str">
            <v>Pump</v>
          </cell>
          <cell r="E79">
            <v>5.199231004974588</v>
          </cell>
          <cell r="F79">
            <v>5</v>
          </cell>
          <cell r="G79">
            <v>17.661782455429918</v>
          </cell>
          <cell r="H79">
            <v>-2.177537837483392</v>
          </cell>
          <cell r="I79" t="str">
            <v>A-Irr-Irr-Irrigation-All-All-E</v>
          </cell>
        </row>
        <row r="80">
          <cell r="B80" t="str">
            <v>Montana</v>
          </cell>
          <cell r="C80" t="str">
            <v>Montana_Pivot and Linear_Upgrade from high pressure to MESA</v>
          </cell>
          <cell r="D80" t="str">
            <v>Pump</v>
          </cell>
          <cell r="E80">
            <v>18.252383388340792</v>
          </cell>
          <cell r="F80">
            <v>10</v>
          </cell>
          <cell r="G80">
            <v>27.896746078620595</v>
          </cell>
          <cell r="H80">
            <v>0</v>
          </cell>
          <cell r="I80" t="str">
            <v>A-Irr-Irr-Irrigation-All-All-E</v>
          </cell>
        </row>
        <row r="81">
          <cell r="B81" t="str">
            <v>Montana</v>
          </cell>
          <cell r="C81" t="str">
            <v>Montana_Pivot and Linear_Upgrade from high pressure to LESA/LEPA/MDI</v>
          </cell>
          <cell r="D81" t="str">
            <v>Pump</v>
          </cell>
          <cell r="E81">
            <v>20.322241298358804</v>
          </cell>
          <cell r="F81">
            <v>10</v>
          </cell>
          <cell r="G81">
            <v>30.919396192661459</v>
          </cell>
          <cell r="H81">
            <v>0</v>
          </cell>
          <cell r="I81" t="str">
            <v>A-Irr-Irr-Irrigation-All-All-E</v>
          </cell>
        </row>
        <row r="82">
          <cell r="B82" t="str">
            <v>Montana</v>
          </cell>
          <cell r="C82" t="str">
            <v>Montana_Pivot and Linear_Upgrade from MESA to LESA/LEPA/MDI</v>
          </cell>
          <cell r="D82" t="str">
            <v>Pump</v>
          </cell>
          <cell r="E82">
            <v>12.795485261929612</v>
          </cell>
          <cell r="F82">
            <v>10</v>
          </cell>
          <cell r="G82">
            <v>30.919396192661459</v>
          </cell>
          <cell r="H82">
            <v>0</v>
          </cell>
          <cell r="I82" t="str">
            <v>A-Irr-Irr-Irrigation-All-All-E</v>
          </cell>
        </row>
        <row r="85">
          <cell r="A85" t="str">
            <v>Remap to State</v>
          </cell>
        </row>
        <row r="86">
          <cell r="C86" t="str">
            <v>Input Data</v>
          </cell>
          <cell r="K86" t="str">
            <v>Periodic Replacement Costs and Savings and Replacement Period</v>
          </cell>
          <cell r="Q86" t="str">
            <v>Gas Inputs</v>
          </cell>
          <cell r="S86" t="str">
            <v>Savings Period 2 Parameters (if applicable)</v>
          </cell>
        </row>
        <row r="87">
          <cell r="B87" t="str">
            <v>State</v>
          </cell>
          <cell r="C87" t="str">
            <v>Measure Application</v>
          </cell>
          <cell r="D87" t="str">
            <v>Savings Component</v>
          </cell>
          <cell r="E87" t="str">
            <v>Savings for Period 1</v>
          </cell>
          <cell r="F87" t="str">
            <v>Measure Life</v>
          </cell>
          <cell r="G87" t="str">
            <v>Capital Cost</v>
          </cell>
          <cell r="H87" t="str">
            <v>Annual O&amp;M</v>
          </cell>
          <cell r="I87" t="str">
            <v>Shape Pointer</v>
          </cell>
          <cell r="J87" t="str">
            <v>Non-E Val ($/yr)</v>
          </cell>
          <cell r="K87" t="str">
            <v>Cost A</v>
          </cell>
          <cell r="L87" t="str">
            <v>Replacement Period A (yrs)</v>
          </cell>
          <cell r="M87" t="str">
            <v>Cost B</v>
          </cell>
          <cell r="N87" t="str">
            <v>Replacement Period B (yrs)</v>
          </cell>
          <cell r="O87" t="str">
            <v>Cost C</v>
          </cell>
          <cell r="P87" t="str">
            <v>Replacement Period C (yrs)</v>
          </cell>
          <cell r="Q87" t="str">
            <v>Savings (therms/yr)</v>
          </cell>
          <cell r="R87" t="str">
            <v>Shape Pointer</v>
          </cell>
          <cell r="S87" t="str">
            <v>Savings for Period 2 (kWh/yr)</v>
          </cell>
          <cell r="T87" t="str">
            <v>Length of Period 1 (yrs)</v>
          </cell>
          <cell r="U87" t="str">
            <v>Base Case Cost at Start of Period 2 ($)</v>
          </cell>
        </row>
        <row r="88">
          <cell r="B88" t="str">
            <v>Idaho</v>
          </cell>
          <cell r="C88" t="str">
            <v>Wheel and Hand_Rebuilt or new impact sprinkler</v>
          </cell>
          <cell r="D88" t="str">
            <v>Pump</v>
          </cell>
          <cell r="E88">
            <v>3.2932930078059979</v>
          </cell>
          <cell r="F88">
            <v>4</v>
          </cell>
          <cell r="G88">
            <v>15.666062344127223</v>
          </cell>
          <cell r="H88">
            <v>-2.3268462766818621</v>
          </cell>
          <cell r="I88" t="str">
            <v>A-Irr-Irr-Irrigation-All-All-E</v>
          </cell>
        </row>
        <row r="89">
          <cell r="B89" t="str">
            <v>Idaho</v>
          </cell>
          <cell r="C89" t="str">
            <v>Wheel and Hand_Gaskets</v>
          </cell>
          <cell r="D89" t="str">
            <v>Pump</v>
          </cell>
          <cell r="E89">
            <v>16.135289402801877</v>
          </cell>
          <cell r="F89">
            <v>5</v>
          </cell>
          <cell r="G89">
            <v>4.3358379002815628</v>
          </cell>
          <cell r="H89">
            <v>-0.53456954918811017</v>
          </cell>
          <cell r="I89" t="str">
            <v>A-Irr-Irr-Irrigation-All-All-E</v>
          </cell>
        </row>
        <row r="90">
          <cell r="B90" t="str">
            <v>Idaho</v>
          </cell>
          <cell r="C90" t="str">
            <v>Wheel and Hand_Drains</v>
          </cell>
          <cell r="D90" t="str">
            <v>Pump</v>
          </cell>
          <cell r="E90">
            <v>10.490770191482161</v>
          </cell>
          <cell r="F90">
            <v>5</v>
          </cell>
          <cell r="G90">
            <v>6.2489998809609935</v>
          </cell>
          <cell r="H90">
            <v>-0.77044509644259174</v>
          </cell>
          <cell r="I90" t="str">
            <v>A-Irr-Irr-Irrigation-All-All-E</v>
          </cell>
        </row>
        <row r="91">
          <cell r="B91" t="str">
            <v>Idaho</v>
          </cell>
          <cell r="C91" t="str">
            <v>Wheel and Hand_Cut and press repair</v>
          </cell>
          <cell r="D91" t="str">
            <v>Pump</v>
          </cell>
          <cell r="E91">
            <v>46.387051050088687</v>
          </cell>
          <cell r="F91">
            <v>8</v>
          </cell>
          <cell r="G91">
            <v>18.992792972486871</v>
          </cell>
          <cell r="H91">
            <v>-1.6299614781215488</v>
          </cell>
          <cell r="I91" t="str">
            <v>A-Irr-Irr-Irrigation-All-All-E</v>
          </cell>
        </row>
        <row r="92">
          <cell r="B92" t="str">
            <v>Idaho</v>
          </cell>
          <cell r="C92" t="str">
            <v>Wheel and Hand_Hub gasket</v>
          </cell>
          <cell r="D92" t="str">
            <v>Pump</v>
          </cell>
          <cell r="E92">
            <v>26.545595646127957</v>
          </cell>
          <cell r="F92">
            <v>10</v>
          </cell>
          <cell r="G92">
            <v>8.8942729614010627</v>
          </cell>
          <cell r="H92">
            <v>-0.65445617240048781</v>
          </cell>
          <cell r="I92" t="str">
            <v>A-Irr-Irr-Irrigation-All-All-E</v>
          </cell>
        </row>
        <row r="93">
          <cell r="B93" t="str">
            <v>Idaho</v>
          </cell>
          <cell r="C93" t="str">
            <v>Wheel and Hand_Levelers</v>
          </cell>
          <cell r="D93" t="str">
            <v>Pump</v>
          </cell>
          <cell r="E93">
            <v>4.5363254062410441</v>
          </cell>
          <cell r="F93">
            <v>5</v>
          </cell>
          <cell r="G93">
            <v>8.0284447659430889</v>
          </cell>
          <cell r="H93">
            <v>-0.98983453669546539</v>
          </cell>
          <cell r="I93" t="str">
            <v>A-Irr-Irr-Irrigation-All-All-E</v>
          </cell>
        </row>
        <row r="94">
          <cell r="B94" t="str">
            <v>Idaho</v>
          </cell>
          <cell r="C94" t="str">
            <v>Pivot and Linear_Base boot gasket</v>
          </cell>
          <cell r="D94" t="str">
            <v>Pump</v>
          </cell>
          <cell r="E94">
            <v>1927.2536814092773</v>
          </cell>
          <cell r="F94">
            <v>8</v>
          </cell>
          <cell r="G94">
            <v>294.04519021248848</v>
          </cell>
          <cell r="H94">
            <v>0</v>
          </cell>
          <cell r="I94" t="str">
            <v>A-Irr-Irr-Irrigation-All-All-E</v>
          </cell>
        </row>
        <row r="95">
          <cell r="B95" t="str">
            <v>Idaho</v>
          </cell>
          <cell r="C95" t="str">
            <v>Pivot and Linear_Tower gasket</v>
          </cell>
          <cell r="D95" t="str">
            <v>Pump</v>
          </cell>
          <cell r="E95">
            <v>5.8888306931950121</v>
          </cell>
          <cell r="F95">
            <v>8</v>
          </cell>
          <cell r="G95">
            <v>63.155799696430314</v>
          </cell>
          <cell r="H95">
            <v>-5.4200306808095036</v>
          </cell>
          <cell r="I95" t="str">
            <v>A-Irr-Irr-Irrigation-All-All-E</v>
          </cell>
        </row>
        <row r="96">
          <cell r="B96" t="str">
            <v>Idaho</v>
          </cell>
          <cell r="C96" t="str">
            <v>Wheel and Hand_Nozzle replacement</v>
          </cell>
          <cell r="D96" t="str">
            <v>Pump</v>
          </cell>
          <cell r="E96">
            <v>25.833195553036408</v>
          </cell>
          <cell r="F96">
            <v>4</v>
          </cell>
          <cell r="G96">
            <v>3.0892842253986199</v>
          </cell>
          <cell r="H96">
            <v>-0.4588446885745659</v>
          </cell>
          <cell r="I96" t="str">
            <v>A-Irr-Irr-Irrigation-All-All-E</v>
          </cell>
        </row>
        <row r="97">
          <cell r="B97" t="str">
            <v>Idaho</v>
          </cell>
          <cell r="C97" t="str">
            <v>Pivot and Linear_Sprinkler package replacement, high pressure</v>
          </cell>
          <cell r="D97" t="str">
            <v>Pump</v>
          </cell>
          <cell r="E97">
            <v>48.035959312474418</v>
          </cell>
          <cell r="F97">
            <v>4</v>
          </cell>
          <cell r="G97">
            <v>15.666062344127223</v>
          </cell>
          <cell r="H97">
            <v>-2.3268462766818621</v>
          </cell>
          <cell r="I97" t="str">
            <v>A-Irr-Irr-Irrigation-All-All-E</v>
          </cell>
        </row>
        <row r="98">
          <cell r="B98" t="str">
            <v>Idaho</v>
          </cell>
          <cell r="C98" t="str">
            <v>Pivot and Linear_Sprinkler package replacement, MESA</v>
          </cell>
          <cell r="D98" t="str">
            <v>Pump</v>
          </cell>
          <cell r="E98">
            <v>24.017979656237209</v>
          </cell>
          <cell r="F98">
            <v>5</v>
          </cell>
          <cell r="G98">
            <v>25.667120336697433</v>
          </cell>
          <cell r="H98">
            <v>-3.1645235045466791</v>
          </cell>
          <cell r="I98" t="str">
            <v>A-Irr-Irr-Irrigation-All-All-E</v>
          </cell>
        </row>
        <row r="99">
          <cell r="B99" t="str">
            <v>Idaho</v>
          </cell>
          <cell r="C99" t="str">
            <v>Pivot and Linear_Sprinkler package replacement, LESA/LEPA/MDI</v>
          </cell>
          <cell r="D99" t="str">
            <v>Pump</v>
          </cell>
          <cell r="E99">
            <v>12.008989828118604</v>
          </cell>
          <cell r="F99">
            <v>5</v>
          </cell>
          <cell r="G99">
            <v>17.661782455429918</v>
          </cell>
          <cell r="H99">
            <v>-2.177537837483392</v>
          </cell>
          <cell r="I99" t="str">
            <v>A-Irr-Irr-Irrigation-All-All-E</v>
          </cell>
        </row>
        <row r="100">
          <cell r="B100" t="str">
            <v>Idaho</v>
          </cell>
          <cell r="C100" t="str">
            <v>Pivot and Linear_Upgrade from high pressure to MESA</v>
          </cell>
          <cell r="D100" t="str">
            <v>Pump</v>
          </cell>
          <cell r="E100">
            <v>42.158674280827974</v>
          </cell>
          <cell r="F100">
            <v>10</v>
          </cell>
          <cell r="G100">
            <v>27.896746078620595</v>
          </cell>
          <cell r="H100">
            <v>0</v>
          </cell>
          <cell r="I100" t="str">
            <v>A-Irr-Irr-Irrigation-All-All-E</v>
          </cell>
        </row>
        <row r="101">
          <cell r="B101" t="str">
            <v>Idaho</v>
          </cell>
          <cell r="C101" t="str">
            <v>Pivot and Linear_Upgrade from high pressure to LESA/LEPA/MDI</v>
          </cell>
          <cell r="D101" t="str">
            <v>Pump</v>
          </cell>
          <cell r="E101">
            <v>46.939554869375442</v>
          </cell>
          <cell r="F101">
            <v>10</v>
          </cell>
          <cell r="G101">
            <v>30.919396192661459</v>
          </cell>
          <cell r="H101">
            <v>0</v>
          </cell>
          <cell r="I101" t="str">
            <v>A-Irr-Irr-Irrigation-All-All-E</v>
          </cell>
        </row>
        <row r="102">
          <cell r="B102" t="str">
            <v>Idaho</v>
          </cell>
          <cell r="C102" t="str">
            <v>Pivot and Linear_Upgrade from MESA to LESA/LEPA/MDI</v>
          </cell>
          <cell r="D102" t="str">
            <v>Pump</v>
          </cell>
          <cell r="E102">
            <v>29.55453454738452</v>
          </cell>
          <cell r="F102">
            <v>10</v>
          </cell>
          <cell r="G102">
            <v>30.919396192661459</v>
          </cell>
          <cell r="H102">
            <v>0</v>
          </cell>
          <cell r="I102" t="str">
            <v>A-Irr-Irr-Irrigation-All-All-E</v>
          </cell>
        </row>
        <row r="103">
          <cell r="B103" t="str">
            <v>Washington</v>
          </cell>
          <cell r="C103" t="str">
            <v>Wheel and Hand_Rebuilt or new impact sprinkler</v>
          </cell>
          <cell r="D103" t="str">
            <v>Pump</v>
          </cell>
          <cell r="E103">
            <v>4.5183813637808603</v>
          </cell>
          <cell r="F103">
            <v>4</v>
          </cell>
          <cell r="G103">
            <v>15.666062344127223</v>
          </cell>
          <cell r="H103">
            <v>-2.3268462766818621</v>
          </cell>
          <cell r="I103" t="str">
            <v>A-Irr-Irr-Irrigation-All-All-E</v>
          </cell>
        </row>
        <row r="104">
          <cell r="B104" t="str">
            <v>Washington</v>
          </cell>
          <cell r="C104" t="str">
            <v>Wheel and Hand_Gaskets</v>
          </cell>
          <cell r="D104" t="str">
            <v>Pump</v>
          </cell>
          <cell r="E104">
            <v>22.137535519622833</v>
          </cell>
          <cell r="F104">
            <v>5</v>
          </cell>
          <cell r="G104">
            <v>4.3358379002815628</v>
          </cell>
          <cell r="H104">
            <v>-0.53456954918811017</v>
          </cell>
          <cell r="I104" t="str">
            <v>A-Irr-Irr-Irrigation-All-All-E</v>
          </cell>
        </row>
        <row r="105">
          <cell r="B105" t="str">
            <v>Washington</v>
          </cell>
          <cell r="C105" t="str">
            <v>Wheel and Hand_Drains</v>
          </cell>
          <cell r="D105" t="str">
            <v>Pump</v>
          </cell>
          <cell r="E105">
            <v>14.393283686737503</v>
          </cell>
          <cell r="F105">
            <v>5</v>
          </cell>
          <cell r="G105">
            <v>6.2489998809609935</v>
          </cell>
          <cell r="H105">
            <v>-0.77044509644259163</v>
          </cell>
          <cell r="I105" t="str">
            <v>A-Irr-Irr-Irrigation-All-All-E</v>
          </cell>
        </row>
        <row r="106">
          <cell r="B106" t="str">
            <v>Washington</v>
          </cell>
          <cell r="C106" t="str">
            <v>Wheel and Hand_Cut and press repair</v>
          </cell>
          <cell r="D106" t="str">
            <v>Pump</v>
          </cell>
          <cell r="E106">
            <v>63.642799619917369</v>
          </cell>
          <cell r="F106">
            <v>8</v>
          </cell>
          <cell r="G106">
            <v>18.992792972486871</v>
          </cell>
          <cell r="H106">
            <v>-1.6299614781215486</v>
          </cell>
          <cell r="I106" t="str">
            <v>A-Irr-Irr-Irrigation-All-All-E</v>
          </cell>
        </row>
        <row r="107">
          <cell r="B107" t="str">
            <v>Washington</v>
          </cell>
          <cell r="C107" t="str">
            <v>Wheel and Hand_Hub gasket</v>
          </cell>
          <cell r="D107" t="str">
            <v>Pump</v>
          </cell>
          <cell r="E107">
            <v>36.420423076121423</v>
          </cell>
          <cell r="F107">
            <v>10</v>
          </cell>
          <cell r="G107">
            <v>8.8942729614010627</v>
          </cell>
          <cell r="H107">
            <v>-0.65445617240048792</v>
          </cell>
          <cell r="I107" t="str">
            <v>A-Irr-Irr-Irrigation-All-All-E</v>
          </cell>
        </row>
        <row r="108">
          <cell r="B108" t="str">
            <v>Washington</v>
          </cell>
          <cell r="C108" t="str">
            <v>Wheel and Hand_Levelers</v>
          </cell>
          <cell r="D108" t="str">
            <v>Pump</v>
          </cell>
          <cell r="E108">
            <v>6.2238155326665678</v>
          </cell>
          <cell r="F108">
            <v>5</v>
          </cell>
          <cell r="G108">
            <v>8.0284447659430889</v>
          </cell>
          <cell r="H108">
            <v>-0.98983453669546539</v>
          </cell>
          <cell r="I108" t="str">
            <v>A-Irr-Irr-Irrigation-All-All-E</v>
          </cell>
        </row>
        <row r="109">
          <cell r="B109" t="str">
            <v>Washington</v>
          </cell>
          <cell r="C109" t="str">
            <v>Pivot and Linear_Base boot gasket</v>
          </cell>
          <cell r="D109" t="str">
            <v>Pump</v>
          </cell>
          <cell r="E109">
            <v>2497.6796831967581</v>
          </cell>
          <cell r="F109">
            <v>8</v>
          </cell>
          <cell r="G109">
            <v>294.04519021248842</v>
          </cell>
          <cell r="H109">
            <v>0</v>
          </cell>
          <cell r="I109" t="str">
            <v>A-Irr-Irr-Irrigation-All-All-E</v>
          </cell>
        </row>
        <row r="110">
          <cell r="B110" t="str">
            <v>Washington</v>
          </cell>
          <cell r="C110" t="str">
            <v>Pivot and Linear_Tower gasket</v>
          </cell>
          <cell r="D110" t="str">
            <v>Pump</v>
          </cell>
          <cell r="E110">
            <v>7.6317990319900915</v>
          </cell>
          <cell r="F110">
            <v>8</v>
          </cell>
          <cell r="G110">
            <v>63.155799696430307</v>
          </cell>
          <cell r="H110">
            <v>-5.4200306808095036</v>
          </cell>
          <cell r="I110" t="str">
            <v>A-Irr-Irr-Irrigation-All-All-E</v>
          </cell>
        </row>
        <row r="111">
          <cell r="B111" t="str">
            <v>Washington</v>
          </cell>
          <cell r="C111" t="str">
            <v>Wheel and Hand_Nozzle replacement</v>
          </cell>
          <cell r="D111" t="str">
            <v>Pump</v>
          </cell>
          <cell r="E111">
            <v>35.443013748572689</v>
          </cell>
          <cell r="F111">
            <v>4</v>
          </cell>
          <cell r="G111">
            <v>3.0892842253986195</v>
          </cell>
          <cell r="H111">
            <v>-0.45884468857456584</v>
          </cell>
          <cell r="I111" t="str">
            <v>A-Irr-Irr-Irrigation-All-All-E</v>
          </cell>
        </row>
        <row r="112">
          <cell r="B112" t="str">
            <v>Washington</v>
          </cell>
          <cell r="C112" t="str">
            <v>Pivot and Linear_Sprinkler package replacement, high pressure</v>
          </cell>
          <cell r="D112" t="str">
            <v>Pump</v>
          </cell>
          <cell r="E112">
            <v>62.253579170698949</v>
          </cell>
          <cell r="F112">
            <v>4</v>
          </cell>
          <cell r="G112">
            <v>15.666062344127223</v>
          </cell>
          <cell r="H112">
            <v>-2.3268462766818621</v>
          </cell>
          <cell r="I112" t="str">
            <v>A-Irr-Irr-Irrigation-All-All-E</v>
          </cell>
        </row>
        <row r="113">
          <cell r="B113" t="str">
            <v>Washington</v>
          </cell>
          <cell r="C113" t="str">
            <v>Pivot and Linear_Sprinkler package replacement, MESA</v>
          </cell>
          <cell r="D113" t="str">
            <v>Pump</v>
          </cell>
          <cell r="E113">
            <v>31.126789585349474</v>
          </cell>
          <cell r="F113">
            <v>5</v>
          </cell>
          <cell r="G113">
            <v>25.667120336697437</v>
          </cell>
          <cell r="H113">
            <v>-3.1645235045466786</v>
          </cell>
          <cell r="I113" t="str">
            <v>A-Irr-Irr-Irrigation-All-All-E</v>
          </cell>
        </row>
        <row r="114">
          <cell r="B114" t="str">
            <v>Washington</v>
          </cell>
          <cell r="C114" t="str">
            <v>Pivot and Linear_Sprinkler package replacement, LESA/LEPA/MDI</v>
          </cell>
          <cell r="D114" t="str">
            <v>Pump</v>
          </cell>
          <cell r="E114">
            <v>15.563394792674737</v>
          </cell>
          <cell r="F114">
            <v>5</v>
          </cell>
          <cell r="G114">
            <v>17.661782455429918</v>
          </cell>
          <cell r="H114">
            <v>-2.177537837483392</v>
          </cell>
          <cell r="I114" t="str">
            <v>A-Irr-Irr-Irrigation-All-All-E</v>
          </cell>
        </row>
        <row r="115">
          <cell r="B115" t="str">
            <v>Washington</v>
          </cell>
          <cell r="C115" t="str">
            <v>Pivot and Linear_Upgrade from high pressure to MESA</v>
          </cell>
          <cell r="D115" t="str">
            <v>Pump</v>
          </cell>
          <cell r="E115">
            <v>54.636743069929125</v>
          </cell>
          <cell r="F115">
            <v>10</v>
          </cell>
          <cell r="G115">
            <v>27.896746078620598</v>
          </cell>
          <cell r="H115">
            <v>0</v>
          </cell>
          <cell r="I115" t="str">
            <v>A-Irr-Irr-Irrigation-All-All-E</v>
          </cell>
        </row>
        <row r="116">
          <cell r="B116" t="str">
            <v>Washington</v>
          </cell>
          <cell r="C116" t="str">
            <v>Pivot and Linear_Upgrade from high pressure to LESA/LEPA/MDI</v>
          </cell>
          <cell r="D116" t="str">
            <v>Pump</v>
          </cell>
          <cell r="E116">
            <v>60.832662387137532</v>
          </cell>
          <cell r="F116">
            <v>10</v>
          </cell>
          <cell r="G116">
            <v>30.919396192661459</v>
          </cell>
          <cell r="H116">
            <v>0</v>
          </cell>
          <cell r="I116" t="str">
            <v>A-Irr-Irr-Irrigation-All-All-E</v>
          </cell>
        </row>
        <row r="117">
          <cell r="B117" t="str">
            <v>Washington</v>
          </cell>
          <cell r="C117" t="str">
            <v>Pivot and Linear_Upgrade from MESA to LESA/LEPA/MDI</v>
          </cell>
          <cell r="D117" t="str">
            <v>Pump</v>
          </cell>
          <cell r="E117">
            <v>38.302046688197684</v>
          </cell>
          <cell r="F117">
            <v>10</v>
          </cell>
          <cell r="G117">
            <v>30.919396192661459</v>
          </cell>
          <cell r="H117">
            <v>0</v>
          </cell>
          <cell r="I117" t="str">
            <v>A-Irr-Irr-Irrigation-All-All-E</v>
          </cell>
        </row>
        <row r="118">
          <cell r="B118" t="str">
            <v>Oregon</v>
          </cell>
          <cell r="C118" t="str">
            <v>Wheel and Hand_Rebuilt or new impact sprinkler</v>
          </cell>
          <cell r="D118" t="str">
            <v>Pump</v>
          </cell>
          <cell r="E118">
            <v>4.5183813637808603</v>
          </cell>
          <cell r="F118">
            <v>4</v>
          </cell>
          <cell r="G118">
            <v>15.666062344127223</v>
          </cell>
          <cell r="H118">
            <v>-2.3268462766818621</v>
          </cell>
          <cell r="I118" t="str">
            <v>A-Irr-Irr-Irrigation-All-All-E</v>
          </cell>
        </row>
        <row r="119">
          <cell r="B119" t="str">
            <v>Oregon</v>
          </cell>
          <cell r="C119" t="str">
            <v>Wheel and Hand_Gaskets</v>
          </cell>
          <cell r="D119" t="str">
            <v>Pump</v>
          </cell>
          <cell r="E119">
            <v>22.137535519622833</v>
          </cell>
          <cell r="F119">
            <v>5</v>
          </cell>
          <cell r="G119">
            <v>4.3358379002815628</v>
          </cell>
          <cell r="H119">
            <v>-0.53456954918811017</v>
          </cell>
          <cell r="I119" t="str">
            <v>A-Irr-Irr-Irrigation-All-All-E</v>
          </cell>
        </row>
        <row r="120">
          <cell r="B120" t="str">
            <v>Oregon</v>
          </cell>
          <cell r="C120" t="str">
            <v>Wheel and Hand_Drains</v>
          </cell>
          <cell r="D120" t="str">
            <v>Pump</v>
          </cell>
          <cell r="E120">
            <v>14.393283686737503</v>
          </cell>
          <cell r="F120">
            <v>5</v>
          </cell>
          <cell r="G120">
            <v>6.2489998809609935</v>
          </cell>
          <cell r="H120">
            <v>-0.77044509644259163</v>
          </cell>
          <cell r="I120" t="str">
            <v>A-Irr-Irr-Irrigation-All-All-E</v>
          </cell>
        </row>
        <row r="121">
          <cell r="B121" t="str">
            <v>Oregon</v>
          </cell>
          <cell r="C121" t="str">
            <v>Wheel and Hand_Cut and press repair</v>
          </cell>
          <cell r="D121" t="str">
            <v>Pump</v>
          </cell>
          <cell r="E121">
            <v>63.642799619917369</v>
          </cell>
          <cell r="F121">
            <v>8</v>
          </cell>
          <cell r="G121">
            <v>18.992792972486871</v>
          </cell>
          <cell r="H121">
            <v>-1.6299614781215486</v>
          </cell>
          <cell r="I121" t="str">
            <v>A-Irr-Irr-Irrigation-All-All-E</v>
          </cell>
        </row>
        <row r="122">
          <cell r="B122" t="str">
            <v>Oregon</v>
          </cell>
          <cell r="C122" t="str">
            <v>Wheel and Hand_Hub gasket</v>
          </cell>
          <cell r="D122" t="str">
            <v>Pump</v>
          </cell>
          <cell r="E122">
            <v>36.420423076121423</v>
          </cell>
          <cell r="F122">
            <v>10</v>
          </cell>
          <cell r="G122">
            <v>8.8942729614010627</v>
          </cell>
          <cell r="H122">
            <v>-0.65445617240048792</v>
          </cell>
          <cell r="I122" t="str">
            <v>A-Irr-Irr-Irrigation-All-All-E</v>
          </cell>
        </row>
        <row r="123">
          <cell r="B123" t="str">
            <v>Oregon</v>
          </cell>
          <cell r="C123" t="str">
            <v>Wheel and Hand_Levelers</v>
          </cell>
          <cell r="D123" t="str">
            <v>Pump</v>
          </cell>
          <cell r="E123">
            <v>6.2238155326665678</v>
          </cell>
          <cell r="F123">
            <v>5</v>
          </cell>
          <cell r="G123">
            <v>8.0284447659430889</v>
          </cell>
          <cell r="H123">
            <v>-0.98983453669546539</v>
          </cell>
          <cell r="I123" t="str">
            <v>A-Irr-Irr-Irrigation-All-All-E</v>
          </cell>
        </row>
        <row r="124">
          <cell r="B124" t="str">
            <v>Oregon</v>
          </cell>
          <cell r="C124" t="str">
            <v>Pivot and Linear_Base boot gasket</v>
          </cell>
          <cell r="D124" t="str">
            <v>Pump</v>
          </cell>
          <cell r="E124">
            <v>2497.6796831967581</v>
          </cell>
          <cell r="F124">
            <v>8</v>
          </cell>
          <cell r="G124">
            <v>294.04519021248842</v>
          </cell>
          <cell r="H124">
            <v>0</v>
          </cell>
          <cell r="I124" t="str">
            <v>A-Irr-Irr-Irrigation-All-All-E</v>
          </cell>
        </row>
        <row r="125">
          <cell r="B125" t="str">
            <v>Oregon</v>
          </cell>
          <cell r="C125" t="str">
            <v>Pivot and Linear_Tower gasket</v>
          </cell>
          <cell r="D125" t="str">
            <v>Pump</v>
          </cell>
          <cell r="E125">
            <v>7.6317990319900915</v>
          </cell>
          <cell r="F125">
            <v>8</v>
          </cell>
          <cell r="G125">
            <v>63.155799696430307</v>
          </cell>
          <cell r="H125">
            <v>-5.4200306808095036</v>
          </cell>
          <cell r="I125" t="str">
            <v>A-Irr-Irr-Irrigation-All-All-E</v>
          </cell>
        </row>
        <row r="126">
          <cell r="B126" t="str">
            <v>Oregon</v>
          </cell>
          <cell r="C126" t="str">
            <v>Wheel and Hand_Nozzle replacement</v>
          </cell>
          <cell r="D126" t="str">
            <v>Pump</v>
          </cell>
          <cell r="E126">
            <v>35.443013748572689</v>
          </cell>
          <cell r="F126">
            <v>4</v>
          </cell>
          <cell r="G126">
            <v>3.0892842253986195</v>
          </cell>
          <cell r="H126">
            <v>-0.45884468857456584</v>
          </cell>
          <cell r="I126" t="str">
            <v>A-Irr-Irr-Irrigation-All-All-E</v>
          </cell>
        </row>
        <row r="127">
          <cell r="B127" t="str">
            <v>Oregon</v>
          </cell>
          <cell r="C127" t="str">
            <v>Pivot and Linear_Sprinkler package replacement, high pressure</v>
          </cell>
          <cell r="D127" t="str">
            <v>Pump</v>
          </cell>
          <cell r="E127">
            <v>62.253579170698949</v>
          </cell>
          <cell r="F127">
            <v>4</v>
          </cell>
          <cell r="G127">
            <v>15.666062344127223</v>
          </cell>
          <cell r="H127">
            <v>-2.3268462766818621</v>
          </cell>
          <cell r="I127" t="str">
            <v>A-Irr-Irr-Irrigation-All-All-E</v>
          </cell>
        </row>
      </sheetData>
      <sheetData sheetId="8">
        <row r="4">
          <cell r="A4" t="str">
            <v>Rebuilt or new impact sprinkler</v>
          </cell>
          <cell r="B4" t="str">
            <v>Eastern and Southern Idaho</v>
          </cell>
          <cell r="C4" t="str">
            <v>Wheel and Hand</v>
          </cell>
          <cell r="D4" t="str">
            <v>Eastern and Southern Idaho_Wheel and Hand</v>
          </cell>
          <cell r="E4">
            <v>3.6180631120783457E-2</v>
          </cell>
          <cell r="F4">
            <v>7.6266790496819616E-3</v>
          </cell>
          <cell r="G4">
            <v>59.1</v>
          </cell>
          <cell r="H4">
            <v>111</v>
          </cell>
          <cell r="I4">
            <v>247.52100000000002</v>
          </cell>
          <cell r="J4">
            <v>0.60779639520399842</v>
          </cell>
          <cell r="K4">
            <v>3.7207876352625415E-3</v>
          </cell>
          <cell r="L4">
            <v>2.7757075759058561E-3</v>
          </cell>
          <cell r="M4">
            <v>1142.0704360309376</v>
          </cell>
          <cell r="N4">
            <v>3.1700535615091776</v>
          </cell>
          <cell r="P4">
            <v>7.0859420855356847E-2</v>
          </cell>
          <cell r="Q4">
            <v>1.1143736064882115E-2</v>
          </cell>
          <cell r="T4" t="str">
            <v>Eastern and Southern Idaho_Wheel and Hand_Rebuilt or new impact sprinkler</v>
          </cell>
          <cell r="U4" t="str">
            <v>Pump</v>
          </cell>
          <cell r="V4">
            <v>3.1700535615091776</v>
          </cell>
          <cell r="W4">
            <v>4</v>
          </cell>
          <cell r="X4">
            <v>15.666062344127223</v>
          </cell>
          <cell r="Y4">
            <v>-2.3268462766818621</v>
          </cell>
          <cell r="Z4" t="str">
            <v>A-Irr-Irr-Irrigation-All-All-E</v>
          </cell>
        </row>
        <row r="5">
          <cell r="A5" t="str">
            <v>Gaskets</v>
          </cell>
          <cell r="B5" t="str">
            <v>Eastern and Southern Idaho</v>
          </cell>
          <cell r="C5" t="str">
            <v>Wheel and Hand</v>
          </cell>
          <cell r="D5" t="str">
            <v>Eastern and Southern Idaho_Wheel and Hand</v>
          </cell>
          <cell r="E5">
            <v>0.17726480836236932</v>
          </cell>
          <cell r="F5">
            <v>3.736645155994988E-2</v>
          </cell>
          <cell r="G5">
            <v>59.1</v>
          </cell>
          <cell r="H5">
            <v>111</v>
          </cell>
          <cell r="I5">
            <v>247.52100000000002</v>
          </cell>
          <cell r="J5">
            <v>0.60779639520399842</v>
          </cell>
          <cell r="K5">
            <v>1.8229773408872631E-2</v>
          </cell>
          <cell r="L5">
            <v>1.3599410963018983E-2</v>
          </cell>
          <cell r="M5">
            <v>1142.0704360309376</v>
          </cell>
          <cell r="N5">
            <v>15.531485208299003</v>
          </cell>
          <cell r="P5">
            <v>0.34717143591721067</v>
          </cell>
          <cell r="Q5">
            <v>0.20876337422140859</v>
          </cell>
          <cell r="T5" t="str">
            <v>Eastern and Southern Idaho_Wheel and Hand_Gaskets</v>
          </cell>
          <cell r="U5" t="str">
            <v>Pump</v>
          </cell>
          <cell r="V5">
            <v>15.531485208299003</v>
          </cell>
          <cell r="W5">
            <v>5</v>
          </cell>
          <cell r="X5">
            <v>4.3358379002815628</v>
          </cell>
          <cell r="Y5">
            <v>-0.53456954918811017</v>
          </cell>
          <cell r="Z5" t="str">
            <v>A-Irr-Irr-Irrigation-All-All-E</v>
          </cell>
        </row>
        <row r="6">
          <cell r="A6" t="str">
            <v>Drains</v>
          </cell>
          <cell r="B6" t="str">
            <v>Eastern and Southern Idaho</v>
          </cell>
          <cell r="C6" t="str">
            <v>Wheel and Hand</v>
          </cell>
          <cell r="D6" t="str">
            <v>Eastern and Southern Idaho_Wheel and Hand</v>
          </cell>
          <cell r="E6">
            <v>0.11525323910482924</v>
          </cell>
          <cell r="F6">
            <v>2.4294752105190835E-2</v>
          </cell>
          <cell r="G6">
            <v>59.1</v>
          </cell>
          <cell r="H6">
            <v>111</v>
          </cell>
          <cell r="I6">
            <v>247.52100000000002</v>
          </cell>
          <cell r="J6">
            <v>0.60779639520399842</v>
          </cell>
          <cell r="K6">
            <v>1.1852552421034715E-2</v>
          </cell>
          <cell r="L6">
            <v>8.8420041060918962E-3</v>
          </cell>
          <cell r="M6">
            <v>1142.0704360309376</v>
          </cell>
          <cell r="N6">
            <v>10.098191484831712</v>
          </cell>
          <cell r="P6">
            <v>0.22572236917063826</v>
          </cell>
          <cell r="Q6">
            <v>9.4177561846682467E-2</v>
          </cell>
          <cell r="T6" t="str">
            <v>Eastern and Southern Idaho_Wheel and Hand_Drains</v>
          </cell>
          <cell r="U6" t="str">
            <v>Pump</v>
          </cell>
          <cell r="V6">
            <v>10.098191484831712</v>
          </cell>
          <cell r="W6">
            <v>5</v>
          </cell>
          <cell r="X6">
            <v>6.2489998809609935</v>
          </cell>
          <cell r="Y6">
            <v>-0.77044509644259163</v>
          </cell>
          <cell r="Z6" t="str">
            <v>A-Irr-Irr-Irrigation-All-All-E</v>
          </cell>
        </row>
        <row r="7">
          <cell r="A7" t="str">
            <v>Cut and press repair</v>
          </cell>
          <cell r="B7" t="str">
            <v>Eastern and Southern Idaho</v>
          </cell>
          <cell r="C7" t="str">
            <v>Wheel and Hand</v>
          </cell>
          <cell r="D7" t="str">
            <v>Eastern and Southern Idaho_Wheel and Hand</v>
          </cell>
          <cell r="E7">
            <v>0.50961538461538447</v>
          </cell>
          <cell r="F7">
            <v>0.10742413431835143</v>
          </cell>
          <cell r="G7">
            <v>59.1</v>
          </cell>
          <cell r="H7">
            <v>111</v>
          </cell>
          <cell r="I7">
            <v>247.52100000000002</v>
          </cell>
          <cell r="J7">
            <v>0.60779639520399842</v>
          </cell>
          <cell r="K7">
            <v>5.2408445156371476E-2</v>
          </cell>
          <cell r="L7">
            <v>3.909670008665312E-2</v>
          </cell>
          <cell r="M7">
            <v>1142.0704360309376</v>
          </cell>
          <cell r="N7">
            <v>44.651185315334722</v>
          </cell>
          <cell r="P7">
            <v>0.99807686859510292</v>
          </cell>
          <cell r="Q7">
            <v>0.1676566286819797</v>
          </cell>
          <cell r="T7" t="str">
            <v>Eastern and Southern Idaho_Wheel and Hand_Cut and press repair</v>
          </cell>
          <cell r="U7" t="str">
            <v>Pump</v>
          </cell>
          <cell r="V7">
            <v>44.651185315334722</v>
          </cell>
          <cell r="W7">
            <v>8</v>
          </cell>
          <cell r="X7">
            <v>18.992792972486871</v>
          </cell>
          <cell r="Y7">
            <v>-1.6299614781215486</v>
          </cell>
          <cell r="Z7" t="str">
            <v>A-Irr-Irr-Irrigation-All-All-E</v>
          </cell>
        </row>
        <row r="8">
          <cell r="A8" t="str">
            <v>Hub gasket</v>
          </cell>
          <cell r="B8" t="str">
            <v>Eastern and Southern Idaho</v>
          </cell>
          <cell r="C8" t="str">
            <v>Wheel and Hand</v>
          </cell>
          <cell r="D8" t="str">
            <v>Eastern and Southern Idaho_Wheel and Hand</v>
          </cell>
          <cell r="E8">
            <v>0.29163405797101449</v>
          </cell>
          <cell r="F8">
            <v>6.1474863516784002E-2</v>
          </cell>
          <cell r="G8">
            <v>59.1</v>
          </cell>
          <cell r="H8">
            <v>111</v>
          </cell>
          <cell r="I8">
            <v>247.52100000000002</v>
          </cell>
          <cell r="J8">
            <v>0.60779639520399842</v>
          </cell>
          <cell r="K8">
            <v>2.9991417045698372E-2</v>
          </cell>
          <cell r="L8">
            <v>2.2373597116090986E-2</v>
          </cell>
          <cell r="M8">
            <v>1142.0704360309376</v>
          </cell>
          <cell r="N8">
            <v>25.552223813954559</v>
          </cell>
          <cell r="P8">
            <v>0.57116252009360113</v>
          </cell>
          <cell r="Q8">
            <v>0.24307774972661353</v>
          </cell>
          <cell r="T8" t="str">
            <v>Eastern and Southern Idaho_Wheel and Hand_Hub gasket</v>
          </cell>
          <cell r="U8" t="str">
            <v>Pump</v>
          </cell>
          <cell r="V8">
            <v>25.552223813954559</v>
          </cell>
          <cell r="W8">
            <v>10</v>
          </cell>
          <cell r="X8">
            <v>8.8942729614010627</v>
          </cell>
          <cell r="Y8">
            <v>-0.65445617240048781</v>
          </cell>
          <cell r="Z8" t="str">
            <v>A-Irr-Irr-Irrigation-All-All-E</v>
          </cell>
        </row>
        <row r="9">
          <cell r="A9" t="str">
            <v>Levelers</v>
          </cell>
          <cell r="B9" t="str">
            <v>Eastern and Southern Idaho</v>
          </cell>
          <cell r="C9" t="str">
            <v>Wheel and Hand</v>
          </cell>
          <cell r="D9" t="str">
            <v>Eastern and Southern Idaho_Wheel and Hand</v>
          </cell>
          <cell r="E9">
            <v>4.9836779107725791E-2</v>
          </cell>
          <cell r="F9">
            <v>1.0505320315050644E-2</v>
          </cell>
          <cell r="G9">
            <v>59.1</v>
          </cell>
          <cell r="H9">
            <v>111</v>
          </cell>
          <cell r="I9">
            <v>247.52100000000002</v>
          </cell>
          <cell r="J9">
            <v>0.60779639520399842</v>
          </cell>
          <cell r="K9">
            <v>5.1251751487225395E-3</v>
          </cell>
          <cell r="L9">
            <v>3.8233806609470145E-3</v>
          </cell>
          <cell r="M9">
            <v>1142.0704360309376</v>
          </cell>
          <cell r="N9">
            <v>4.3665700185600107</v>
          </cell>
          <cell r="P9">
            <v>9.7604856396250966E-2</v>
          </cell>
          <cell r="Q9">
            <v>3.1697379699585616E-2</v>
          </cell>
          <cell r="T9" t="str">
            <v>Eastern and Southern Idaho_Wheel and Hand_Levelers</v>
          </cell>
          <cell r="U9" t="str">
            <v>Pump</v>
          </cell>
          <cell r="V9">
            <v>4.3665700185600107</v>
          </cell>
          <cell r="W9">
            <v>5</v>
          </cell>
          <cell r="X9">
            <v>8.0284447659430889</v>
          </cell>
          <cell r="Y9">
            <v>-0.98983453669546539</v>
          </cell>
          <cell r="Z9" t="str">
            <v>A-Irr-Irr-Irrigation-All-All-E</v>
          </cell>
        </row>
        <row r="10">
          <cell r="A10" t="str">
            <v>Base boot gasket</v>
          </cell>
          <cell r="B10" t="str">
            <v>Eastern and Southern Idaho</v>
          </cell>
          <cell r="C10" t="str">
            <v>Pivot and Linear</v>
          </cell>
          <cell r="D10" t="str">
            <v>Eastern and Southern Idaho_Pivot and Linear</v>
          </cell>
          <cell r="E10">
            <v>20</v>
          </cell>
          <cell r="F10">
            <v>4.2158905543805849</v>
          </cell>
          <cell r="G10">
            <v>68.027111111111111</v>
          </cell>
          <cell r="H10">
            <v>111</v>
          </cell>
          <cell r="I10">
            <v>268.14262666666667</v>
          </cell>
          <cell r="J10">
            <v>0.60779639520399842</v>
          </cell>
          <cell r="K10">
            <v>2.2281403787877903</v>
          </cell>
          <cell r="L10">
            <v>1.6621927225756916</v>
          </cell>
          <cell r="M10">
            <v>1142.0704360309376</v>
          </cell>
          <cell r="N10">
            <v>1898.3411674394713</v>
          </cell>
          <cell r="P10">
            <v>39.169809182600268</v>
          </cell>
          <cell r="Q10">
            <v>0.13321016798232493</v>
          </cell>
          <cell r="T10" t="str">
            <v>Eastern and Southern Idaho_Pivot and Linear_Base boot gasket</v>
          </cell>
          <cell r="U10" t="str">
            <v>Pump</v>
          </cell>
          <cell r="V10">
            <v>1898.3411674394713</v>
          </cell>
          <cell r="W10">
            <v>8</v>
          </cell>
          <cell r="X10">
            <v>294.04519021248842</v>
          </cell>
          <cell r="Y10">
            <v>0</v>
          </cell>
          <cell r="Z10" t="str">
            <v>A-Irr-Irr-Irrigation-All-All-E</v>
          </cell>
        </row>
        <row r="11">
          <cell r="A11" t="str">
            <v>Tower gasket</v>
          </cell>
          <cell r="B11" t="str">
            <v>Eastern and Southern Idaho</v>
          </cell>
          <cell r="C11" t="str">
            <v>Pivot and Linear</v>
          </cell>
          <cell r="D11" t="str">
            <v>Eastern and Southern Idaho_Pivot and Linear</v>
          </cell>
          <cell r="E11">
            <v>6.1111111111111102E-2</v>
          </cell>
          <cell r="F11">
            <v>1.2881887805051787E-2</v>
          </cell>
          <cell r="G11">
            <v>68.027111111111111</v>
          </cell>
          <cell r="H11">
            <v>111</v>
          </cell>
          <cell r="I11">
            <v>268.14262666666667</v>
          </cell>
          <cell r="J11">
            <v>0.60779639520399842</v>
          </cell>
          <cell r="K11">
            <v>6.8082067129626904E-3</v>
          </cell>
          <cell r="L11">
            <v>5.0789222078701669E-3</v>
          </cell>
          <cell r="M11">
            <v>1142.0704360309376</v>
          </cell>
          <cell r="N11">
            <v>5.8004869005094939</v>
          </cell>
          <cell r="P11">
            <v>0.11968552805794526</v>
          </cell>
          <cell r="Q11">
            <v>6.0460811830121749E-3</v>
          </cell>
          <cell r="T11" t="str">
            <v>Eastern and Southern Idaho_Pivot and Linear_Tower gasket</v>
          </cell>
          <cell r="U11" t="str">
            <v>Pump</v>
          </cell>
          <cell r="V11">
            <v>5.8004869005094939</v>
          </cell>
          <cell r="W11">
            <v>8</v>
          </cell>
          <cell r="X11">
            <v>63.155799696430307</v>
          </cell>
          <cell r="Y11">
            <v>-5.4200306808095036</v>
          </cell>
          <cell r="Z11" t="str">
            <v>A-Irr-Irr-Irrigation-All-All-E</v>
          </cell>
        </row>
        <row r="12">
          <cell r="A12" t="str">
            <v>Nozzle replacement</v>
          </cell>
          <cell r="B12" t="str">
            <v>Eastern and Southern Idaho</v>
          </cell>
          <cell r="C12" t="str">
            <v>Wheel and Hand</v>
          </cell>
          <cell r="D12" t="str">
            <v>Eastern and Southern Idaho_Wheel and Hand</v>
          </cell>
          <cell r="E12">
            <v>0.28380751933097753</v>
          </cell>
          <cell r="F12">
            <v>5.9825072000482676E-2</v>
          </cell>
          <cell r="G12">
            <v>59.1</v>
          </cell>
          <cell r="H12">
            <v>111</v>
          </cell>
          <cell r="I12">
            <v>247.52100000000002</v>
          </cell>
          <cell r="J12">
            <v>0.60779639520399842</v>
          </cell>
          <cell r="K12">
            <v>2.9186541970370402E-2</v>
          </cell>
          <cell r="L12">
            <v>2.177316030989632E-2</v>
          </cell>
          <cell r="M12">
            <v>1142.0704360309376</v>
          </cell>
          <cell r="N12">
            <v>24.866482688894795</v>
          </cell>
          <cell r="P12">
            <v>0.55583431883907641</v>
          </cell>
          <cell r="Q12">
            <v>0.44328247355943651</v>
          </cell>
          <cell r="T12" t="str">
            <v>Eastern and Southern Idaho_Wheel and Hand_Nozzle replacement</v>
          </cell>
          <cell r="U12" t="str">
            <v>Pump</v>
          </cell>
          <cell r="V12">
            <v>24.866482688894795</v>
          </cell>
          <cell r="W12">
            <v>4</v>
          </cell>
          <cell r="X12">
            <v>3.0892842253986195</v>
          </cell>
          <cell r="Y12">
            <v>-0.45884468857456584</v>
          </cell>
          <cell r="Z12" t="str">
            <v>A-Irr-Irr-Irrigation-All-All-E</v>
          </cell>
        </row>
        <row r="13">
          <cell r="A13" t="str">
            <v>Sprinkler package replacement, high pressure</v>
          </cell>
          <cell r="B13" t="str">
            <v>Eastern and Southern Idaho</v>
          </cell>
          <cell r="C13" t="str">
            <v>Pivot and Linear</v>
          </cell>
          <cell r="D13" t="str">
            <v>Eastern and Southern Idaho_Pivot and Linear</v>
          </cell>
          <cell r="E13">
            <v>0.49849129645816836</v>
          </cell>
          <cell r="F13">
            <v>0.1050792374089462</v>
          </cell>
          <cell r="G13">
            <v>68.027111111111111</v>
          </cell>
          <cell r="H13">
            <v>111</v>
          </cell>
          <cell r="I13">
            <v>268.14262666666667</v>
          </cell>
          <cell r="J13">
            <v>0.60779639520399842</v>
          </cell>
          <cell r="K13">
            <v>5.5535429305635993E-2</v>
          </cell>
          <cell r="L13">
            <v>4.1429430262004449E-2</v>
          </cell>
          <cell r="M13">
            <v>1142.0704360309376</v>
          </cell>
          <cell r="N13">
            <v>47.31532748384074</v>
          </cell>
          <cell r="P13">
            <v>0.97629044807267384</v>
          </cell>
          <cell r="Q13">
            <v>0.1535367202364723</v>
          </cell>
          <cell r="T13" t="str">
            <v>Eastern and Southern Idaho_Pivot and Linear_Sprinkler package replacement, high pressure</v>
          </cell>
          <cell r="U13" t="str">
            <v>Pump</v>
          </cell>
          <cell r="V13">
            <v>47.31532748384074</v>
          </cell>
          <cell r="W13">
            <v>4</v>
          </cell>
          <cell r="X13">
            <v>15.666062344127223</v>
          </cell>
          <cell r="Y13">
            <v>-2.3268462766818621</v>
          </cell>
          <cell r="Z13" t="str">
            <v>A-Irr-Irr-Irrigation-All-All-E</v>
          </cell>
        </row>
        <row r="14">
          <cell r="A14" t="str">
            <v>Sprinkler package replacement, MESA</v>
          </cell>
          <cell r="B14" t="str">
            <v>Eastern and Southern Idaho</v>
          </cell>
          <cell r="C14" t="str">
            <v>Pivot and Linear</v>
          </cell>
          <cell r="D14" t="str">
            <v>Eastern and Southern Idaho_Pivot and Linear</v>
          </cell>
          <cell r="E14">
            <v>0.24924564822908418</v>
          </cell>
          <cell r="F14">
            <v>5.2539618704473101E-2</v>
          </cell>
          <cell r="G14">
            <v>68.027111111111111</v>
          </cell>
          <cell r="H14">
            <v>111</v>
          </cell>
          <cell r="I14">
            <v>268.14262666666667</v>
          </cell>
          <cell r="J14">
            <v>0.60779639520399842</v>
          </cell>
          <cell r="K14">
            <v>2.7767714652817996E-2</v>
          </cell>
          <cell r="L14">
            <v>2.0714715131002225E-2</v>
          </cell>
          <cell r="M14">
            <v>1142.0704360309376</v>
          </cell>
          <cell r="N14">
            <v>23.65766374192037</v>
          </cell>
          <cell r="P14">
            <v>0.48814522403633692</v>
          </cell>
          <cell r="Q14">
            <v>4.958556397017045E-2</v>
          </cell>
          <cell r="T14" t="str">
            <v>Eastern and Southern Idaho_Pivot and Linear_Sprinkler package replacement, MESA</v>
          </cell>
          <cell r="U14" t="str">
            <v>Pump</v>
          </cell>
          <cell r="V14">
            <v>23.65766374192037</v>
          </cell>
          <cell r="W14">
            <v>5</v>
          </cell>
          <cell r="X14">
            <v>25.667120336697433</v>
          </cell>
          <cell r="Y14">
            <v>-3.1645235045466786</v>
          </cell>
          <cell r="Z14" t="str">
            <v>A-Irr-Irr-Irrigation-All-All-E</v>
          </cell>
        </row>
        <row r="15">
          <cell r="A15" t="str">
            <v>Sprinkler package replacement, LESA/LEPA/MDI</v>
          </cell>
          <cell r="B15" t="str">
            <v>Eastern and Southern Idaho</v>
          </cell>
          <cell r="C15" t="str">
            <v>Pivot and Linear</v>
          </cell>
          <cell r="D15" t="str">
            <v>Eastern and Southern Idaho_Pivot and Linear</v>
          </cell>
          <cell r="E15">
            <v>0.12462282411454209</v>
          </cell>
          <cell r="F15">
            <v>2.6269809352236551E-2</v>
          </cell>
          <cell r="G15">
            <v>68.027111111111111</v>
          </cell>
          <cell r="H15">
            <v>111</v>
          </cell>
          <cell r="I15">
            <v>268.14262666666667</v>
          </cell>
          <cell r="J15">
            <v>0.60779639520399842</v>
          </cell>
          <cell r="K15">
            <v>1.3883857326408998E-2</v>
          </cell>
          <cell r="L15">
            <v>1.0357357565501112E-2</v>
          </cell>
          <cell r="M15">
            <v>1142.0704360309376</v>
          </cell>
          <cell r="N15">
            <v>11.828831870960185</v>
          </cell>
          <cell r="P15">
            <v>0.24407261201816846</v>
          </cell>
          <cell r="Q15">
            <v>3.6030299903113405E-2</v>
          </cell>
          <cell r="T15" t="str">
            <v>Eastern and Southern Idaho_Pivot and Linear_Sprinkler package replacement, LESA/LEPA/MDI</v>
          </cell>
          <cell r="U15" t="str">
            <v>Pump</v>
          </cell>
          <cell r="V15">
            <v>11.828831870960185</v>
          </cell>
          <cell r="W15">
            <v>5</v>
          </cell>
          <cell r="X15">
            <v>17.661782455429918</v>
          </cell>
          <cell r="Y15">
            <v>-2.177537837483392</v>
          </cell>
          <cell r="Z15" t="str">
            <v>A-Irr-Irr-Irrigation-All-All-E</v>
          </cell>
        </row>
        <row r="16">
          <cell r="A16" t="str">
            <v>Upgrade from high pressure to MESA</v>
          </cell>
          <cell r="B16" t="str">
            <v>Eastern and Southern Idaho</v>
          </cell>
          <cell r="C16" t="str">
            <v>Pivot and Linear</v>
          </cell>
          <cell r="D16" t="str">
            <v>Eastern and Southern Idaho_Pivot and Linear</v>
          </cell>
          <cell r="E16">
            <v>0.43750000000000039</v>
          </cell>
          <cell r="F16">
            <v>9.2222605877075398E-2</v>
          </cell>
          <cell r="G16">
            <v>68.027111111111111</v>
          </cell>
          <cell r="H16">
            <v>111</v>
          </cell>
          <cell r="I16">
            <v>268.14262666666667</v>
          </cell>
          <cell r="J16">
            <v>0.60779639520399842</v>
          </cell>
          <cell r="K16">
            <v>4.8740570785982949E-2</v>
          </cell>
          <cell r="L16">
            <v>3.6360465806343278E-2</v>
          </cell>
          <cell r="M16">
            <v>1142.0704360309376</v>
          </cell>
          <cell r="N16">
            <v>41.526213037738465</v>
          </cell>
          <cell r="P16">
            <v>0.85683957586938186</v>
          </cell>
          <cell r="Q16">
            <v>3.0714678100971907E-2</v>
          </cell>
          <cell r="T16" t="str">
            <v>Eastern and Southern Idaho_Pivot and Linear_Upgrade from high pressure to MESA</v>
          </cell>
          <cell r="U16" t="str">
            <v>Pump</v>
          </cell>
          <cell r="V16">
            <v>41.526213037738465</v>
          </cell>
          <cell r="W16">
            <v>10</v>
          </cell>
          <cell r="X16">
            <v>27.896746078620595</v>
          </cell>
          <cell r="Y16">
            <v>0</v>
          </cell>
          <cell r="Z16" t="str">
            <v>A-Irr-Irr-Irrigation-All-All-E</v>
          </cell>
        </row>
        <row r="17">
          <cell r="A17" t="str">
            <v>Upgrade from high pressure to LESA/LEPA/MDI</v>
          </cell>
          <cell r="B17" t="str">
            <v>Eastern and Southern Idaho</v>
          </cell>
          <cell r="C17" t="str">
            <v>Pivot and Linear</v>
          </cell>
          <cell r="D17" t="str">
            <v>Eastern and Southern Idaho_Pivot and Linear</v>
          </cell>
          <cell r="E17">
            <v>0.48711340206185572</v>
          </cell>
          <cell r="F17">
            <v>0.10268083953323849</v>
          </cell>
          <cell r="G17">
            <v>68.027111111111111</v>
          </cell>
          <cell r="H17">
            <v>111</v>
          </cell>
          <cell r="I17">
            <v>268.14262666666667</v>
          </cell>
          <cell r="J17">
            <v>0.60779639520399842</v>
          </cell>
          <cell r="K17">
            <v>5.4267852009135614E-2</v>
          </cell>
          <cell r="L17">
            <v>4.0483817598815169E-2</v>
          </cell>
          <cell r="M17">
            <v>1142.0704360309376</v>
          </cell>
          <cell r="N17">
            <v>46.235371217275784</v>
          </cell>
          <cell r="P17">
            <v>0.95400695045250672</v>
          </cell>
          <cell r="Q17">
            <v>3.0854643619429242E-2</v>
          </cell>
          <cell r="T17" t="str">
            <v>Eastern and Southern Idaho_Pivot and Linear_Upgrade from high pressure to LESA/LEPA/MDI</v>
          </cell>
          <cell r="U17" t="str">
            <v>Pump</v>
          </cell>
          <cell r="V17">
            <v>46.235371217275784</v>
          </cell>
          <cell r="W17">
            <v>10</v>
          </cell>
          <cell r="X17">
            <v>30.919396192661459</v>
          </cell>
          <cell r="Y17">
            <v>0</v>
          </cell>
          <cell r="Z17" t="str">
            <v>A-Irr-Irr-Irrigation-All-All-E</v>
          </cell>
        </row>
        <row r="18">
          <cell r="A18" t="str">
            <v>Upgrade from MESA to LESA/LEPA/MDI</v>
          </cell>
          <cell r="B18" t="str">
            <v>Eastern and Southern Idaho</v>
          </cell>
          <cell r="C18" t="str">
            <v>Pivot and Linear</v>
          </cell>
          <cell r="D18" t="str">
            <v>Eastern and Southern Idaho_Pivot and Linear</v>
          </cell>
          <cell r="E18">
            <v>0.30670103092783496</v>
          </cell>
          <cell r="F18">
            <v>6.4650898965372364E-2</v>
          </cell>
          <cell r="G18">
            <v>68.027111111111111</v>
          </cell>
          <cell r="H18">
            <v>111</v>
          </cell>
          <cell r="I18">
            <v>268.14262666666667</v>
          </cell>
          <cell r="J18">
            <v>0.60779639520399842</v>
          </cell>
          <cell r="K18">
            <v>3.4168647561307587E-2</v>
          </cell>
          <cell r="L18">
            <v>2.5489811080735461E-2</v>
          </cell>
          <cell r="M18">
            <v>1142.0704360309376</v>
          </cell>
          <cell r="N18">
            <v>29.111159655321771</v>
          </cell>
          <cell r="P18">
            <v>0.60067104287750406</v>
          </cell>
          <cell r="Q18">
            <v>1.9426997834455444E-2</v>
          </cell>
          <cell r="T18" t="str">
            <v>Eastern and Southern Idaho_Pivot and Linear_Upgrade from MESA to LESA/LEPA/MDI</v>
          </cell>
          <cell r="U18" t="str">
            <v>Pump</v>
          </cell>
          <cell r="V18">
            <v>29.111159655321771</v>
          </cell>
          <cell r="W18">
            <v>10</v>
          </cell>
          <cell r="X18">
            <v>30.919396192661459</v>
          </cell>
          <cell r="Y18">
            <v>0</v>
          </cell>
          <cell r="Z18" t="str">
            <v>A-Irr-Irr-Irrigation-All-All-E</v>
          </cell>
        </row>
        <row r="19">
          <cell r="A19" t="str">
            <v>Rebuilt or new impact sprinkler</v>
          </cell>
          <cell r="B19" t="str">
            <v>Western Idaho</v>
          </cell>
          <cell r="C19" t="str">
            <v>Wheel and Hand</v>
          </cell>
          <cell r="D19" t="str">
            <v>Western Idaho_Wheel and Hand</v>
          </cell>
          <cell r="E19">
            <v>3.6180631120783457E-2</v>
          </cell>
          <cell r="F19">
            <v>1.0684705684090206E-2</v>
          </cell>
          <cell r="G19">
            <v>66.2</v>
          </cell>
          <cell r="H19">
            <v>58.100000000000009</v>
          </cell>
          <cell r="I19">
            <v>211.02199999999999</v>
          </cell>
          <cell r="J19">
            <v>0.60779639520399842</v>
          </cell>
          <cell r="K19">
            <v>3.1721270048536165E-3</v>
          </cell>
          <cell r="L19">
            <v>2.3664067456207979E-3</v>
          </cell>
          <cell r="M19">
            <v>1600</v>
          </cell>
          <cell r="N19">
            <v>3.7862507929932767</v>
          </cell>
          <cell r="P19">
            <v>9.9271524585283766E-2</v>
          </cell>
          <cell r="Q19">
            <v>1.5611977283797223E-2</v>
          </cell>
          <cell r="T19" t="str">
            <v>Western Idaho_Wheel and Hand_Rebuilt or new impact sprinkler</v>
          </cell>
          <cell r="U19" t="str">
            <v>Pump</v>
          </cell>
          <cell r="V19">
            <v>3.7862507929932767</v>
          </cell>
          <cell r="W19">
            <v>4</v>
          </cell>
          <cell r="X19">
            <v>15.666062344127223</v>
          </cell>
          <cell r="Y19">
            <v>-2.3268462766818621</v>
          </cell>
          <cell r="Z19" t="str">
            <v>A-Irr-Irr-Irrigation-All-All-E</v>
          </cell>
        </row>
        <row r="20">
          <cell r="A20" t="str">
            <v>Gaskets</v>
          </cell>
          <cell r="B20" t="str">
            <v>Western Idaho</v>
          </cell>
          <cell r="C20" t="str">
            <v>Wheel and Hand</v>
          </cell>
          <cell r="D20" t="str">
            <v>Western Idaho_Wheel and Hand</v>
          </cell>
          <cell r="E20">
            <v>0.17726480836236932</v>
          </cell>
          <cell r="F20">
            <v>5.2349067631674732E-2</v>
          </cell>
          <cell r="G20">
            <v>66.2</v>
          </cell>
          <cell r="H20">
            <v>58.100000000000009</v>
          </cell>
          <cell r="I20">
            <v>211.02199999999999</v>
          </cell>
          <cell r="J20">
            <v>0.60779639520399842</v>
          </cell>
          <cell r="K20">
            <v>1.5541643918241763E-2</v>
          </cell>
          <cell r="L20">
            <v>1.1594066363008354E-2</v>
          </cell>
          <cell r="M20">
            <v>1600</v>
          </cell>
          <cell r="N20">
            <v>18.550506180813368</v>
          </cell>
          <cell r="P20">
            <v>0.48637481537302463</v>
          </cell>
          <cell r="Q20">
            <v>0.29247005107240637</v>
          </cell>
          <cell r="T20" t="str">
            <v>Western Idaho_Wheel and Hand_Gaskets</v>
          </cell>
          <cell r="U20" t="str">
            <v>Pump</v>
          </cell>
          <cell r="V20">
            <v>18.550506180813368</v>
          </cell>
          <cell r="W20">
            <v>5</v>
          </cell>
          <cell r="X20">
            <v>4.3358379002815628</v>
          </cell>
          <cell r="Y20">
            <v>-0.53456954918811017</v>
          </cell>
          <cell r="Z20" t="str">
            <v>A-Irr-Irr-Irrigation-All-All-E</v>
          </cell>
        </row>
        <row r="21">
          <cell r="A21" t="str">
            <v>Drains</v>
          </cell>
          <cell r="B21" t="str">
            <v>Western Idaho</v>
          </cell>
          <cell r="C21" t="str">
            <v>Wheel and Hand</v>
          </cell>
          <cell r="D21" t="str">
            <v>Western Idaho_Wheel and Hand</v>
          </cell>
          <cell r="E21">
            <v>0.11525323910482924</v>
          </cell>
          <cell r="F21">
            <v>3.4036082313273666E-2</v>
          </cell>
          <cell r="G21">
            <v>66.2</v>
          </cell>
          <cell r="H21">
            <v>58.100000000000009</v>
          </cell>
          <cell r="I21">
            <v>211.02199999999999</v>
          </cell>
          <cell r="J21">
            <v>0.60779639520399842</v>
          </cell>
          <cell r="K21">
            <v>1.010479642935988E-2</v>
          </cell>
          <cell r="L21">
            <v>7.5381781363024706E-3</v>
          </cell>
          <cell r="M21">
            <v>1600</v>
          </cell>
          <cell r="N21">
            <v>12.061085018083952</v>
          </cell>
          <cell r="P21">
            <v>0.31622899891197065</v>
          </cell>
          <cell r="Q21">
            <v>0.13193940951520267</v>
          </cell>
          <cell r="T21" t="str">
            <v>Western Idaho_Wheel and Hand_Drains</v>
          </cell>
          <cell r="U21" t="str">
            <v>Pump</v>
          </cell>
          <cell r="V21">
            <v>12.061085018083952</v>
          </cell>
          <cell r="W21">
            <v>5</v>
          </cell>
          <cell r="X21">
            <v>6.2489998809609935</v>
          </cell>
          <cell r="Y21">
            <v>-0.77044509644259163</v>
          </cell>
          <cell r="Z21" t="str">
            <v>A-Irr-Irr-Irrigation-All-All-E</v>
          </cell>
        </row>
        <row r="22">
          <cell r="A22" t="str">
            <v>Cut and press repair</v>
          </cell>
          <cell r="B22" t="str">
            <v>Western Idaho</v>
          </cell>
          <cell r="C22" t="str">
            <v>Wheel and Hand</v>
          </cell>
          <cell r="D22" t="str">
            <v>Western Idaho_Wheel and Hand</v>
          </cell>
          <cell r="E22">
            <v>0.50961538461538447</v>
          </cell>
          <cell r="F22">
            <v>0.15049738570126708</v>
          </cell>
          <cell r="G22">
            <v>66.2</v>
          </cell>
          <cell r="H22">
            <v>58.100000000000009</v>
          </cell>
          <cell r="I22">
            <v>211.02199999999999</v>
          </cell>
          <cell r="J22">
            <v>0.60779639520399842</v>
          </cell>
          <cell r="K22">
            <v>4.4680390406421362E-2</v>
          </cell>
          <cell r="L22">
            <v>3.3331571243190333E-2</v>
          </cell>
          <cell r="M22">
            <v>1600</v>
          </cell>
          <cell r="N22">
            <v>53.330513989104531</v>
          </cell>
          <cell r="P22">
            <v>1.3982701411149263</v>
          </cell>
          <cell r="Q22">
            <v>0.2348809648058352</v>
          </cell>
          <cell r="T22" t="str">
            <v>Western Idaho_Wheel and Hand_Cut and press repair</v>
          </cell>
          <cell r="U22" t="str">
            <v>Pump</v>
          </cell>
          <cell r="V22">
            <v>53.330513989104531</v>
          </cell>
          <cell r="W22">
            <v>8</v>
          </cell>
          <cell r="X22">
            <v>18.992792972486871</v>
          </cell>
          <cell r="Y22">
            <v>-1.6299614781215486</v>
          </cell>
          <cell r="Z22" t="str">
            <v>A-Irr-Irr-Irrigation-All-All-E</v>
          </cell>
        </row>
        <row r="23">
          <cell r="A23" t="str">
            <v>Hub gasket</v>
          </cell>
          <cell r="B23" t="str">
            <v>Western Idaho</v>
          </cell>
          <cell r="C23" t="str">
            <v>Wheel and Hand</v>
          </cell>
          <cell r="D23" t="str">
            <v>Western Idaho_Wheel and Hand</v>
          </cell>
          <cell r="E23">
            <v>0.29163405797101449</v>
          </cell>
          <cell r="F23">
            <v>8.6124094034590634E-2</v>
          </cell>
          <cell r="G23">
            <v>66.2</v>
          </cell>
          <cell r="H23">
            <v>58.100000000000009</v>
          </cell>
          <cell r="I23">
            <v>211.02199999999999</v>
          </cell>
          <cell r="J23">
            <v>0.60779639520399842</v>
          </cell>
          <cell r="K23">
            <v>2.556893680866416E-2</v>
          </cell>
          <cell r="L23">
            <v>1.9074426859263464E-2</v>
          </cell>
          <cell r="M23">
            <v>1600</v>
          </cell>
          <cell r="N23">
            <v>30.519082974821544</v>
          </cell>
          <cell r="P23">
            <v>0.80017834567692658</v>
          </cell>
          <cell r="Q23">
            <v>0.34054326886721553</v>
          </cell>
          <cell r="T23" t="str">
            <v>Western Idaho_Wheel and Hand_Hub gasket</v>
          </cell>
          <cell r="U23" t="str">
            <v>Pump</v>
          </cell>
          <cell r="V23">
            <v>30.519082974821544</v>
          </cell>
          <cell r="W23">
            <v>10</v>
          </cell>
          <cell r="X23">
            <v>8.8942729614010627</v>
          </cell>
          <cell r="Y23">
            <v>-0.65445617240048781</v>
          </cell>
          <cell r="Z23" t="str">
            <v>A-Irr-Irr-Irrigation-All-All-E</v>
          </cell>
        </row>
        <row r="24">
          <cell r="A24" t="str">
            <v>Levelers</v>
          </cell>
          <cell r="B24" t="str">
            <v>Western Idaho</v>
          </cell>
          <cell r="C24" t="str">
            <v>Wheel and Hand</v>
          </cell>
          <cell r="D24" t="str">
            <v>Western Idaho_Wheel and Hand</v>
          </cell>
          <cell r="E24">
            <v>4.9836779107725791E-2</v>
          </cell>
          <cell r="F24">
            <v>1.4717579558837037E-2</v>
          </cell>
          <cell r="G24">
            <v>66.2</v>
          </cell>
          <cell r="H24">
            <v>58.100000000000009</v>
          </cell>
          <cell r="I24">
            <v>211.02199999999999</v>
          </cell>
          <cell r="J24">
            <v>0.60779639520399842</v>
          </cell>
          <cell r="K24">
            <v>4.3694260698434783E-3</v>
          </cell>
          <cell r="L24">
            <v>3.2595918481032348E-3</v>
          </cell>
          <cell r="M24">
            <v>1600</v>
          </cell>
          <cell r="N24">
            <v>5.2153469569651758</v>
          </cell>
          <cell r="P24">
            <v>0.13674092709792471</v>
          </cell>
          <cell r="Q24">
            <v>4.4406899889284181E-2</v>
          </cell>
          <cell r="T24" t="str">
            <v>Western Idaho_Wheel and Hand_Levelers</v>
          </cell>
          <cell r="U24" t="str">
            <v>Pump</v>
          </cell>
          <cell r="V24">
            <v>5.2153469569651758</v>
          </cell>
          <cell r="W24">
            <v>5</v>
          </cell>
          <cell r="X24">
            <v>8.0284447659430889</v>
          </cell>
          <cell r="Y24">
            <v>-0.98983453669546539</v>
          </cell>
          <cell r="Z24" t="str">
            <v>A-Irr-Irr-Irrigation-All-All-E</v>
          </cell>
        </row>
        <row r="25">
          <cell r="A25" t="str">
            <v>Base boot gasket</v>
          </cell>
          <cell r="B25" t="str">
            <v>Western Idaho</v>
          </cell>
          <cell r="C25" t="str">
            <v>Pivot and Linear</v>
          </cell>
          <cell r="D25" t="str">
            <v>Western Idaho_Pivot and Linear</v>
          </cell>
          <cell r="E25">
            <v>20</v>
          </cell>
          <cell r="F25">
            <v>5.9063124954459552</v>
          </cell>
          <cell r="G25">
            <v>60.399999999999991</v>
          </cell>
          <cell r="H25">
            <v>66.449999999999989</v>
          </cell>
          <cell r="I25">
            <v>205.97399999999996</v>
          </cell>
          <cell r="J25">
            <v>0.60779639520399842</v>
          </cell>
          <cell r="K25">
            <v>1.7115480372725378</v>
          </cell>
          <cell r="L25">
            <v>1.2768148358053133</v>
          </cell>
          <cell r="M25">
            <v>1600</v>
          </cell>
          <cell r="N25">
            <v>2042.9037372885014</v>
          </cell>
          <cell r="P25">
            <v>54.875507424887694</v>
          </cell>
          <cell r="Q25">
            <v>0.18662270035851472</v>
          </cell>
          <cell r="T25" t="str">
            <v>Western Idaho_Pivot and Linear_Base boot gasket</v>
          </cell>
          <cell r="U25" t="str">
            <v>Pump</v>
          </cell>
          <cell r="V25">
            <v>2042.9037372885014</v>
          </cell>
          <cell r="W25">
            <v>8</v>
          </cell>
          <cell r="X25">
            <v>294.04519021248842</v>
          </cell>
          <cell r="Y25">
            <v>0</v>
          </cell>
          <cell r="Z25" t="str">
            <v>A-Irr-Irr-Irrigation-All-All-E</v>
          </cell>
        </row>
        <row r="26">
          <cell r="A26" t="str">
            <v>Tower gasket</v>
          </cell>
          <cell r="B26" t="str">
            <v>Western Idaho</v>
          </cell>
          <cell r="C26" t="str">
            <v>Pivot and Linear</v>
          </cell>
          <cell r="D26" t="str">
            <v>Western Idaho_Pivot and Linear</v>
          </cell>
          <cell r="E26">
            <v>6.1111111111111102E-2</v>
          </cell>
          <cell r="F26">
            <v>1.8047065958307084E-2</v>
          </cell>
          <cell r="G26">
            <v>60.399999999999991</v>
          </cell>
          <cell r="H26">
            <v>66.449999999999989</v>
          </cell>
          <cell r="I26">
            <v>205.97399999999996</v>
          </cell>
          <cell r="J26">
            <v>0.60779639520399842</v>
          </cell>
          <cell r="K26">
            <v>5.2297301138883086E-3</v>
          </cell>
          <cell r="L26">
            <v>3.9013786649606782E-3</v>
          </cell>
          <cell r="M26">
            <v>1600</v>
          </cell>
          <cell r="N26">
            <v>6.2422058639370848</v>
          </cell>
          <cell r="P26">
            <v>0.16767516157604573</v>
          </cell>
          <cell r="Q26">
            <v>8.4703443742391304E-3</v>
          </cell>
          <cell r="T26" t="str">
            <v>Western Idaho_Pivot and Linear_Tower gasket</v>
          </cell>
          <cell r="U26" t="str">
            <v>Pump</v>
          </cell>
          <cell r="V26">
            <v>6.2422058639370848</v>
          </cell>
          <cell r="W26">
            <v>8</v>
          </cell>
          <cell r="X26">
            <v>63.155799696430307</v>
          </cell>
          <cell r="Y26">
            <v>-5.4200306808095036</v>
          </cell>
          <cell r="Z26" t="str">
            <v>A-Irr-Irr-Irrigation-All-All-E</v>
          </cell>
        </row>
        <row r="27">
          <cell r="A27" t="str">
            <v>Nozzle replacement</v>
          </cell>
          <cell r="B27" t="str">
            <v>Western Idaho</v>
          </cell>
          <cell r="C27" t="str">
            <v>Wheel and Hand</v>
          </cell>
          <cell r="D27" t="str">
            <v>Western Idaho_Wheel and Hand</v>
          </cell>
          <cell r="E27">
            <v>0.28380751933097753</v>
          </cell>
          <cell r="F27">
            <v>8.3812794886303596E-2</v>
          </cell>
          <cell r="G27">
            <v>66.2</v>
          </cell>
          <cell r="H27">
            <v>58.100000000000009</v>
          </cell>
          <cell r="I27">
            <v>211.02199999999999</v>
          </cell>
          <cell r="J27">
            <v>0.60779639520399842</v>
          </cell>
          <cell r="K27">
            <v>2.4882747159519811E-2</v>
          </cell>
          <cell r="L27">
            <v>1.856252938100178E-2</v>
          </cell>
          <cell r="M27">
            <v>1600</v>
          </cell>
          <cell r="N27">
            <v>29.700047009602848</v>
          </cell>
          <cell r="P27">
            <v>0.77870408171430072</v>
          </cell>
          <cell r="Q27">
            <v>0.62102295560681642</v>
          </cell>
          <cell r="T27" t="str">
            <v>Western Idaho_Wheel and Hand_Nozzle replacement</v>
          </cell>
          <cell r="U27" t="str">
            <v>Pump</v>
          </cell>
          <cell r="V27">
            <v>29.700047009602848</v>
          </cell>
          <cell r="W27">
            <v>4</v>
          </cell>
          <cell r="X27">
            <v>3.0892842253986195</v>
          </cell>
          <cell r="Y27">
            <v>-0.45884468857456584</v>
          </cell>
          <cell r="Z27" t="str">
            <v>A-Irr-Irr-Irrigation-All-All-E</v>
          </cell>
        </row>
        <row r="28">
          <cell r="A28" t="str">
            <v>Sprinkler package replacement, high pressure</v>
          </cell>
          <cell r="B28" t="str">
            <v>Western Idaho</v>
          </cell>
          <cell r="C28" t="str">
            <v>Pivot and Linear</v>
          </cell>
          <cell r="D28" t="str">
            <v>Western Idaho_Pivot and Linear</v>
          </cell>
          <cell r="E28">
            <v>0.49849129645816836</v>
          </cell>
          <cell r="F28">
            <v>0.14721226865709669</v>
          </cell>
          <cell r="G28">
            <v>60.399999999999991</v>
          </cell>
          <cell r="H28">
            <v>66.449999999999989</v>
          </cell>
          <cell r="I28">
            <v>205.97399999999996</v>
          </cell>
          <cell r="J28">
            <v>0.60779639520399842</v>
          </cell>
          <cell r="K28">
            <v>4.2659590002521036E-2</v>
          </cell>
          <cell r="L28">
            <v>3.1824054141880692E-2</v>
          </cell>
          <cell r="M28">
            <v>1600</v>
          </cell>
          <cell r="N28">
            <v>50.918486627009109</v>
          </cell>
          <cell r="P28">
            <v>1.3677481420016055</v>
          </cell>
          <cell r="Q28">
            <v>0.21509947602890325</v>
          </cell>
          <cell r="T28" t="str">
            <v>Western Idaho_Pivot and Linear_Sprinkler package replacement, high pressure</v>
          </cell>
          <cell r="U28" t="str">
            <v>Pump</v>
          </cell>
          <cell r="V28">
            <v>50.918486627009109</v>
          </cell>
          <cell r="W28">
            <v>4</v>
          </cell>
          <cell r="X28">
            <v>15.666062344127223</v>
          </cell>
          <cell r="Y28">
            <v>-2.3268462766818621</v>
          </cell>
          <cell r="Z28" t="str">
            <v>A-Irr-Irr-Irrigation-All-All-E</v>
          </cell>
        </row>
        <row r="29">
          <cell r="A29" t="str">
            <v>Sprinkler package replacement, MESA</v>
          </cell>
          <cell r="B29" t="str">
            <v>Western Idaho</v>
          </cell>
          <cell r="C29" t="str">
            <v>Pivot and Linear</v>
          </cell>
          <cell r="D29" t="str">
            <v>Western Idaho_Pivot and Linear</v>
          </cell>
          <cell r="E29">
            <v>0.24924564822908418</v>
          </cell>
          <cell r="F29">
            <v>7.3606134328548345E-2</v>
          </cell>
          <cell r="G29">
            <v>60.399999999999991</v>
          </cell>
          <cell r="H29">
            <v>66.449999999999989</v>
          </cell>
          <cell r="I29">
            <v>205.97399999999996</v>
          </cell>
          <cell r="J29">
            <v>0.60779639520399842</v>
          </cell>
          <cell r="K29">
            <v>2.1329795001260518E-2</v>
          </cell>
          <cell r="L29">
            <v>1.5912027070940346E-2</v>
          </cell>
          <cell r="M29">
            <v>1600</v>
          </cell>
          <cell r="N29">
            <v>25.459243313504555</v>
          </cell>
          <cell r="P29">
            <v>0.68387407100080277</v>
          </cell>
          <cell r="Q29">
            <v>6.946760887007461E-2</v>
          </cell>
          <cell r="T29" t="str">
            <v>Western Idaho_Pivot and Linear_Sprinkler package replacement, MESA</v>
          </cell>
          <cell r="U29" t="str">
            <v>Pump</v>
          </cell>
          <cell r="V29">
            <v>25.459243313504555</v>
          </cell>
          <cell r="W29">
            <v>5</v>
          </cell>
          <cell r="X29">
            <v>25.667120336697433</v>
          </cell>
          <cell r="Y29">
            <v>-3.1645235045466786</v>
          </cell>
          <cell r="Z29" t="str">
            <v>A-Irr-Irr-Irrigation-All-All-E</v>
          </cell>
        </row>
        <row r="30">
          <cell r="A30" t="str">
            <v>Sprinkler package replacement, LESA/LEPA/MDI</v>
          </cell>
          <cell r="B30" t="str">
            <v>Western Idaho</v>
          </cell>
          <cell r="C30" t="str">
            <v>Pivot and Linear</v>
          </cell>
          <cell r="D30" t="str">
            <v>Western Idaho_Pivot and Linear</v>
          </cell>
          <cell r="E30">
            <v>0.12462282411454209</v>
          </cell>
          <cell r="F30">
            <v>3.6803067164274172E-2</v>
          </cell>
          <cell r="G30">
            <v>60.399999999999991</v>
          </cell>
          <cell r="H30">
            <v>66.449999999999989</v>
          </cell>
          <cell r="I30">
            <v>205.97399999999996</v>
          </cell>
          <cell r="J30">
            <v>0.60779639520399842</v>
          </cell>
          <cell r="K30">
            <v>1.0664897500630259E-2</v>
          </cell>
          <cell r="L30">
            <v>7.956013535470173E-3</v>
          </cell>
          <cell r="M30">
            <v>1600</v>
          </cell>
          <cell r="N30">
            <v>12.729621656752277</v>
          </cell>
          <cell r="P30">
            <v>0.34193703550040139</v>
          </cell>
          <cell r="Q30">
            <v>5.0477166754555422E-2</v>
          </cell>
          <cell r="T30" t="str">
            <v>Western Idaho_Pivot and Linear_Sprinkler package replacement, LESA/LEPA/MDI</v>
          </cell>
          <cell r="U30" t="str">
            <v>Pump</v>
          </cell>
          <cell r="V30">
            <v>12.729621656752277</v>
          </cell>
          <cell r="W30">
            <v>5</v>
          </cell>
          <cell r="X30">
            <v>17.661782455429918</v>
          </cell>
          <cell r="Y30">
            <v>-2.177537837483392</v>
          </cell>
          <cell r="Z30" t="str">
            <v>A-Irr-Irr-Irrigation-All-All-E</v>
          </cell>
        </row>
        <row r="31">
          <cell r="A31" t="str">
            <v>Upgrade from high pressure to MESA</v>
          </cell>
          <cell r="B31" t="str">
            <v>Western Idaho</v>
          </cell>
          <cell r="C31" t="str">
            <v>Pivot and Linear</v>
          </cell>
          <cell r="D31" t="str">
            <v>Western Idaho_Pivot and Linear</v>
          </cell>
          <cell r="E31">
            <v>0.43750000000000039</v>
          </cell>
          <cell r="F31">
            <v>0.12920058583788038</v>
          </cell>
          <cell r="G31">
            <v>60.399999999999991</v>
          </cell>
          <cell r="H31">
            <v>66.449999999999989</v>
          </cell>
          <cell r="I31">
            <v>205.97399999999996</v>
          </cell>
          <cell r="J31">
            <v>0.60779639520399842</v>
          </cell>
          <cell r="K31">
            <v>3.7440113315336795E-2</v>
          </cell>
          <cell r="L31">
            <v>2.7930324533241249E-2</v>
          </cell>
          <cell r="M31">
            <v>1600</v>
          </cell>
          <cell r="N31">
            <v>44.688519253186001</v>
          </cell>
          <cell r="P31">
            <v>1.2004017249194194</v>
          </cell>
          <cell r="Q31">
            <v>4.3030169953741627E-2</v>
          </cell>
          <cell r="T31" t="str">
            <v>Western Idaho_Pivot and Linear_Upgrade from high pressure to MESA</v>
          </cell>
          <cell r="U31" t="str">
            <v>Pump</v>
          </cell>
          <cell r="V31">
            <v>44.688519253186001</v>
          </cell>
          <cell r="W31">
            <v>10</v>
          </cell>
          <cell r="X31">
            <v>27.896746078620595</v>
          </cell>
          <cell r="Y31">
            <v>0</v>
          </cell>
          <cell r="Z31" t="str">
            <v>A-Irr-Irr-Irrigation-All-All-E</v>
          </cell>
        </row>
        <row r="32">
          <cell r="A32" t="str">
            <v>Upgrade from high pressure to LESA/LEPA/MDI</v>
          </cell>
          <cell r="B32" t="str">
            <v>Western Idaho</v>
          </cell>
          <cell r="C32" t="str">
            <v>Pivot and Linear</v>
          </cell>
          <cell r="D32" t="str">
            <v>Western Idaho_Pivot and Linear</v>
          </cell>
          <cell r="E32">
            <v>0.48711340206185572</v>
          </cell>
          <cell r="F32">
            <v>0.14385219866485641</v>
          </cell>
          <cell r="G32">
            <v>60.399999999999991</v>
          </cell>
          <cell r="H32">
            <v>66.449999999999989</v>
          </cell>
          <cell r="I32">
            <v>205.97399999999996</v>
          </cell>
          <cell r="J32">
            <v>0.60779639520399842</v>
          </cell>
          <cell r="K32">
            <v>4.1685899361405883E-2</v>
          </cell>
          <cell r="L32">
            <v>3.1097680923608789E-2</v>
          </cell>
          <cell r="M32">
            <v>1600</v>
          </cell>
          <cell r="N32">
            <v>49.756289477774061</v>
          </cell>
          <cell r="P32">
            <v>1.3365297555803834</v>
          </cell>
          <cell r="Q32">
            <v>4.3226256659488101E-2</v>
          </cell>
          <cell r="T32" t="str">
            <v>Western Idaho_Pivot and Linear_Upgrade from high pressure to LESA/LEPA/MDI</v>
          </cell>
          <cell r="U32" t="str">
            <v>Pump</v>
          </cell>
          <cell r="V32">
            <v>49.756289477774061</v>
          </cell>
          <cell r="W32">
            <v>10</v>
          </cell>
          <cell r="X32">
            <v>30.919396192661459</v>
          </cell>
          <cell r="Y32">
            <v>0</v>
          </cell>
          <cell r="Z32" t="str">
            <v>A-Irr-Irr-Irrigation-All-All-E</v>
          </cell>
        </row>
        <row r="33">
          <cell r="A33" t="str">
            <v>Upgrade from MESA to LESA/LEPA/MDI</v>
          </cell>
          <cell r="B33" t="str">
            <v>Western Idaho</v>
          </cell>
          <cell r="C33" t="str">
            <v>Pivot and Linear</v>
          </cell>
          <cell r="D33" t="str">
            <v>Western Idaho_Pivot and Linear</v>
          </cell>
          <cell r="E33">
            <v>0.30670103092783496</v>
          </cell>
          <cell r="F33">
            <v>9.0573606566761403E-2</v>
          </cell>
          <cell r="G33">
            <v>60.399999999999991</v>
          </cell>
          <cell r="H33">
            <v>66.449999999999989</v>
          </cell>
          <cell r="I33">
            <v>205.97399999999996</v>
          </cell>
          <cell r="J33">
            <v>0.60779639520399842</v>
          </cell>
          <cell r="K33">
            <v>2.6246677375699988E-2</v>
          </cell>
          <cell r="L33">
            <v>1.9580021322272191E-2</v>
          </cell>
          <cell r="M33">
            <v>1600</v>
          </cell>
          <cell r="N33">
            <v>31.328034115635507</v>
          </cell>
          <cell r="P33">
            <v>0.84151873499505592</v>
          </cell>
          <cell r="Q33">
            <v>2.7216531970788795E-2</v>
          </cell>
          <cell r="T33" t="str">
            <v>Western Idaho_Pivot and Linear_Upgrade from MESA to LESA/LEPA/MDI</v>
          </cell>
          <cell r="U33" t="str">
            <v>Pump</v>
          </cell>
          <cell r="V33">
            <v>31.328034115635507</v>
          </cell>
          <cell r="W33">
            <v>10</v>
          </cell>
          <cell r="X33">
            <v>30.919396192661459</v>
          </cell>
          <cell r="Y33">
            <v>0</v>
          </cell>
          <cell r="Z33" t="str">
            <v>A-Irr-Irr-Irrigation-All-All-E</v>
          </cell>
        </row>
        <row r="34">
          <cell r="A34" t="str">
            <v>Rebuilt or new impact sprinkler</v>
          </cell>
          <cell r="B34" t="str">
            <v>Western Washington and Oregon</v>
          </cell>
          <cell r="C34" t="str">
            <v>Wheel and Hand</v>
          </cell>
          <cell r="D34" t="str">
            <v>Western Washington and Oregon_Wheel and Hand</v>
          </cell>
          <cell r="E34">
            <v>3.6180631120783457E-2</v>
          </cell>
          <cell r="F34">
            <v>1.0718095389352986E-2</v>
          </cell>
          <cell r="G34">
            <v>64.035009300867074</v>
          </cell>
          <cell r="H34">
            <v>40.316561544793466</v>
          </cell>
          <cell r="I34">
            <v>188.23743302979642</v>
          </cell>
          <cell r="J34">
            <v>0.60779639520399842</v>
          </cell>
          <cell r="K34">
            <v>2.8296246108848433E-3</v>
          </cell>
          <cell r="L34">
            <v>2.1108999597200932E-3</v>
          </cell>
          <cell r="M34">
            <v>1605</v>
          </cell>
          <cell r="N34">
            <v>3.3879944353507496</v>
          </cell>
          <cell r="P34">
            <v>0.21703491557378549</v>
          </cell>
          <cell r="Q34">
            <v>3.4132085569189327E-2</v>
          </cell>
          <cell r="T34" t="str">
            <v>Western Washington and Oregon_Wheel and Hand_Rebuilt or new impact sprinkler</v>
          </cell>
          <cell r="U34" t="str">
            <v>Pump</v>
          </cell>
          <cell r="V34">
            <v>3.3879944353507496</v>
          </cell>
          <cell r="W34">
            <v>4</v>
          </cell>
          <cell r="X34">
            <v>15.666062344127223</v>
          </cell>
          <cell r="Y34">
            <v>-2.3268462766818621</v>
          </cell>
          <cell r="Z34" t="str">
            <v>A-Irr-Irr-Irrigation-All-All-E</v>
          </cell>
        </row>
        <row r="35">
          <cell r="A35" t="str">
            <v>Gaskets</v>
          </cell>
          <cell r="B35" t="str">
            <v>Western Washington and Oregon</v>
          </cell>
          <cell r="C35" t="str">
            <v>Wheel and Hand</v>
          </cell>
          <cell r="D35" t="str">
            <v>Western Washington and Oregon_Wheel and Hand</v>
          </cell>
          <cell r="E35">
            <v>0.17726480836236932</v>
          </cell>
          <cell r="F35">
            <v>5.2512658468023714E-2</v>
          </cell>
          <cell r="G35">
            <v>64.035009300867074</v>
          </cell>
          <cell r="H35">
            <v>40.316561544793466</v>
          </cell>
          <cell r="I35">
            <v>188.23743302979642</v>
          </cell>
          <cell r="J35">
            <v>0.60779639520399842</v>
          </cell>
          <cell r="K35">
            <v>1.3863574206637115E-2</v>
          </cell>
          <cell r="L35">
            <v>1.0342226358151288E-2</v>
          </cell>
          <cell r="M35">
            <v>1605</v>
          </cell>
          <cell r="N35">
            <v>16.599273304832817</v>
          </cell>
          <cell r="P35">
            <v>1.0633494089336109</v>
          </cell>
          <cell r="Q35">
            <v>0.63942014699117766</v>
          </cell>
          <cell r="T35" t="str">
            <v>Western Washington and Oregon_Wheel and Hand_Gaskets</v>
          </cell>
          <cell r="U35" t="str">
            <v>Pump</v>
          </cell>
          <cell r="V35">
            <v>16.599273304832817</v>
          </cell>
          <cell r="W35">
            <v>5</v>
          </cell>
          <cell r="X35">
            <v>4.3358379002815628</v>
          </cell>
          <cell r="Y35">
            <v>-0.53456954918811017</v>
          </cell>
          <cell r="Z35" t="str">
            <v>A-Irr-Irr-Irrigation-All-All-E</v>
          </cell>
        </row>
        <row r="36">
          <cell r="A36" t="str">
            <v>Drains</v>
          </cell>
          <cell r="B36" t="str">
            <v>Western Washington and Oregon</v>
          </cell>
          <cell r="C36" t="str">
            <v>Wheel and Hand</v>
          </cell>
          <cell r="D36" t="str">
            <v>Western Washington and Oregon_Wheel and Hand</v>
          </cell>
          <cell r="E36">
            <v>0.11525323910482924</v>
          </cell>
          <cell r="F36">
            <v>3.4142445070502646E-2</v>
          </cell>
          <cell r="G36">
            <v>64.035009300867074</v>
          </cell>
          <cell r="H36">
            <v>40.316561544793466</v>
          </cell>
          <cell r="I36">
            <v>188.23743302979642</v>
          </cell>
          <cell r="J36">
            <v>0.60779639520399842</v>
          </cell>
          <cell r="K36">
            <v>9.0137565805999218E-3</v>
          </cell>
          <cell r="L36">
            <v>6.7242624091275417E-3</v>
          </cell>
          <cell r="M36">
            <v>1605</v>
          </cell>
          <cell r="N36">
            <v>10.792441166649704</v>
          </cell>
          <cell r="P36">
            <v>0.69136375579565279</v>
          </cell>
          <cell r="Q36">
            <v>0.28845591648374974</v>
          </cell>
          <cell r="T36" t="str">
            <v>Western Washington and Oregon_Wheel and Hand_Drains</v>
          </cell>
          <cell r="U36" t="str">
            <v>Pump</v>
          </cell>
          <cell r="V36">
            <v>10.792441166649704</v>
          </cell>
          <cell r="W36">
            <v>5</v>
          </cell>
          <cell r="X36">
            <v>6.2489998809609935</v>
          </cell>
          <cell r="Y36">
            <v>-0.77044509644259163</v>
          </cell>
          <cell r="Z36" t="str">
            <v>A-Irr-Irr-Irrigation-All-All-E</v>
          </cell>
        </row>
        <row r="37">
          <cell r="A37" t="str">
            <v>Cut and press repair</v>
          </cell>
          <cell r="B37" t="str">
            <v>Western Washington and Oregon</v>
          </cell>
          <cell r="C37" t="str">
            <v>Wheel and Hand</v>
          </cell>
          <cell r="D37" t="str">
            <v>Western Washington and Oregon_Wheel and Hand</v>
          </cell>
          <cell r="E37">
            <v>0.50961538461538447</v>
          </cell>
          <cell r="F37">
            <v>0.15096769003158353</v>
          </cell>
          <cell r="G37">
            <v>64.035009300867074</v>
          </cell>
          <cell r="H37">
            <v>40.316561544793466</v>
          </cell>
          <cell r="I37">
            <v>188.23743302979642</v>
          </cell>
          <cell r="J37">
            <v>0.60779639520399842</v>
          </cell>
          <cell r="K37">
            <v>3.9856138207740893E-2</v>
          </cell>
          <cell r="L37">
            <v>2.9732679102974707E-2</v>
          </cell>
          <cell r="M37">
            <v>1605</v>
          </cell>
          <cell r="N37">
            <v>47.720949960274403</v>
          </cell>
          <cell r="P37">
            <v>3.0570039424095921</v>
          </cell>
          <cell r="Q37">
            <v>0.51351453077291342</v>
          </cell>
          <cell r="T37" t="str">
            <v>Western Washington and Oregon_Wheel and Hand_Cut and press repair</v>
          </cell>
          <cell r="U37" t="str">
            <v>Pump</v>
          </cell>
          <cell r="V37">
            <v>47.720949960274403</v>
          </cell>
          <cell r="W37">
            <v>8</v>
          </cell>
          <cell r="X37">
            <v>18.992792972486871</v>
          </cell>
          <cell r="Y37">
            <v>-1.6299614781215486</v>
          </cell>
          <cell r="Z37" t="str">
            <v>A-Irr-Irr-Irrigation-All-All-E</v>
          </cell>
        </row>
        <row r="38">
          <cell r="A38" t="str">
            <v>Hub gasket</v>
          </cell>
          <cell r="B38" t="str">
            <v>Western Washington and Oregon</v>
          </cell>
          <cell r="C38" t="str">
            <v>Wheel and Hand</v>
          </cell>
          <cell r="D38" t="str">
            <v>Western Washington and Oregon_Wheel and Hand</v>
          </cell>
          <cell r="E38">
            <v>0.29163405797101449</v>
          </cell>
          <cell r="F38">
            <v>8.6393231828448741E-2</v>
          </cell>
          <cell r="G38">
            <v>64.035009300867074</v>
          </cell>
          <cell r="H38">
            <v>40.316561544793466</v>
          </cell>
          <cell r="I38">
            <v>188.23743302979642</v>
          </cell>
          <cell r="J38">
            <v>0.60779639520399842</v>
          </cell>
          <cell r="K38">
            <v>2.2808195496981435E-2</v>
          </cell>
          <cell r="L38">
            <v>1.7014913840748151E-2</v>
          </cell>
          <cell r="M38">
            <v>1605</v>
          </cell>
          <cell r="N38">
            <v>27.308936714400783</v>
          </cell>
          <cell r="P38">
            <v>1.7494104218049642</v>
          </cell>
          <cell r="Q38">
            <v>0.74452145181190887</v>
          </cell>
          <cell r="T38" t="str">
            <v>Western Washington and Oregon_Wheel and Hand_Hub gasket</v>
          </cell>
          <cell r="U38" t="str">
            <v>Pump</v>
          </cell>
          <cell r="V38">
            <v>27.308936714400783</v>
          </cell>
          <cell r="W38">
            <v>10</v>
          </cell>
          <cell r="X38">
            <v>8.8942729614010627</v>
          </cell>
          <cell r="Y38">
            <v>-0.65445617240048781</v>
          </cell>
          <cell r="Z38" t="str">
            <v>A-Irr-Irr-Irrigation-All-All-E</v>
          </cell>
        </row>
        <row r="39">
          <cell r="A39" t="str">
            <v>Levelers</v>
          </cell>
          <cell r="B39" t="str">
            <v>Western Washington and Oregon</v>
          </cell>
          <cell r="C39" t="str">
            <v>Wheel and Hand</v>
          </cell>
          <cell r="D39" t="str">
            <v>Western Washington and Oregon_Wheel and Hand</v>
          </cell>
          <cell r="E39">
            <v>4.9836779107725791E-2</v>
          </cell>
          <cell r="F39">
            <v>1.4763571994958403E-2</v>
          </cell>
          <cell r="G39">
            <v>64.035009300867074</v>
          </cell>
          <cell r="H39">
            <v>40.316561544793466</v>
          </cell>
          <cell r="I39">
            <v>188.23743302979642</v>
          </cell>
          <cell r="J39">
            <v>0.60779639520399842</v>
          </cell>
          <cell r="K39">
            <v>3.8976483361962658E-3</v>
          </cell>
          <cell r="L39">
            <v>2.9076456588024145E-3</v>
          </cell>
          <cell r="M39">
            <v>1605</v>
          </cell>
          <cell r="N39">
            <v>4.6667712823778755</v>
          </cell>
          <cell r="P39">
            <v>0.29895335739186102</v>
          </cell>
          <cell r="Q39">
            <v>9.7085723309149982E-2</v>
          </cell>
          <cell r="T39" t="str">
            <v>Western Washington and Oregon_Wheel and Hand_Levelers</v>
          </cell>
          <cell r="U39" t="str">
            <v>Pump</v>
          </cell>
          <cell r="V39">
            <v>4.6667712823778755</v>
          </cell>
          <cell r="W39">
            <v>5</v>
          </cell>
          <cell r="X39">
            <v>8.0284447659430889</v>
          </cell>
          <cell r="Y39">
            <v>-0.98983453669546539</v>
          </cell>
          <cell r="Z39" t="str">
            <v>A-Irr-Irr-Irrigation-All-All-E</v>
          </cell>
        </row>
        <row r="40">
          <cell r="A40" t="str">
            <v>Base boot gasket</v>
          </cell>
          <cell r="B40" t="str">
            <v>Western Washington and Oregon</v>
          </cell>
          <cell r="C40" t="str">
            <v>Pivot and Linear</v>
          </cell>
          <cell r="D40" t="str">
            <v>Western Washington and Oregon_Pivot and Linear</v>
          </cell>
          <cell r="E40">
            <v>20</v>
          </cell>
          <cell r="F40">
            <v>5.9247697219942239</v>
          </cell>
          <cell r="G40">
            <v>64.035009300867074</v>
          </cell>
          <cell r="H40">
            <v>40.316561544793466</v>
          </cell>
          <cell r="I40">
            <v>188.23743302979642</v>
          </cell>
          <cell r="J40">
            <v>0.60779639520399842</v>
          </cell>
          <cell r="K40">
            <v>1.5641654240019074</v>
          </cell>
          <cell r="L40">
            <v>1.166867406305423</v>
          </cell>
          <cell r="M40">
            <v>1605</v>
          </cell>
          <cell r="N40">
            <v>1872.8221871202038</v>
          </cell>
          <cell r="P40">
            <v>119.9729849096595</v>
          </cell>
          <cell r="Q40">
            <v>0.408008662964228</v>
          </cell>
          <cell r="T40" t="str">
            <v>Western Washington and Oregon_Pivot and Linear_Base boot gasket</v>
          </cell>
          <cell r="U40" t="str">
            <v>Pump</v>
          </cell>
          <cell r="V40">
            <v>1872.8221871202038</v>
          </cell>
          <cell r="W40">
            <v>8</v>
          </cell>
          <cell r="X40">
            <v>294.04519021248842</v>
          </cell>
          <cell r="Y40">
            <v>0</v>
          </cell>
          <cell r="Z40" t="str">
            <v>A-Irr-Irr-Irrigation-All-All-E</v>
          </cell>
        </row>
        <row r="41">
          <cell r="A41" t="str">
            <v>Tower gasket</v>
          </cell>
          <cell r="B41" t="str">
            <v>Western Washington and Oregon</v>
          </cell>
          <cell r="C41" t="str">
            <v>Pivot and Linear</v>
          </cell>
          <cell r="D41" t="str">
            <v>Western Washington and Oregon_Pivot and Linear</v>
          </cell>
          <cell r="E41">
            <v>6.1111111111111102E-2</v>
          </cell>
          <cell r="F41">
            <v>1.8103463039426792E-2</v>
          </cell>
          <cell r="G41">
            <v>64.035009300867074</v>
          </cell>
          <cell r="H41">
            <v>40.316561544793466</v>
          </cell>
          <cell r="I41">
            <v>188.23743302979642</v>
          </cell>
          <cell r="J41">
            <v>0.60779639520399842</v>
          </cell>
          <cell r="K41">
            <v>4.7793943511169378E-3</v>
          </cell>
          <cell r="L41">
            <v>3.5654281859332356E-3</v>
          </cell>
          <cell r="M41">
            <v>1605</v>
          </cell>
          <cell r="N41">
            <v>5.7225122384228433</v>
          </cell>
          <cell r="P41">
            <v>0.36658412055729289</v>
          </cell>
          <cell r="Q41">
            <v>1.8518507536010999E-2</v>
          </cell>
          <cell r="T41" t="str">
            <v>Western Washington and Oregon_Pivot and Linear_Tower gasket</v>
          </cell>
          <cell r="U41" t="str">
            <v>Pump</v>
          </cell>
          <cell r="V41">
            <v>5.7225122384228433</v>
          </cell>
          <cell r="W41">
            <v>8</v>
          </cell>
          <cell r="X41">
            <v>63.155799696430307</v>
          </cell>
          <cell r="Y41">
            <v>-5.4200306808095036</v>
          </cell>
          <cell r="Z41" t="str">
            <v>A-Irr-Irr-Irrigation-All-All-E</v>
          </cell>
        </row>
        <row r="42">
          <cell r="A42" t="str">
            <v>Nozzle replacement</v>
          </cell>
          <cell r="B42" t="str">
            <v>Western Washington and Oregon</v>
          </cell>
          <cell r="C42" t="str">
            <v>Wheel and Hand</v>
          </cell>
          <cell r="D42" t="str">
            <v>Western Washington and Oregon_Wheel and Hand</v>
          </cell>
          <cell r="E42">
            <v>0.28380751933097753</v>
          </cell>
          <cell r="F42">
            <v>8.4074709870323297E-2</v>
          </cell>
          <cell r="G42">
            <v>64.035009300867074</v>
          </cell>
          <cell r="H42">
            <v>40.316561544793466</v>
          </cell>
          <cell r="I42">
            <v>188.23743302979642</v>
          </cell>
          <cell r="J42">
            <v>0.60779639520399842</v>
          </cell>
          <cell r="K42">
            <v>2.2196095440463401E-2</v>
          </cell>
          <cell r="L42">
            <v>1.6558287198585698E-2</v>
          </cell>
          <cell r="M42">
            <v>1605</v>
          </cell>
          <cell r="N42">
            <v>26.576050953730046</v>
          </cell>
          <cell r="P42">
            <v>1.7024617616971631</v>
          </cell>
          <cell r="Q42">
            <v>1.3577273573925628</v>
          </cell>
          <cell r="T42" t="str">
            <v>Western Washington and Oregon_Wheel and Hand_Nozzle replacement</v>
          </cell>
          <cell r="U42" t="str">
            <v>Pump</v>
          </cell>
          <cell r="V42">
            <v>26.576050953730046</v>
          </cell>
          <cell r="W42">
            <v>4</v>
          </cell>
          <cell r="X42">
            <v>3.0892842253986195</v>
          </cell>
          <cell r="Y42">
            <v>-0.45884468857456584</v>
          </cell>
          <cell r="Z42" t="str">
            <v>A-Irr-Irr-Irrigation-All-All-E</v>
          </cell>
        </row>
        <row r="43">
          <cell r="A43" t="str">
            <v>Sprinkler package replacement, high pressure</v>
          </cell>
          <cell r="B43" t="str">
            <v>Western Washington and Oregon</v>
          </cell>
          <cell r="C43" t="str">
            <v>Pivot and Linear</v>
          </cell>
          <cell r="D43" t="str">
            <v>Western Washington and Oregon_Pivot and Linear</v>
          </cell>
          <cell r="E43">
            <v>0.49849129645816836</v>
          </cell>
          <cell r="F43">
            <v>0.1476723069966501</v>
          </cell>
          <cell r="G43">
            <v>64.035009300867074</v>
          </cell>
          <cell r="H43">
            <v>40.316561544793466</v>
          </cell>
          <cell r="I43">
            <v>188.23743302979642</v>
          </cell>
          <cell r="J43">
            <v>0.60779639520399842</v>
          </cell>
          <cell r="K43">
            <v>3.8986142504287571E-2</v>
          </cell>
          <cell r="L43">
            <v>2.9083662308198529E-2</v>
          </cell>
          <cell r="M43">
            <v>1605</v>
          </cell>
          <cell r="N43">
            <v>46.679278004658642</v>
          </cell>
          <cell r="P43">
            <v>2.9902744393786214</v>
          </cell>
          <cell r="Q43">
            <v>0.47026674381123656</v>
          </cell>
          <cell r="T43" t="str">
            <v>Western Washington and Oregon_Pivot and Linear_Sprinkler package replacement, high pressure</v>
          </cell>
          <cell r="U43" t="str">
            <v>Pump</v>
          </cell>
          <cell r="V43">
            <v>46.679278004658642</v>
          </cell>
          <cell r="W43">
            <v>4</v>
          </cell>
          <cell r="X43">
            <v>15.666062344127223</v>
          </cell>
          <cell r="Y43">
            <v>-2.3268462766818621</v>
          </cell>
          <cell r="Z43" t="str">
            <v>A-Irr-Irr-Irrigation-All-All-E</v>
          </cell>
        </row>
        <row r="44">
          <cell r="A44" t="str">
            <v>Sprinkler package replacement, MESA</v>
          </cell>
          <cell r="B44" t="str">
            <v>Western Washington and Oregon</v>
          </cell>
          <cell r="C44" t="str">
            <v>Pivot and Linear</v>
          </cell>
          <cell r="D44" t="str">
            <v>Western Washington and Oregon_Pivot and Linear</v>
          </cell>
          <cell r="E44">
            <v>0.24924564822908418</v>
          </cell>
          <cell r="F44">
            <v>7.3836153498325049E-2</v>
          </cell>
          <cell r="G44">
            <v>64.035009300867074</v>
          </cell>
          <cell r="H44">
            <v>40.316561544793466</v>
          </cell>
          <cell r="I44">
            <v>188.23743302979642</v>
          </cell>
          <cell r="J44">
            <v>0.60779639520399842</v>
          </cell>
          <cell r="K44">
            <v>1.9493071252143786E-2</v>
          </cell>
          <cell r="L44">
            <v>1.4541831154099264E-2</v>
          </cell>
          <cell r="M44">
            <v>1605</v>
          </cell>
          <cell r="N44">
            <v>23.339639002329321</v>
          </cell>
          <cell r="P44">
            <v>1.4951372196893107</v>
          </cell>
          <cell r="Q44">
            <v>0.15187534078089931</v>
          </cell>
          <cell r="T44" t="str">
            <v>Western Washington and Oregon_Pivot and Linear_Sprinkler package replacement, MESA</v>
          </cell>
          <cell r="U44" t="str">
            <v>Pump</v>
          </cell>
          <cell r="V44">
            <v>23.339639002329321</v>
          </cell>
          <cell r="W44">
            <v>5</v>
          </cell>
          <cell r="X44">
            <v>25.667120336697433</v>
          </cell>
          <cell r="Y44">
            <v>-3.1645235045466786</v>
          </cell>
          <cell r="Z44" t="str">
            <v>A-Irr-Irr-Irrigation-All-All-E</v>
          </cell>
        </row>
        <row r="45">
          <cell r="A45" t="str">
            <v>Sprinkler package replacement, LESA/LEPA/MDI</v>
          </cell>
          <cell r="B45" t="str">
            <v>Western Washington and Oregon</v>
          </cell>
          <cell r="C45" t="str">
            <v>Pivot and Linear</v>
          </cell>
          <cell r="D45" t="str">
            <v>Western Washington and Oregon_Pivot and Linear</v>
          </cell>
          <cell r="E45">
            <v>0.12462282411454209</v>
          </cell>
          <cell r="F45">
            <v>3.6918076749162525E-2</v>
          </cell>
          <cell r="G45">
            <v>64.035009300867074</v>
          </cell>
          <cell r="H45">
            <v>40.316561544793466</v>
          </cell>
          <cell r="I45">
            <v>188.23743302979642</v>
          </cell>
          <cell r="J45">
            <v>0.60779639520399842</v>
          </cell>
          <cell r="K45">
            <v>9.7465356260718929E-3</v>
          </cell>
          <cell r="L45">
            <v>7.2709155770496322E-3</v>
          </cell>
          <cell r="M45">
            <v>1605</v>
          </cell>
          <cell r="N45">
            <v>11.66981950116466</v>
          </cell>
          <cell r="P45">
            <v>0.74756860984465534</v>
          </cell>
          <cell r="Q45">
            <v>0.11035699986220286</v>
          </cell>
          <cell r="T45" t="str">
            <v>Western Washington and Oregon_Pivot and Linear_Sprinkler package replacement, LESA/LEPA/MDI</v>
          </cell>
          <cell r="U45" t="str">
            <v>Pump</v>
          </cell>
          <cell r="V45">
            <v>11.66981950116466</v>
          </cell>
          <cell r="W45">
            <v>5</v>
          </cell>
          <cell r="X45">
            <v>17.661782455429918</v>
          </cell>
          <cell r="Y45">
            <v>-2.177537837483392</v>
          </cell>
          <cell r="Z45" t="str">
            <v>A-Irr-Irr-Irrigation-All-All-E</v>
          </cell>
        </row>
        <row r="46">
          <cell r="A46" t="str">
            <v>Upgrade from high pressure to MESA</v>
          </cell>
          <cell r="B46" t="str">
            <v>Western Washington and Oregon</v>
          </cell>
          <cell r="C46" t="str">
            <v>Pivot and Linear</v>
          </cell>
          <cell r="D46" t="str">
            <v>Western Washington and Oregon_Pivot and Linear</v>
          </cell>
          <cell r="E46">
            <v>0.43750000000000039</v>
          </cell>
          <cell r="F46">
            <v>0.12960433766862375</v>
          </cell>
          <cell r="G46">
            <v>64.035009300867074</v>
          </cell>
          <cell r="H46">
            <v>40.316561544793466</v>
          </cell>
          <cell r="I46">
            <v>188.23743302979642</v>
          </cell>
          <cell r="J46">
            <v>0.60779639520399842</v>
          </cell>
          <cell r="K46">
            <v>3.4216118650041753E-2</v>
          </cell>
          <cell r="L46">
            <v>2.5525224512931148E-2</v>
          </cell>
          <cell r="M46">
            <v>1605</v>
          </cell>
          <cell r="N46">
            <v>40.96798534325449</v>
          </cell>
          <cell r="P46">
            <v>2.6244090448988038</v>
          </cell>
          <cell r="Q46">
            <v>9.4075812193382971E-2</v>
          </cell>
          <cell r="T46" t="str">
            <v>Western Washington and Oregon_Pivot and Linear_Upgrade from high pressure to MESA</v>
          </cell>
          <cell r="U46" t="str">
            <v>Pump</v>
          </cell>
          <cell r="V46">
            <v>40.96798534325449</v>
          </cell>
          <cell r="W46">
            <v>10</v>
          </cell>
          <cell r="X46">
            <v>27.896746078620595</v>
          </cell>
          <cell r="Y46">
            <v>0</v>
          </cell>
          <cell r="Z46" t="str">
            <v>A-Irr-Irr-Irrigation-All-All-E</v>
          </cell>
        </row>
        <row r="47">
          <cell r="A47" t="str">
            <v>Upgrade from high pressure to LESA/LEPA/MDI</v>
          </cell>
          <cell r="B47" t="str">
            <v>Western Washington and Oregon</v>
          </cell>
          <cell r="C47" t="str">
            <v>Pivot and Linear</v>
          </cell>
          <cell r="D47" t="str">
            <v>Western Washington and Oregon_Pivot and Linear</v>
          </cell>
          <cell r="E47">
            <v>0.48711340206185572</v>
          </cell>
          <cell r="F47">
            <v>0.14430173678568409</v>
          </cell>
          <cell r="G47">
            <v>64.035009300867074</v>
          </cell>
          <cell r="H47">
            <v>40.316561544793466</v>
          </cell>
          <cell r="I47">
            <v>188.23743302979642</v>
          </cell>
          <cell r="J47">
            <v>0.60779639520399842</v>
          </cell>
          <cell r="K47">
            <v>3.8096297053654707E-2</v>
          </cell>
          <cell r="L47">
            <v>2.8419837602026411E-2</v>
          </cell>
          <cell r="M47">
            <v>1605</v>
          </cell>
          <cell r="N47">
            <v>45.613839351252388</v>
          </cell>
          <cell r="P47">
            <v>2.9220224417429961</v>
          </cell>
          <cell r="Q47">
            <v>9.4504511780748202E-2</v>
          </cell>
          <cell r="T47" t="str">
            <v>Western Washington and Oregon_Pivot and Linear_Upgrade from high pressure to LESA/LEPA/MDI</v>
          </cell>
          <cell r="U47" t="str">
            <v>Pump</v>
          </cell>
          <cell r="V47">
            <v>45.613839351252388</v>
          </cell>
          <cell r="W47">
            <v>10</v>
          </cell>
          <cell r="X47">
            <v>30.919396192661459</v>
          </cell>
          <cell r="Y47">
            <v>0</v>
          </cell>
          <cell r="Z47" t="str">
            <v>A-Irr-Irr-Irrigation-All-All-E</v>
          </cell>
        </row>
        <row r="48">
          <cell r="A48" t="str">
            <v>Upgrade from MESA to LESA/LEPA/MDI</v>
          </cell>
          <cell r="B48" t="str">
            <v>Western Washington and Oregon</v>
          </cell>
          <cell r="C48" t="str">
            <v>Pivot and Linear</v>
          </cell>
          <cell r="D48" t="str">
            <v>Western Washington and Oregon_Pivot and Linear</v>
          </cell>
          <cell r="E48">
            <v>0.30670103092783496</v>
          </cell>
          <cell r="F48">
            <v>9.0856649087282526E-2</v>
          </cell>
          <cell r="G48">
            <v>64.035009300867074</v>
          </cell>
          <cell r="H48">
            <v>40.316561544793466</v>
          </cell>
          <cell r="I48">
            <v>188.23743302979642</v>
          </cell>
          <cell r="J48">
            <v>0.60779639520399842</v>
          </cell>
          <cell r="K48">
            <v>2.3986557404152953E-2</v>
          </cell>
          <cell r="L48">
            <v>1.7893971823498101E-2</v>
          </cell>
          <cell r="M48">
            <v>1605</v>
          </cell>
          <cell r="N48">
            <v>28.719824776714454</v>
          </cell>
          <cell r="P48">
            <v>1.8397919077641078</v>
          </cell>
          <cell r="Q48">
            <v>5.9502840750841439E-2</v>
          </cell>
          <cell r="T48" t="str">
            <v>Western Washington and Oregon_Pivot and Linear_Upgrade from MESA to LESA/LEPA/MDI</v>
          </cell>
          <cell r="U48" t="str">
            <v>Pump</v>
          </cell>
          <cell r="V48">
            <v>28.719824776714454</v>
          </cell>
          <cell r="W48">
            <v>10</v>
          </cell>
          <cell r="X48">
            <v>30.919396192661459</v>
          </cell>
          <cell r="Y48">
            <v>0</v>
          </cell>
          <cell r="Z48" t="str">
            <v>A-Irr-Irr-Irrigation-All-All-E</v>
          </cell>
        </row>
        <row r="49">
          <cell r="A49" t="str">
            <v>Rebuilt or new impact sprinkler</v>
          </cell>
          <cell r="B49" t="str">
            <v>Eastern Washington and Oregon</v>
          </cell>
          <cell r="C49" t="str">
            <v>Wheel and Hand</v>
          </cell>
          <cell r="D49" t="str">
            <v>Eastern Washington and Oregon_Wheel and Hand</v>
          </cell>
          <cell r="E49">
            <v>3.6180631120783457E-2</v>
          </cell>
          <cell r="F49">
            <v>1.4691470315624034E-2</v>
          </cell>
          <cell r="G49">
            <v>64.035009300867074</v>
          </cell>
          <cell r="H49">
            <v>40.316561544793466</v>
          </cell>
          <cell r="I49">
            <v>188.23743302979642</v>
          </cell>
          <cell r="J49">
            <v>0.60779639520399842</v>
          </cell>
          <cell r="K49">
            <v>2.8296246108848433E-3</v>
          </cell>
          <cell r="L49">
            <v>2.1108999597200932E-3</v>
          </cell>
          <cell r="M49">
            <v>2200</v>
          </cell>
          <cell r="N49">
            <v>4.6439799113842053</v>
          </cell>
          <cell r="P49">
            <v>0.29749334221951912</v>
          </cell>
          <cell r="Q49">
            <v>4.6785413241256409E-2</v>
          </cell>
          <cell r="T49" t="str">
            <v>Eastern Washington and Oregon_Wheel and Hand_Rebuilt or new impact sprinkler</v>
          </cell>
          <cell r="U49" t="str">
            <v>Pump</v>
          </cell>
          <cell r="V49">
            <v>4.6439799113842053</v>
          </cell>
          <cell r="W49">
            <v>4</v>
          </cell>
          <cell r="X49">
            <v>15.666062344127223</v>
          </cell>
          <cell r="Y49">
            <v>-2.3268462766818621</v>
          </cell>
          <cell r="Z49" t="str">
            <v>A-Irr-Irr-Irrigation-All-All-E</v>
          </cell>
        </row>
        <row r="50">
          <cell r="A50" t="str">
            <v>Gaskets</v>
          </cell>
          <cell r="B50" t="str">
            <v>Eastern Washington and Oregon</v>
          </cell>
          <cell r="C50" t="str">
            <v>Wheel and Hand</v>
          </cell>
          <cell r="D50" t="str">
            <v>Eastern Washington and Oregon_Wheel and Hand</v>
          </cell>
          <cell r="E50">
            <v>0.17726480836236932</v>
          </cell>
          <cell r="F50">
            <v>7.1979967993552746E-2</v>
          </cell>
          <cell r="G50">
            <v>64.035009300867074</v>
          </cell>
          <cell r="H50">
            <v>40.316561544793466</v>
          </cell>
          <cell r="I50">
            <v>188.23743302979642</v>
          </cell>
          <cell r="J50">
            <v>0.60779639520399842</v>
          </cell>
          <cell r="K50">
            <v>1.3863574206637115E-2</v>
          </cell>
          <cell r="L50">
            <v>1.0342226358151288E-2</v>
          </cell>
          <cell r="M50">
            <v>2200</v>
          </cell>
          <cell r="N50">
            <v>22.752897987932833</v>
          </cell>
          <cell r="P50">
            <v>1.4575505916847002</v>
          </cell>
          <cell r="Q50">
            <v>0.87646375288510325</v>
          </cell>
          <cell r="T50" t="str">
            <v>Eastern Washington and Oregon_Wheel and Hand_Gaskets</v>
          </cell>
          <cell r="U50" t="str">
            <v>Pump</v>
          </cell>
          <cell r="V50">
            <v>22.752897987932833</v>
          </cell>
          <cell r="W50">
            <v>5</v>
          </cell>
          <cell r="X50">
            <v>4.3358379002815628</v>
          </cell>
          <cell r="Y50">
            <v>-0.53456954918811017</v>
          </cell>
          <cell r="Z50" t="str">
            <v>A-Irr-Irr-Irrigation-All-All-E</v>
          </cell>
        </row>
        <row r="51">
          <cell r="A51" t="str">
            <v>Drains</v>
          </cell>
          <cell r="B51" t="str">
            <v>Eastern Washington and Oregon</v>
          </cell>
          <cell r="C51" t="str">
            <v>Wheel and Hand</v>
          </cell>
          <cell r="D51" t="str">
            <v>Eastern Washington and Oregon_Wheel and Hand</v>
          </cell>
          <cell r="E51">
            <v>0.11525323910482924</v>
          </cell>
          <cell r="F51">
            <v>4.6799613180751286E-2</v>
          </cell>
          <cell r="G51">
            <v>64.035009300867074</v>
          </cell>
          <cell r="H51">
            <v>40.316561544793466</v>
          </cell>
          <cell r="I51">
            <v>188.23743302979642</v>
          </cell>
          <cell r="J51">
            <v>0.60779639520399842</v>
          </cell>
          <cell r="K51">
            <v>9.0137565805999218E-3</v>
          </cell>
          <cell r="L51">
            <v>6.7242624091275417E-3</v>
          </cell>
          <cell r="M51">
            <v>2200</v>
          </cell>
          <cell r="N51">
            <v>14.793377300080591</v>
          </cell>
          <cell r="P51">
            <v>0.94766371510930592</v>
          </cell>
          <cell r="Q51">
            <v>0.3953912873920557</v>
          </cell>
          <cell r="T51" t="str">
            <v>Eastern Washington and Oregon_Wheel and Hand_Drains</v>
          </cell>
          <cell r="U51" t="str">
            <v>Pump</v>
          </cell>
          <cell r="V51">
            <v>14.793377300080591</v>
          </cell>
          <cell r="W51">
            <v>5</v>
          </cell>
          <cell r="X51">
            <v>6.2489998809609935</v>
          </cell>
          <cell r="Y51">
            <v>-0.77044509644259163</v>
          </cell>
          <cell r="Z51" t="str">
            <v>A-Irr-Irr-Irrigation-All-All-E</v>
          </cell>
        </row>
        <row r="52">
          <cell r="A52" t="str">
            <v>Cut and press repair</v>
          </cell>
          <cell r="B52" t="str">
            <v>Eastern Washington and Oregon</v>
          </cell>
          <cell r="C52" t="str">
            <v>Wheel and Hand</v>
          </cell>
          <cell r="D52" t="str">
            <v>Eastern Washington and Oregon_Wheel and Hand</v>
          </cell>
          <cell r="E52">
            <v>0.50961538461538447</v>
          </cell>
          <cell r="F52">
            <v>0.20693390533924225</v>
          </cell>
          <cell r="G52">
            <v>64.035009300867074</v>
          </cell>
          <cell r="H52">
            <v>40.316561544793466</v>
          </cell>
          <cell r="I52">
            <v>188.23743302979642</v>
          </cell>
          <cell r="J52">
            <v>0.60779639520399842</v>
          </cell>
          <cell r="K52">
            <v>3.9856138207740893E-2</v>
          </cell>
          <cell r="L52">
            <v>2.9732679102974707E-2</v>
          </cell>
          <cell r="M52">
            <v>2200</v>
          </cell>
          <cell r="N52">
            <v>65.41189402654436</v>
          </cell>
          <cell r="P52">
            <v>4.1902857777576967</v>
          </cell>
          <cell r="Q52">
            <v>0.70388284591925832</v>
          </cell>
          <cell r="T52" t="str">
            <v>Eastern Washington and Oregon_Wheel and Hand_Cut and press repair</v>
          </cell>
          <cell r="U52" t="str">
            <v>Pump</v>
          </cell>
          <cell r="V52">
            <v>65.41189402654436</v>
          </cell>
          <cell r="W52">
            <v>8</v>
          </cell>
          <cell r="X52">
            <v>18.992792972486871</v>
          </cell>
          <cell r="Y52">
            <v>-1.6299614781215486</v>
          </cell>
          <cell r="Z52" t="str">
            <v>A-Irr-Irr-Irrigation-All-All-E</v>
          </cell>
        </row>
        <row r="53">
          <cell r="A53" t="str">
            <v>Hub gasket</v>
          </cell>
          <cell r="B53" t="str">
            <v>Eastern Washington and Oregon</v>
          </cell>
          <cell r="C53" t="str">
            <v>Wheel and Hand</v>
          </cell>
          <cell r="D53" t="str">
            <v>Eastern Washington and Oregon_Wheel and Hand</v>
          </cell>
          <cell r="E53">
            <v>0.29163405797101449</v>
          </cell>
          <cell r="F53">
            <v>0.11842062929756214</v>
          </cell>
          <cell r="G53">
            <v>64.035009300867074</v>
          </cell>
          <cell r="H53">
            <v>40.316561544793466</v>
          </cell>
          <cell r="I53">
            <v>188.23743302979642</v>
          </cell>
          <cell r="J53">
            <v>0.60779639520399842</v>
          </cell>
          <cell r="K53">
            <v>2.2808195496981435E-2</v>
          </cell>
          <cell r="L53">
            <v>1.7014913840748151E-2</v>
          </cell>
          <cell r="M53">
            <v>2200</v>
          </cell>
          <cell r="N53">
            <v>37.432810449645935</v>
          </cell>
          <cell r="P53">
            <v>2.3979457495145931</v>
          </cell>
          <cell r="Q53">
            <v>1.0205278467203738</v>
          </cell>
          <cell r="T53" t="str">
            <v>Eastern Washington and Oregon_Wheel and Hand_Hub gasket</v>
          </cell>
          <cell r="U53" t="str">
            <v>Pump</v>
          </cell>
          <cell r="V53">
            <v>37.432810449645935</v>
          </cell>
          <cell r="W53">
            <v>10</v>
          </cell>
          <cell r="X53">
            <v>8.8942729614010627</v>
          </cell>
          <cell r="Y53">
            <v>-0.65445617240048781</v>
          </cell>
          <cell r="Z53" t="str">
            <v>A-Irr-Irr-Irrigation-All-All-E</v>
          </cell>
        </row>
        <row r="54">
          <cell r="A54" t="str">
            <v>Levelers</v>
          </cell>
          <cell r="B54" t="str">
            <v>Eastern Washington and Oregon</v>
          </cell>
          <cell r="C54" t="str">
            <v>Wheel and Hand</v>
          </cell>
          <cell r="D54" t="str">
            <v>Eastern Washington and Oregon_Wheel and Hand</v>
          </cell>
          <cell r="E54">
            <v>4.9836779107725791E-2</v>
          </cell>
          <cell r="F54">
            <v>2.0236671893400927E-2</v>
          </cell>
          <cell r="G54">
            <v>64.035009300867074</v>
          </cell>
          <cell r="H54">
            <v>40.316561544793466</v>
          </cell>
          <cell r="I54">
            <v>188.23743302979642</v>
          </cell>
          <cell r="J54">
            <v>0.60779639520399842</v>
          </cell>
          <cell r="K54">
            <v>3.8976483361962658E-3</v>
          </cell>
          <cell r="L54">
            <v>2.9076456588024145E-3</v>
          </cell>
          <cell r="M54">
            <v>2200</v>
          </cell>
          <cell r="N54">
            <v>6.396820449365312</v>
          </cell>
          <cell r="P54">
            <v>0.40978030296703694</v>
          </cell>
          <cell r="Q54">
            <v>0.13307700391285357</v>
          </cell>
          <cell r="T54" t="str">
            <v>Eastern Washington and Oregon_Wheel and Hand_Levelers</v>
          </cell>
          <cell r="U54" t="str">
            <v>Pump</v>
          </cell>
          <cell r="V54">
            <v>6.396820449365312</v>
          </cell>
          <cell r="W54">
            <v>5</v>
          </cell>
          <cell r="X54">
            <v>8.0284447659430889</v>
          </cell>
          <cell r="Y54">
            <v>-0.98983453669546539</v>
          </cell>
          <cell r="Z54" t="str">
            <v>A-Irr-Irr-Irrigation-All-All-E</v>
          </cell>
        </row>
        <row r="55">
          <cell r="A55" t="str">
            <v>Base boot gasket</v>
          </cell>
          <cell r="B55" t="str">
            <v>Eastern Washington and Oregon</v>
          </cell>
          <cell r="C55" t="str">
            <v>Pivot and Linear</v>
          </cell>
          <cell r="D55" t="str">
            <v>Eastern Washington and Oregon_Pivot and Linear</v>
          </cell>
          <cell r="E55">
            <v>20</v>
          </cell>
          <cell r="F55">
            <v>8.1211796812381873</v>
          </cell>
          <cell r="G55">
            <v>64.035009300867074</v>
          </cell>
          <cell r="H55">
            <v>40.316561544793466</v>
          </cell>
          <cell r="I55">
            <v>188.23743302979642</v>
          </cell>
          <cell r="J55">
            <v>0.60779639520399842</v>
          </cell>
          <cell r="K55">
            <v>1.5641654240019074</v>
          </cell>
          <cell r="L55">
            <v>1.166867406305423</v>
          </cell>
          <cell r="M55">
            <v>2200</v>
          </cell>
          <cell r="N55">
            <v>2567.1082938719305</v>
          </cell>
          <cell r="P55">
            <v>164.44895127803792</v>
          </cell>
          <cell r="Q55">
            <v>0.55926421091669876</v>
          </cell>
          <cell r="T55" t="str">
            <v>Eastern Washington and Oregon_Pivot and Linear_Base boot gasket</v>
          </cell>
          <cell r="U55" t="str">
            <v>Pump</v>
          </cell>
          <cell r="V55">
            <v>2567.1082938719305</v>
          </cell>
          <cell r="W55">
            <v>8</v>
          </cell>
          <cell r="X55">
            <v>294.04519021248842</v>
          </cell>
          <cell r="Y55">
            <v>0</v>
          </cell>
          <cell r="Z55" t="str">
            <v>A-Irr-Irr-Irrigation-All-All-E</v>
          </cell>
        </row>
        <row r="56">
          <cell r="A56" t="str">
            <v>Tower gasket</v>
          </cell>
          <cell r="B56" t="str">
            <v>Eastern Washington and Oregon</v>
          </cell>
          <cell r="C56" t="str">
            <v>Pivot and Linear</v>
          </cell>
          <cell r="D56" t="str">
            <v>Eastern Washington and Oregon_Pivot and Linear</v>
          </cell>
          <cell r="E56">
            <v>6.1111111111111102E-2</v>
          </cell>
          <cell r="F56">
            <v>2.4814715692672237E-2</v>
          </cell>
          <cell r="G56">
            <v>64.035009300867074</v>
          </cell>
          <cell r="H56">
            <v>40.316561544793466</v>
          </cell>
          <cell r="I56">
            <v>188.23743302979642</v>
          </cell>
          <cell r="J56">
            <v>0.60779639520399842</v>
          </cell>
          <cell r="K56">
            <v>4.7793943511169378E-3</v>
          </cell>
          <cell r="L56">
            <v>3.5654281859332356E-3</v>
          </cell>
          <cell r="M56">
            <v>2200</v>
          </cell>
          <cell r="N56">
            <v>7.8439420090531184</v>
          </cell>
          <cell r="P56">
            <v>0.50248290668289364</v>
          </cell>
          <cell r="Q56">
            <v>2.538362403689981E-2</v>
          </cell>
          <cell r="T56" t="str">
            <v>Eastern Washington and Oregon_Pivot and Linear_Tower gasket</v>
          </cell>
          <cell r="U56" t="str">
            <v>Pump</v>
          </cell>
          <cell r="V56">
            <v>7.8439420090531184</v>
          </cell>
          <cell r="W56">
            <v>8</v>
          </cell>
          <cell r="X56">
            <v>63.155799696430307</v>
          </cell>
          <cell r="Y56">
            <v>-5.4200306808095036</v>
          </cell>
          <cell r="Z56" t="str">
            <v>A-Irr-Irr-Irrigation-All-All-E</v>
          </cell>
        </row>
        <row r="57">
          <cell r="A57" t="str">
            <v>Nozzle replacement</v>
          </cell>
          <cell r="B57" t="str">
            <v>Eastern Washington and Oregon</v>
          </cell>
          <cell r="C57" t="str">
            <v>Wheel and Hand</v>
          </cell>
          <cell r="D57" t="str">
            <v>Eastern Washington and Oregon_Wheel and Hand</v>
          </cell>
          <cell r="E57">
            <v>0.28380751933097753</v>
          </cell>
          <cell r="F57">
            <v>0.11524259296866746</v>
          </cell>
          <cell r="G57">
            <v>64.035009300867074</v>
          </cell>
          <cell r="H57">
            <v>40.316561544793466</v>
          </cell>
          <cell r="I57">
            <v>188.23743302979642</v>
          </cell>
          <cell r="J57">
            <v>0.60779639520399842</v>
          </cell>
          <cell r="K57">
            <v>2.2196095440463401E-2</v>
          </cell>
          <cell r="L57">
            <v>1.6558287198585698E-2</v>
          </cell>
          <cell r="M57">
            <v>2200</v>
          </cell>
          <cell r="N57">
            <v>36.428231836888536</v>
          </cell>
          <cell r="P57">
            <v>2.3335924459400368</v>
          </cell>
          <cell r="Q57">
            <v>1.8610593060832639</v>
          </cell>
          <cell r="T57" t="str">
            <v>Eastern Washington and Oregon_Wheel and Hand_Nozzle replacement</v>
          </cell>
          <cell r="U57" t="str">
            <v>Pump</v>
          </cell>
          <cell r="V57">
            <v>36.428231836888536</v>
          </cell>
          <cell r="W57">
            <v>4</v>
          </cell>
          <cell r="X57">
            <v>3.0892842253986195</v>
          </cell>
          <cell r="Y57">
            <v>-0.45884468857456584</v>
          </cell>
          <cell r="Z57" t="str">
            <v>A-Irr-Irr-Irrigation-All-All-E</v>
          </cell>
        </row>
        <row r="58">
          <cell r="A58" t="str">
            <v>Sprinkler package replacement, high pressure</v>
          </cell>
          <cell r="B58" t="str">
            <v>Eastern Washington and Oregon</v>
          </cell>
          <cell r="C58" t="str">
            <v>Pivot and Linear</v>
          </cell>
          <cell r="D58" t="str">
            <v>Eastern Washington and Oregon_Pivot and Linear</v>
          </cell>
          <cell r="E58">
            <v>0.49849129645816836</v>
          </cell>
          <cell r="F58">
            <v>0.20241686940350792</v>
          </cell>
          <cell r="G58">
            <v>64.035009300867074</v>
          </cell>
          <cell r="H58">
            <v>40.316561544793466</v>
          </cell>
          <cell r="I58">
            <v>188.23743302979642</v>
          </cell>
          <cell r="J58">
            <v>0.60779639520399842</v>
          </cell>
          <cell r="K58">
            <v>3.8986142504287571E-2</v>
          </cell>
          <cell r="L58">
            <v>2.9083662308198529E-2</v>
          </cell>
          <cell r="M58">
            <v>2200</v>
          </cell>
          <cell r="N58">
            <v>63.984057078036763</v>
          </cell>
          <cell r="P58">
            <v>4.0988185461887641</v>
          </cell>
          <cell r="Q58">
            <v>0.64460239027085375</v>
          </cell>
          <cell r="T58" t="str">
            <v>Eastern Washington and Oregon_Pivot and Linear_Sprinkler package replacement, high pressure</v>
          </cell>
          <cell r="U58" t="str">
            <v>Pump</v>
          </cell>
          <cell r="V58">
            <v>63.984057078036763</v>
          </cell>
          <cell r="W58">
            <v>4</v>
          </cell>
          <cell r="X58">
            <v>15.666062344127223</v>
          </cell>
          <cell r="Y58">
            <v>-2.3268462766818621</v>
          </cell>
          <cell r="Z58" t="str">
            <v>A-Irr-Irr-Irrigation-All-All-E</v>
          </cell>
        </row>
        <row r="59">
          <cell r="A59" t="str">
            <v>Sprinkler package replacement, MESA</v>
          </cell>
          <cell r="B59" t="str">
            <v>Eastern Washington and Oregon</v>
          </cell>
          <cell r="C59" t="str">
            <v>Pivot and Linear</v>
          </cell>
          <cell r="D59" t="str">
            <v>Eastern Washington and Oregon_Pivot and Linear</v>
          </cell>
          <cell r="E59">
            <v>0.24924564822908418</v>
          </cell>
          <cell r="F59">
            <v>0.10120843470175396</v>
          </cell>
          <cell r="G59">
            <v>64.035009300867074</v>
          </cell>
          <cell r="H59">
            <v>40.316561544793466</v>
          </cell>
          <cell r="I59">
            <v>188.23743302979642</v>
          </cell>
          <cell r="J59">
            <v>0.60779639520399842</v>
          </cell>
          <cell r="K59">
            <v>1.9493071252143786E-2</v>
          </cell>
          <cell r="L59">
            <v>1.4541831154099264E-2</v>
          </cell>
          <cell r="M59">
            <v>2200</v>
          </cell>
          <cell r="N59">
            <v>31.992028539018381</v>
          </cell>
          <cell r="P59">
            <v>2.049409273094382</v>
          </cell>
          <cell r="Q59">
            <v>0.2081780372074632</v>
          </cell>
          <cell r="T59" t="str">
            <v>Eastern Washington and Oregon_Pivot and Linear_Sprinkler package replacement, MESA</v>
          </cell>
          <cell r="U59" t="str">
            <v>Pump</v>
          </cell>
          <cell r="V59">
            <v>31.992028539018381</v>
          </cell>
          <cell r="W59">
            <v>5</v>
          </cell>
          <cell r="X59">
            <v>25.667120336697433</v>
          </cell>
          <cell r="Y59">
            <v>-3.1645235045466786</v>
          </cell>
          <cell r="Z59" t="str">
            <v>A-Irr-Irr-Irrigation-All-All-E</v>
          </cell>
        </row>
        <row r="60">
          <cell r="A60" t="str">
            <v>Sprinkler package replacement, LESA/LEPA/MDI</v>
          </cell>
          <cell r="B60" t="str">
            <v>Eastern Washington and Oregon</v>
          </cell>
          <cell r="C60" t="str">
            <v>Pivot and Linear</v>
          </cell>
          <cell r="D60" t="str">
            <v>Eastern Washington and Oregon_Pivot and Linear</v>
          </cell>
          <cell r="E60">
            <v>0.12462282411454209</v>
          </cell>
          <cell r="F60">
            <v>5.060421735087698E-2</v>
          </cell>
          <cell r="G60">
            <v>64.035009300867074</v>
          </cell>
          <cell r="H60">
            <v>40.316561544793466</v>
          </cell>
          <cell r="I60">
            <v>188.23743302979642</v>
          </cell>
          <cell r="J60">
            <v>0.60779639520399842</v>
          </cell>
          <cell r="K60">
            <v>9.7465356260718929E-3</v>
          </cell>
          <cell r="L60">
            <v>7.2709155770496322E-3</v>
          </cell>
          <cell r="M60">
            <v>2200</v>
          </cell>
          <cell r="N60">
            <v>15.996014269509191</v>
          </cell>
          <cell r="P60">
            <v>1.024704636547191</v>
          </cell>
          <cell r="Q60">
            <v>0.15126816180488864</v>
          </cell>
          <cell r="T60" t="str">
            <v>Eastern Washington and Oregon_Pivot and Linear_Sprinkler package replacement, LESA/LEPA/MDI</v>
          </cell>
          <cell r="U60" t="str">
            <v>Pump</v>
          </cell>
          <cell r="V60">
            <v>15.996014269509191</v>
          </cell>
          <cell r="W60">
            <v>5</v>
          </cell>
          <cell r="X60">
            <v>17.661782455429918</v>
          </cell>
          <cell r="Y60">
            <v>-2.177537837483392</v>
          </cell>
          <cell r="Z60" t="str">
            <v>A-Irr-Irr-Irrigation-All-All-E</v>
          </cell>
        </row>
        <row r="61">
          <cell r="A61" t="str">
            <v>Upgrade from high pressure to MESA</v>
          </cell>
          <cell r="B61" t="str">
            <v>Eastern Washington and Oregon</v>
          </cell>
          <cell r="C61" t="str">
            <v>Pivot and Linear</v>
          </cell>
          <cell r="D61" t="str">
            <v>Eastern Washington and Oregon_Pivot and Linear</v>
          </cell>
          <cell r="E61">
            <v>0.43750000000000039</v>
          </cell>
          <cell r="F61">
            <v>0.17765080552708554</v>
          </cell>
          <cell r="G61">
            <v>64.035009300867074</v>
          </cell>
          <cell r="H61">
            <v>40.316561544793466</v>
          </cell>
          <cell r="I61">
            <v>188.23743302979642</v>
          </cell>
          <cell r="J61">
            <v>0.60779639520399842</v>
          </cell>
          <cell r="K61">
            <v>3.4216118650041753E-2</v>
          </cell>
          <cell r="L61">
            <v>2.5525224512931148E-2</v>
          </cell>
          <cell r="M61">
            <v>2200</v>
          </cell>
          <cell r="N61">
            <v>56.155493928448529</v>
          </cell>
          <cell r="P61">
            <v>3.5973208092070834</v>
          </cell>
          <cell r="Q61">
            <v>0.12895126905011997</v>
          </cell>
          <cell r="T61" t="str">
            <v>Eastern Washington and Oregon_Pivot and Linear_Upgrade from high pressure to MESA</v>
          </cell>
          <cell r="U61" t="str">
            <v>Pump</v>
          </cell>
          <cell r="V61">
            <v>56.155493928448529</v>
          </cell>
          <cell r="W61">
            <v>10</v>
          </cell>
          <cell r="X61">
            <v>27.896746078620595</v>
          </cell>
          <cell r="Y61">
            <v>0</v>
          </cell>
          <cell r="Z61" t="str">
            <v>A-Irr-Irr-Irrigation-All-All-E</v>
          </cell>
        </row>
        <row r="62">
          <cell r="A62" t="str">
            <v>Upgrade from high pressure to LESA/LEPA/MDI</v>
          </cell>
          <cell r="B62" t="str">
            <v>Eastern Washington and Oregon</v>
          </cell>
          <cell r="C62" t="str">
            <v>Pivot and Linear</v>
          </cell>
          <cell r="D62" t="str">
            <v>Eastern Washington and Oregon_Pivot and Linear</v>
          </cell>
          <cell r="E62">
            <v>0.48711340206185572</v>
          </cell>
          <cell r="F62">
            <v>0.19779677316417754</v>
          </cell>
          <cell r="G62">
            <v>64.035009300867074</v>
          </cell>
          <cell r="H62">
            <v>40.316561544793466</v>
          </cell>
          <cell r="I62">
            <v>188.23743302979642</v>
          </cell>
          <cell r="J62">
            <v>0.60779639520399842</v>
          </cell>
          <cell r="K62">
            <v>3.8096297053654707E-2</v>
          </cell>
          <cell r="L62">
            <v>2.8419837602026411E-2</v>
          </cell>
          <cell r="M62">
            <v>2200</v>
          </cell>
          <cell r="N62">
            <v>62.523642724458107</v>
          </cell>
          <cell r="P62">
            <v>4.0052644061274707</v>
          </cell>
          <cell r="Q62">
            <v>0.12953889465273896</v>
          </cell>
          <cell r="T62" t="str">
            <v>Eastern Washington and Oregon_Pivot and Linear_Upgrade from high pressure to LESA/LEPA/MDI</v>
          </cell>
          <cell r="U62" t="str">
            <v>Pump</v>
          </cell>
          <cell r="V62">
            <v>62.523642724458107</v>
          </cell>
          <cell r="W62">
            <v>10</v>
          </cell>
          <cell r="X62">
            <v>30.919396192661459</v>
          </cell>
          <cell r="Y62">
            <v>0</v>
          </cell>
          <cell r="Z62" t="str">
            <v>A-Irr-Irr-Irrigation-All-All-E</v>
          </cell>
        </row>
        <row r="63">
          <cell r="A63" t="str">
            <v>Upgrade from MESA to LESA/LEPA/MDI</v>
          </cell>
          <cell r="B63" t="str">
            <v>Eastern Washington and Oregon</v>
          </cell>
          <cell r="C63" t="str">
            <v>Pivot and Linear</v>
          </cell>
          <cell r="D63" t="str">
            <v>Eastern Washington and Oregon_Pivot and Linear</v>
          </cell>
          <cell r="E63">
            <v>0.30670103092783496</v>
          </cell>
          <cell r="F63">
            <v>0.12453870902929692</v>
          </cell>
          <cell r="G63">
            <v>64.035009300867074</v>
          </cell>
          <cell r="H63">
            <v>40.316561544793466</v>
          </cell>
          <cell r="I63">
            <v>188.23743302979642</v>
          </cell>
          <cell r="J63">
            <v>0.60779639520399842</v>
          </cell>
          <cell r="K63">
            <v>2.3986557404152953E-2</v>
          </cell>
          <cell r="L63">
            <v>1.7893971823498101E-2</v>
          </cell>
          <cell r="M63">
            <v>2200</v>
          </cell>
          <cell r="N63">
            <v>39.366738011695823</v>
          </cell>
          <cell r="P63">
            <v>2.5218331445987769</v>
          </cell>
          <cell r="Q63">
            <v>8.156152626283561E-2</v>
          </cell>
          <cell r="T63" t="str">
            <v>Eastern Washington and Oregon_Pivot and Linear_Upgrade from MESA to LESA/LEPA/MDI</v>
          </cell>
          <cell r="U63" t="str">
            <v>Pump</v>
          </cell>
          <cell r="V63">
            <v>39.366738011695823</v>
          </cell>
          <cell r="W63">
            <v>10</v>
          </cell>
          <cell r="X63">
            <v>30.919396192661459</v>
          </cell>
          <cell r="Y63">
            <v>0</v>
          </cell>
          <cell r="Z63" t="str">
            <v>A-Irr-Irr-Irrigation-All-All-E</v>
          </cell>
        </row>
        <row r="64">
          <cell r="A64" t="str">
            <v>Rebuilt or new impact sprinkler</v>
          </cell>
          <cell r="B64" t="str">
            <v>Montana</v>
          </cell>
          <cell r="C64" t="str">
            <v>Wheel and Hand</v>
          </cell>
          <cell r="D64" t="str">
            <v>Montana_Wheel and Hand</v>
          </cell>
          <cell r="E64">
            <v>3.6180631120783457E-2</v>
          </cell>
          <cell r="F64">
            <v>6.7623089853414376E-3</v>
          </cell>
          <cell r="G64">
            <v>47.189554739381833</v>
          </cell>
          <cell r="H64">
            <v>23.91618124034553</v>
          </cell>
          <cell r="I64">
            <v>132.92405268831757</v>
          </cell>
          <cell r="J64">
            <v>0.60779639520399842</v>
          </cell>
          <cell r="K64">
            <v>1.9981422653903248E-3</v>
          </cell>
          <cell r="L64">
            <v>1.4906141299811822E-3</v>
          </cell>
          <cell r="M64">
            <v>1012.6338241264893</v>
          </cell>
          <cell r="N64">
            <v>1.5094462867398244</v>
          </cell>
          <cell r="P64">
            <v>6.9942162147860892E-2</v>
          </cell>
          <cell r="Q64">
            <v>1.0999482995690158E-2</v>
          </cell>
          <cell r="T64" t="str">
            <v>Montana_Wheel and Hand_Rebuilt or new impact sprinkler</v>
          </cell>
          <cell r="U64" t="str">
            <v>Pump</v>
          </cell>
          <cell r="V64">
            <v>1.5094462867398244</v>
          </cell>
          <cell r="W64">
            <v>4</v>
          </cell>
          <cell r="X64">
            <v>15.666062344127223</v>
          </cell>
          <cell r="Y64">
            <v>-2.3268462766818621</v>
          </cell>
          <cell r="Z64" t="str">
            <v>A-Irr-Irr-Irrigation-All-All-E</v>
          </cell>
        </row>
        <row r="65">
          <cell r="A65" t="str">
            <v>Gaskets</v>
          </cell>
          <cell r="B65" t="str">
            <v>Montana</v>
          </cell>
          <cell r="C65" t="str">
            <v>Wheel and Hand</v>
          </cell>
          <cell r="D65" t="str">
            <v>Montana_Wheel and Hand</v>
          </cell>
          <cell r="E65">
            <v>0.17726480836236932</v>
          </cell>
          <cell r="F65">
            <v>3.3131522840824379E-2</v>
          </cell>
          <cell r="G65">
            <v>47.189554739381833</v>
          </cell>
          <cell r="H65">
            <v>23.91618124034553</v>
          </cell>
          <cell r="I65">
            <v>132.92405268831757</v>
          </cell>
          <cell r="J65">
            <v>0.60779639520399842</v>
          </cell>
          <cell r="K65">
            <v>9.7897768718495648E-3</v>
          </cell>
          <cell r="L65">
            <v>7.3031735463997757E-3</v>
          </cell>
          <cell r="M65">
            <v>1012.6338241264893</v>
          </cell>
          <cell r="N65">
            <v>7.3954405565502199</v>
          </cell>
          <cell r="P65">
            <v>0.3426773824978499</v>
          </cell>
          <cell r="Q65">
            <v>0.20606098094046846</v>
          </cell>
          <cell r="T65" t="str">
            <v>Montana_Wheel and Hand_Gaskets</v>
          </cell>
          <cell r="U65" t="str">
            <v>Pump</v>
          </cell>
          <cell r="V65">
            <v>7.3954405565502199</v>
          </cell>
          <cell r="W65">
            <v>5</v>
          </cell>
          <cell r="X65">
            <v>4.3358379002815628</v>
          </cell>
          <cell r="Y65">
            <v>-0.53456954918811017</v>
          </cell>
          <cell r="Z65" t="str">
            <v>A-Irr-Irr-Irrigation-All-All-E</v>
          </cell>
        </row>
        <row r="66">
          <cell r="A66" t="str">
            <v>Drains</v>
          </cell>
          <cell r="B66" t="str">
            <v>Montana</v>
          </cell>
          <cell r="C66" t="str">
            <v>Wheel and Hand</v>
          </cell>
          <cell r="D66" t="str">
            <v>Montana_Wheel and Hand</v>
          </cell>
          <cell r="E66">
            <v>0.11525323910482924</v>
          </cell>
          <cell r="F66">
            <v>2.1541305119483923E-2</v>
          </cell>
          <cell r="G66">
            <v>47.189554739381833</v>
          </cell>
          <cell r="H66">
            <v>23.91618124034553</v>
          </cell>
          <cell r="I66">
            <v>132.92405268831757</v>
          </cell>
          <cell r="J66">
            <v>0.60779639520399842</v>
          </cell>
          <cell r="K66">
            <v>6.365073276629718E-3</v>
          </cell>
          <cell r="L66">
            <v>4.7483446643657697E-3</v>
          </cell>
          <cell r="M66">
            <v>1012.6338241264893</v>
          </cell>
          <cell r="N66">
            <v>4.8083344157473205</v>
          </cell>
          <cell r="P66">
            <v>0.22280044564799162</v>
          </cell>
          <cell r="Q66">
            <v>9.2958455232320714E-2</v>
          </cell>
          <cell r="T66" t="str">
            <v>Montana_Wheel and Hand_Drains</v>
          </cell>
          <cell r="U66" t="str">
            <v>Pump</v>
          </cell>
          <cell r="V66">
            <v>4.8083344157473205</v>
          </cell>
          <cell r="W66">
            <v>5</v>
          </cell>
          <cell r="X66">
            <v>6.2489998809609935</v>
          </cell>
          <cell r="Y66">
            <v>-0.77044509644259163</v>
          </cell>
          <cell r="Z66" t="str">
            <v>A-Irr-Irr-Irrigation-All-All-E</v>
          </cell>
        </row>
        <row r="67">
          <cell r="A67" t="str">
            <v>Cut and press repair</v>
          </cell>
          <cell r="B67" t="str">
            <v>Montana</v>
          </cell>
          <cell r="C67" t="str">
            <v>Wheel and Hand</v>
          </cell>
          <cell r="D67" t="str">
            <v>Montana_Wheel and Hand</v>
          </cell>
          <cell r="E67">
            <v>0.50961538461538447</v>
          </cell>
          <cell r="F67">
            <v>9.5249214502320823E-2</v>
          </cell>
          <cell r="G67">
            <v>47.189554739381833</v>
          </cell>
          <cell r="H67">
            <v>23.91618124034553</v>
          </cell>
          <cell r="I67">
            <v>132.92405268831757</v>
          </cell>
          <cell r="J67">
            <v>0.60779639520399842</v>
          </cell>
          <cell r="K67">
            <v>2.814445208801809E-2</v>
          </cell>
          <cell r="L67">
            <v>2.0995761257661495E-2</v>
          </cell>
          <cell r="M67">
            <v>1012.6338241264893</v>
          </cell>
          <cell r="N67">
            <v>21.261018012792547</v>
          </cell>
          <cell r="P67">
            <v>0.98515699587503192</v>
          </cell>
          <cell r="Q67">
            <v>0.1654863526527432</v>
          </cell>
          <cell r="T67" t="str">
            <v>Montana_Wheel and Hand_Cut and press repair</v>
          </cell>
          <cell r="U67" t="str">
            <v>Pump</v>
          </cell>
          <cell r="V67">
            <v>21.261018012792547</v>
          </cell>
          <cell r="W67">
            <v>8</v>
          </cell>
          <cell r="X67">
            <v>18.992792972486871</v>
          </cell>
          <cell r="Y67">
            <v>-1.6299614781215486</v>
          </cell>
          <cell r="Z67" t="str">
            <v>A-Irr-Irr-Irrigation-All-All-E</v>
          </cell>
        </row>
        <row r="68">
          <cell r="A68" t="str">
            <v>Hub gasket</v>
          </cell>
          <cell r="B68" t="str">
            <v>Montana</v>
          </cell>
          <cell r="C68" t="str">
            <v>Wheel and Hand</v>
          </cell>
          <cell r="D68" t="str">
            <v>Montana_Wheel and Hand</v>
          </cell>
          <cell r="E68">
            <v>0.29163405797101449</v>
          </cell>
          <cell r="F68">
            <v>5.4507606682298052E-2</v>
          </cell>
          <cell r="G68">
            <v>47.189554739381833</v>
          </cell>
          <cell r="H68">
            <v>23.91618124034553</v>
          </cell>
          <cell r="I68">
            <v>132.92405268831757</v>
          </cell>
          <cell r="J68">
            <v>0.60779639520399842</v>
          </cell>
          <cell r="K68">
            <v>1.6106030193719791E-2</v>
          </cell>
          <cell r="L68">
            <v>1.2015098524514965E-2</v>
          </cell>
          <cell r="M68">
            <v>1012.6338241264893</v>
          </cell>
          <cell r="N68">
            <v>12.166895166136129</v>
          </cell>
          <cell r="P68">
            <v>0.56376895423281581</v>
          </cell>
          <cell r="Q68">
            <v>0.23993116484285629</v>
          </cell>
          <cell r="T68" t="str">
            <v>Montana_Wheel and Hand_Hub gasket</v>
          </cell>
          <cell r="U68" t="str">
            <v>Pump</v>
          </cell>
          <cell r="V68">
            <v>12.166895166136129</v>
          </cell>
          <cell r="W68">
            <v>10</v>
          </cell>
          <cell r="X68">
            <v>8.8942729614010627</v>
          </cell>
          <cell r="Y68">
            <v>-0.65445617240048781</v>
          </cell>
          <cell r="Z68" t="str">
            <v>A-Irr-Irr-Irrigation-All-All-E</v>
          </cell>
        </row>
        <row r="69">
          <cell r="A69" t="str">
            <v>Levelers</v>
          </cell>
          <cell r="B69" t="str">
            <v>Montana</v>
          </cell>
          <cell r="C69" t="str">
            <v>Wheel and Hand</v>
          </cell>
          <cell r="D69" t="str">
            <v>Montana_Wheel and Hand</v>
          </cell>
          <cell r="E69">
            <v>4.9836779107725791E-2</v>
          </cell>
          <cell r="F69">
            <v>9.3146992940943748E-3</v>
          </cell>
          <cell r="G69">
            <v>47.189554739381833</v>
          </cell>
          <cell r="H69">
            <v>23.91618124034553</v>
          </cell>
          <cell r="I69">
            <v>132.92405268831757</v>
          </cell>
          <cell r="J69">
            <v>0.60779639520399842</v>
          </cell>
          <cell r="K69">
            <v>2.7523282933797559E-3</v>
          </cell>
          <cell r="L69">
            <v>2.0532369068612978E-3</v>
          </cell>
          <cell r="M69">
            <v>1012.6338241264893</v>
          </cell>
          <cell r="N69">
            <v>2.0791771408326003</v>
          </cell>
          <cell r="P69">
            <v>9.6341384251790368E-2</v>
          </cell>
          <cell r="Q69">
            <v>3.1287064498257626E-2</v>
          </cell>
          <cell r="T69" t="str">
            <v>Montana_Wheel and Hand_Levelers</v>
          </cell>
          <cell r="U69" t="str">
            <v>Pump</v>
          </cell>
          <cell r="V69">
            <v>2.0791771408326003</v>
          </cell>
          <cell r="W69">
            <v>5</v>
          </cell>
          <cell r="X69">
            <v>8.0284447659430889</v>
          </cell>
          <cell r="Y69">
            <v>-0.98983453669546539</v>
          </cell>
          <cell r="Z69" t="str">
            <v>A-Irr-Irr-Irrigation-All-All-E</v>
          </cell>
        </row>
        <row r="70">
          <cell r="A70" t="str">
            <v>Base boot gasket</v>
          </cell>
          <cell r="B70" t="str">
            <v>Montana</v>
          </cell>
          <cell r="C70" t="str">
            <v>Pivot and Linear</v>
          </cell>
          <cell r="D70" t="str">
            <v>Montana_Pivot and Linear</v>
          </cell>
          <cell r="E70">
            <v>20</v>
          </cell>
          <cell r="F70">
            <v>3.7380823804684411</v>
          </cell>
          <cell r="G70">
            <v>47.189554739381833</v>
          </cell>
          <cell r="H70">
            <v>23.91618124034553</v>
          </cell>
          <cell r="I70">
            <v>132.92405268831757</v>
          </cell>
          <cell r="J70">
            <v>0.60779639520399842</v>
          </cell>
          <cell r="K70">
            <v>1.1045369876052384</v>
          </cell>
          <cell r="L70">
            <v>0.82398459275350788</v>
          </cell>
          <cell r="M70">
            <v>1012.6338241264893</v>
          </cell>
          <cell r="N70">
            <v>834.39466918129267</v>
          </cell>
          <cell r="P70">
            <v>38.66276512113334</v>
          </cell>
          <cell r="Q70">
            <v>0.13148579336799943</v>
          </cell>
          <cell r="T70" t="str">
            <v>Montana_Pivot and Linear_Base boot gasket</v>
          </cell>
          <cell r="U70" t="str">
            <v>Pump</v>
          </cell>
          <cell r="V70">
            <v>834.39466918129267</v>
          </cell>
          <cell r="W70">
            <v>8</v>
          </cell>
          <cell r="X70">
            <v>294.04519021248842</v>
          </cell>
          <cell r="Y70">
            <v>0</v>
          </cell>
          <cell r="Z70" t="str">
            <v>A-Irr-Irr-Irrigation-All-All-E</v>
          </cell>
        </row>
        <row r="71">
          <cell r="A71" t="str">
            <v>Tower gasket</v>
          </cell>
          <cell r="B71" t="str">
            <v>Montana</v>
          </cell>
          <cell r="C71" t="str">
            <v>Pivot and Linear</v>
          </cell>
          <cell r="D71" t="str">
            <v>Montana_Pivot and Linear</v>
          </cell>
          <cell r="E71">
            <v>6.1111111111111102E-2</v>
          </cell>
          <cell r="F71">
            <v>1.1421918384764678E-2</v>
          </cell>
          <cell r="G71">
            <v>47.189554739381833</v>
          </cell>
          <cell r="H71">
            <v>23.91618124034553</v>
          </cell>
          <cell r="I71">
            <v>132.92405268831757</v>
          </cell>
          <cell r="J71">
            <v>0.60779639520399842</v>
          </cell>
          <cell r="K71">
            <v>3.3749741287937836E-3</v>
          </cell>
          <cell r="L71">
            <v>2.5177307000801624E-3</v>
          </cell>
          <cell r="M71">
            <v>1012.6338241264893</v>
          </cell>
          <cell r="N71">
            <v>2.5495392669428378</v>
          </cell>
          <cell r="P71">
            <v>0.11813622675901851</v>
          </cell>
          <cell r="Q71">
            <v>5.9678160695748831E-3</v>
          </cell>
          <cell r="T71" t="str">
            <v>Montana_Pivot and Linear_Tower gasket</v>
          </cell>
          <cell r="U71" t="str">
            <v>Pump</v>
          </cell>
          <cell r="V71">
            <v>2.5495392669428378</v>
          </cell>
          <cell r="W71">
            <v>8</v>
          </cell>
          <cell r="X71">
            <v>63.155799696430307</v>
          </cell>
          <cell r="Y71">
            <v>-5.4200306808095036</v>
          </cell>
          <cell r="Z71" t="str">
            <v>A-Irr-Irr-Irrigation-All-All-E</v>
          </cell>
        </row>
        <row r="72">
          <cell r="A72" t="str">
            <v>Nozzle replacement</v>
          </cell>
          <cell r="B72" t="str">
            <v>Montana</v>
          </cell>
          <cell r="C72" t="str">
            <v>Wheel and Hand</v>
          </cell>
          <cell r="D72" t="str">
            <v>Montana_Wheel and Hand</v>
          </cell>
          <cell r="E72">
            <v>0.28380751933097753</v>
          </cell>
          <cell r="F72">
            <v>5.3044794372779175E-2</v>
          </cell>
          <cell r="G72">
            <v>47.189554739381833</v>
          </cell>
          <cell r="H72">
            <v>23.91618124034553</v>
          </cell>
          <cell r="I72">
            <v>132.92405268831757</v>
          </cell>
          <cell r="J72">
            <v>0.60779639520399842</v>
          </cell>
          <cell r="K72">
            <v>1.567379512307767E-2</v>
          </cell>
          <cell r="L72">
            <v>1.1692651161815943E-2</v>
          </cell>
          <cell r="M72">
            <v>1012.6338241264893</v>
          </cell>
          <cell r="N72">
            <v>11.840374060166717</v>
          </cell>
          <cell r="P72">
            <v>0.54863917297525466</v>
          </cell>
          <cell r="Q72">
            <v>0.43754428513163768</v>
          </cell>
          <cell r="T72" t="str">
            <v>Montana_Wheel and Hand_Nozzle replacement</v>
          </cell>
          <cell r="U72" t="str">
            <v>Pump</v>
          </cell>
          <cell r="V72">
            <v>11.840374060166717</v>
          </cell>
          <cell r="W72">
            <v>4</v>
          </cell>
          <cell r="X72">
            <v>3.0892842253986195</v>
          </cell>
          <cell r="Y72">
            <v>-0.45884468857456584</v>
          </cell>
          <cell r="Z72" t="str">
            <v>A-Irr-Irr-Irrigation-All-All-E</v>
          </cell>
        </row>
        <row r="73">
          <cell r="A73" t="str">
            <v>Sprinkler package replacement, high pressure</v>
          </cell>
          <cell r="B73" t="str">
            <v>Montana</v>
          </cell>
          <cell r="C73" t="str">
            <v>Pivot and Linear</v>
          </cell>
          <cell r="D73" t="str">
            <v>Montana_Pivot and Linear</v>
          </cell>
          <cell r="E73">
            <v>0.49849129645816836</v>
          </cell>
          <cell r="F73">
            <v>9.3170076605357463E-2</v>
          </cell>
          <cell r="G73">
            <v>47.189554739381833</v>
          </cell>
          <cell r="H73">
            <v>23.91618124034553</v>
          </cell>
          <cell r="I73">
            <v>132.92405268831757</v>
          </cell>
          <cell r="J73">
            <v>0.60779639520399842</v>
          </cell>
          <cell r="K73">
            <v>2.7530103746866753E-2</v>
          </cell>
          <cell r="L73">
            <v>2.0537457395162599E-2</v>
          </cell>
          <cell r="M73">
            <v>1012.6338241264893</v>
          </cell>
          <cell r="N73">
            <v>20.796924019898352</v>
          </cell>
          <cell r="P73">
            <v>0.9636525954945705</v>
          </cell>
          <cell r="Q73">
            <v>0.15154922313506711</v>
          </cell>
          <cell r="T73" t="str">
            <v>Montana_Pivot and Linear_Sprinkler package replacement, high pressure</v>
          </cell>
          <cell r="U73" t="str">
            <v>Pump</v>
          </cell>
          <cell r="V73">
            <v>20.796924019898352</v>
          </cell>
          <cell r="W73">
            <v>4</v>
          </cell>
          <cell r="X73">
            <v>15.666062344127223</v>
          </cell>
          <cell r="Y73">
            <v>-2.3268462766818621</v>
          </cell>
          <cell r="Z73" t="str">
            <v>A-Irr-Irr-Irrigation-All-All-E</v>
          </cell>
        </row>
        <row r="74">
          <cell r="A74" t="str">
            <v>Sprinkler package replacement, MESA</v>
          </cell>
          <cell r="B74" t="str">
            <v>Montana</v>
          </cell>
          <cell r="C74" t="str">
            <v>Pivot and Linear</v>
          </cell>
          <cell r="D74" t="str">
            <v>Montana_Pivot and Linear</v>
          </cell>
          <cell r="E74">
            <v>0.24924564822908418</v>
          </cell>
          <cell r="F74">
            <v>4.6585038302678732E-2</v>
          </cell>
          <cell r="G74">
            <v>47.189554739381833</v>
          </cell>
          <cell r="H74">
            <v>23.91618124034553</v>
          </cell>
          <cell r="I74">
            <v>132.92405268831757</v>
          </cell>
          <cell r="J74">
            <v>0.60779639520399842</v>
          </cell>
          <cell r="K74">
            <v>1.3765051873433376E-2</v>
          </cell>
          <cell r="L74">
            <v>1.02687286975813E-2</v>
          </cell>
          <cell r="M74">
            <v>1012.6338241264893</v>
          </cell>
          <cell r="N74">
            <v>10.398462009949176</v>
          </cell>
          <cell r="P74">
            <v>0.48182629774728525</v>
          </cell>
          <cell r="Q74">
            <v>4.894369038767845E-2</v>
          </cell>
          <cell r="T74" t="str">
            <v>Montana_Pivot and Linear_Sprinkler package replacement, MESA</v>
          </cell>
          <cell r="U74" t="str">
            <v>Pump</v>
          </cell>
          <cell r="V74">
            <v>10.398462009949176</v>
          </cell>
          <cell r="W74">
            <v>5</v>
          </cell>
          <cell r="X74">
            <v>25.667120336697433</v>
          </cell>
          <cell r="Y74">
            <v>-3.1645235045466786</v>
          </cell>
          <cell r="Z74" t="str">
            <v>A-Irr-Irr-Irrigation-All-All-E</v>
          </cell>
        </row>
        <row r="75">
          <cell r="A75" t="str">
            <v>Sprinkler package replacement, LESA/LEPA/MDI</v>
          </cell>
          <cell r="B75" t="str">
            <v>Montana</v>
          </cell>
          <cell r="C75" t="str">
            <v>Pivot and Linear</v>
          </cell>
          <cell r="D75" t="str">
            <v>Montana_Pivot and Linear</v>
          </cell>
          <cell r="E75">
            <v>0.12462282411454209</v>
          </cell>
          <cell r="F75">
            <v>2.3292519151339366E-2</v>
          </cell>
          <cell r="G75">
            <v>47.189554739381833</v>
          </cell>
          <cell r="H75">
            <v>23.91618124034553</v>
          </cell>
          <cell r="I75">
            <v>132.92405268831757</v>
          </cell>
          <cell r="J75">
            <v>0.60779639520399842</v>
          </cell>
          <cell r="K75">
            <v>6.8825259367166882E-3</v>
          </cell>
          <cell r="L75">
            <v>5.1343643487906498E-3</v>
          </cell>
          <cell r="M75">
            <v>1012.6338241264893</v>
          </cell>
          <cell r="N75">
            <v>5.199231004974588</v>
          </cell>
          <cell r="P75">
            <v>0.24091314887364262</v>
          </cell>
          <cell r="Q75">
            <v>3.5563896058418101E-2</v>
          </cell>
          <cell r="T75" t="str">
            <v>Montana_Pivot and Linear_Sprinkler package replacement, LESA/LEPA/MDI</v>
          </cell>
          <cell r="U75" t="str">
            <v>Pump</v>
          </cell>
          <cell r="V75">
            <v>5.199231004974588</v>
          </cell>
          <cell r="W75">
            <v>5</v>
          </cell>
          <cell r="X75">
            <v>17.661782455429918</v>
          </cell>
          <cell r="Y75">
            <v>-2.177537837483392</v>
          </cell>
          <cell r="Z75" t="str">
            <v>A-Irr-Irr-Irrigation-All-All-E</v>
          </cell>
        </row>
        <row r="76">
          <cell r="A76" t="str">
            <v>Upgrade from high pressure to MESA</v>
          </cell>
          <cell r="B76" t="str">
            <v>Montana</v>
          </cell>
          <cell r="C76" t="str">
            <v>Pivot and Linear</v>
          </cell>
          <cell r="D76" t="str">
            <v>Montana_Pivot and Linear</v>
          </cell>
          <cell r="E76">
            <v>0.43750000000000039</v>
          </cell>
          <cell r="F76">
            <v>8.1770552072747221E-2</v>
          </cell>
          <cell r="G76">
            <v>47.189554739381833</v>
          </cell>
          <cell r="H76">
            <v>23.91618124034553</v>
          </cell>
          <cell r="I76">
            <v>132.92405268831757</v>
          </cell>
          <cell r="J76">
            <v>0.60779639520399842</v>
          </cell>
          <cell r="K76">
            <v>2.4161746603864612E-2</v>
          </cell>
          <cell r="L76">
            <v>1.8024662966483002E-2</v>
          </cell>
          <cell r="M76">
            <v>1012.6338241264893</v>
          </cell>
          <cell r="N76">
            <v>18.252383388340792</v>
          </cell>
          <cell r="P76">
            <v>0.84574798702479259</v>
          </cell>
          <cell r="Q76">
            <v>3.0317083743073313E-2</v>
          </cell>
          <cell r="T76" t="str">
            <v>Montana_Pivot and Linear_Upgrade from high pressure to MESA</v>
          </cell>
          <cell r="U76" t="str">
            <v>Pump</v>
          </cell>
          <cell r="V76">
            <v>18.252383388340792</v>
          </cell>
          <cell r="W76">
            <v>10</v>
          </cell>
          <cell r="X76">
            <v>27.896746078620595</v>
          </cell>
          <cell r="Y76">
            <v>0</v>
          </cell>
          <cell r="Z76" t="str">
            <v>A-Irr-Irr-Irrigation-All-All-E</v>
          </cell>
        </row>
        <row r="77">
          <cell r="A77" t="str">
            <v>Upgrade from high pressure to LESA/LEPA/MDI</v>
          </cell>
          <cell r="B77" t="str">
            <v>Montana</v>
          </cell>
          <cell r="C77" t="str">
            <v>Pivot and Linear</v>
          </cell>
          <cell r="D77" t="str">
            <v>Montana_Pivot and Linear</v>
          </cell>
          <cell r="E77">
            <v>0.48711340206185572</v>
          </cell>
          <cell r="F77">
            <v>9.1043501276873121E-2</v>
          </cell>
          <cell r="G77">
            <v>47.189554739381833</v>
          </cell>
          <cell r="H77">
            <v>23.91618124034553</v>
          </cell>
          <cell r="I77">
            <v>132.92405268831757</v>
          </cell>
          <cell r="J77">
            <v>0.60779639520399842</v>
          </cell>
          <cell r="K77">
            <v>2.6901738486777071E-2</v>
          </cell>
          <cell r="L77">
            <v>2.0068696911135695E-2</v>
          </cell>
          <cell r="M77">
            <v>1012.6338241264893</v>
          </cell>
          <cell r="N77">
            <v>20.322241298358804</v>
          </cell>
          <cell r="P77">
            <v>0.94165755256368577</v>
          </cell>
          <cell r="Q77">
            <v>3.0455237440477016E-2</v>
          </cell>
          <cell r="T77" t="str">
            <v>Montana_Pivot and Linear_Upgrade from high pressure to LESA/LEPA/MDI</v>
          </cell>
          <cell r="U77" t="str">
            <v>Pump</v>
          </cell>
          <cell r="V77">
            <v>20.322241298358804</v>
          </cell>
          <cell r="W77">
            <v>10</v>
          </cell>
          <cell r="X77">
            <v>30.919396192661459</v>
          </cell>
          <cell r="Y77">
            <v>0</v>
          </cell>
          <cell r="Z77" t="str">
            <v>A-Irr-Irr-Irrigation-All-All-E</v>
          </cell>
        </row>
        <row r="78">
          <cell r="A78" t="str">
            <v>Upgrade from MESA to LESA/LEPA/MDI</v>
          </cell>
          <cell r="B78" t="str">
            <v>Montana</v>
          </cell>
          <cell r="C78" t="str">
            <v>Pivot and Linear</v>
          </cell>
          <cell r="D78" t="str">
            <v>Montana_Pivot and Linear</v>
          </cell>
          <cell r="E78">
            <v>0.30670103092783496</v>
          </cell>
          <cell r="F78">
            <v>5.7323685989142316E-2</v>
          </cell>
          <cell r="G78">
            <v>47.189554739381833</v>
          </cell>
          <cell r="H78">
            <v>23.91618124034553</v>
          </cell>
          <cell r="I78">
            <v>132.92405268831757</v>
          </cell>
          <cell r="J78">
            <v>0.60779639520399842</v>
          </cell>
          <cell r="K78">
            <v>1.6938131639822593E-2</v>
          </cell>
          <cell r="L78">
            <v>1.2635846203307655E-2</v>
          </cell>
          <cell r="M78">
            <v>1012.6338241264893</v>
          </cell>
          <cell r="N78">
            <v>12.795485261929612</v>
          </cell>
          <cell r="P78">
            <v>0.5928954960586168</v>
          </cell>
          <cell r="Q78">
            <v>1.9175519869929967E-2</v>
          </cell>
          <cell r="T78" t="str">
            <v>Montana_Pivot and Linear_Upgrade from MESA to LESA/LEPA/MDI</v>
          </cell>
          <cell r="U78" t="str">
            <v>Pump</v>
          </cell>
          <cell r="V78">
            <v>12.795485261929612</v>
          </cell>
          <cell r="W78">
            <v>10</v>
          </cell>
          <cell r="X78">
            <v>30.919396192661459</v>
          </cell>
          <cell r="Y78">
            <v>0</v>
          </cell>
          <cell r="Z78" t="str">
            <v>A-Irr-Irr-Irrigation-All-All-E</v>
          </cell>
        </row>
      </sheetData>
      <sheetData sheetId="9">
        <row r="4">
          <cell r="P4" t="str">
            <v>Gals/acre-in</v>
          </cell>
          <cell r="Q4">
            <v>27152.400000000005</v>
          </cell>
        </row>
        <row r="5">
          <cell r="A5" t="str">
            <v>Measure Description - Inputs</v>
          </cell>
          <cell r="C5" t="str">
            <v>$150 per HP</v>
          </cell>
        </row>
        <row r="6">
          <cell r="A6" t="str">
            <v>Category Name</v>
          </cell>
          <cell r="B6" t="str">
            <v>Measure</v>
          </cell>
          <cell r="C6" t="str">
            <v>Capital Cost (2016$)</v>
          </cell>
          <cell r="D6" t="str">
            <v>Measure Life</v>
          </cell>
          <cell r="E6" t="str">
            <v>Annual O&amp;M Cost</v>
          </cell>
          <cell r="F6" t="str">
            <v>Periodic  O&amp;M Cost</v>
          </cell>
          <cell r="G6" t="str">
            <v>Periodic  O&amp;M Schedule</v>
          </cell>
          <cell r="H6" t="str">
            <v>Water Diversion Region</v>
          </cell>
        </row>
        <row r="7">
          <cell r="A7" t="str">
            <v>Pivot and Linear_Pressure Reduction_High to Medium</v>
          </cell>
          <cell r="B7" t="str">
            <v>Pivot and Linear_Pressure Reduction_High to Medium - Idaho</v>
          </cell>
          <cell r="C7">
            <v>6692.1252406363901</v>
          </cell>
          <cell r="D7">
            <v>10</v>
          </cell>
          <cell r="E7">
            <v>0</v>
          </cell>
          <cell r="F7">
            <v>0</v>
          </cell>
          <cell r="H7" t="str">
            <v>UpSlm</v>
          </cell>
        </row>
        <row r="8">
          <cell r="A8" t="str">
            <v>Pivot and Linear_Pressure Reduction_Medium to Low</v>
          </cell>
          <cell r="B8" t="str">
            <v>Pivot and Linear_Pressure Reduction_Medium to Low - Idaho</v>
          </cell>
          <cell r="C8">
            <v>4907.1634207377729</v>
          </cell>
          <cell r="D8">
            <v>10</v>
          </cell>
          <cell r="E8">
            <v>0</v>
          </cell>
          <cell r="F8">
            <v>0</v>
          </cell>
          <cell r="H8" t="str">
            <v>UpSlm</v>
          </cell>
        </row>
        <row r="9">
          <cell r="A9" t="str">
            <v>Pivot and Linear_Pressure Reduction_Medium2 to Low</v>
          </cell>
          <cell r="B9" t="str">
            <v>Pivot and Linear_Pressure Reduction_Medium2 to Low - Idaho</v>
          </cell>
          <cell r="C9">
            <v>0.01</v>
          </cell>
          <cell r="D9">
            <v>10</v>
          </cell>
          <cell r="E9">
            <v>0</v>
          </cell>
          <cell r="F9">
            <v>0</v>
          </cell>
          <cell r="H9" t="str">
            <v>UpSlm</v>
          </cell>
        </row>
        <row r="10">
          <cell r="A10" t="str">
            <v>Wheel-Line_Conversion to Low Pressure System (Alfalfa)</v>
          </cell>
          <cell r="B10" t="str">
            <v>Wheel-Line_Conversion to Low Pressure System (Alfalfa) - Idaho</v>
          </cell>
          <cell r="C10">
            <v>12486.762270195579</v>
          </cell>
          <cell r="D10">
            <v>10</v>
          </cell>
          <cell r="E10">
            <v>799.61907263890714</v>
          </cell>
          <cell r="F10">
            <v>0</v>
          </cell>
          <cell r="H10" t="str">
            <v>UpSlm</v>
          </cell>
        </row>
        <row r="11">
          <cell r="A11" t="str">
            <v>Hand-Line_Conversion to Low Pressure System (Alfalfa)</v>
          </cell>
          <cell r="B11" t="str">
            <v>Hand-Line_Conversion to Low Pressure System (Alfalfa) - Idaho</v>
          </cell>
          <cell r="C11">
            <v>12486.762270195579</v>
          </cell>
          <cell r="D11">
            <v>10</v>
          </cell>
          <cell r="E11">
            <v>799.61907263890714</v>
          </cell>
          <cell r="F11">
            <v>0</v>
          </cell>
          <cell r="H11" t="str">
            <v>UpSlm</v>
          </cell>
          <cell r="M11">
            <v>0</v>
          </cell>
        </row>
        <row r="12">
          <cell r="A12" t="str">
            <v>Pivot and Linear_Pressure Reduction_High to Medium</v>
          </cell>
          <cell r="B12" t="str">
            <v>Pivot and Linear_Pressure Reduction_High to Medium - Montana</v>
          </cell>
          <cell r="C12">
            <v>3788.8464882128574</v>
          </cell>
          <cell r="D12">
            <v>10</v>
          </cell>
          <cell r="E12">
            <v>0</v>
          </cell>
          <cell r="F12">
            <v>0</v>
          </cell>
          <cell r="H12" t="str">
            <v>UPSnk</v>
          </cell>
        </row>
        <row r="13">
          <cell r="A13" t="str">
            <v>Pivot and Linear_Pressure Reduction_Medium to Low</v>
          </cell>
          <cell r="B13" t="str">
            <v>Pivot and Linear_Pressure Reduction_Medium to Low - Montana</v>
          </cell>
          <cell r="C13">
            <v>3170.2729641830897</v>
          </cell>
          <cell r="D13">
            <v>10</v>
          </cell>
          <cell r="E13">
            <v>0</v>
          </cell>
          <cell r="F13">
            <v>0</v>
          </cell>
          <cell r="H13" t="str">
            <v>UPSnk</v>
          </cell>
        </row>
        <row r="14">
          <cell r="A14" t="str">
            <v>Pivot and Linear_Pressure Reduction_Medium2 to Low</v>
          </cell>
          <cell r="B14" t="str">
            <v>Pivot and Linear_Pressure Reduction_Medium2 to Low - Montana</v>
          </cell>
          <cell r="C14">
            <v>0.01</v>
          </cell>
          <cell r="D14">
            <v>10</v>
          </cell>
          <cell r="E14">
            <v>0</v>
          </cell>
          <cell r="F14">
            <v>0</v>
          </cell>
          <cell r="H14" t="str">
            <v>UPSnk</v>
          </cell>
        </row>
        <row r="15">
          <cell r="A15" t="str">
            <v>Wheel-Line_Conversion to Low Pressure System (Alfalfa)</v>
          </cell>
          <cell r="B15" t="str">
            <v>Wheel-Line_Conversion to Low Pressure System (Alfalfa) - Montana</v>
          </cell>
          <cell r="C15">
            <v>7637.0711062942373</v>
          </cell>
          <cell r="D15">
            <v>10</v>
          </cell>
          <cell r="E15">
            <v>843.79720939991603</v>
          </cell>
          <cell r="F15">
            <v>0</v>
          </cell>
          <cell r="H15" t="str">
            <v>UPSnk</v>
          </cell>
        </row>
        <row r="16">
          <cell r="A16" t="str">
            <v>Hand-Line_Conversion to Low Pressure System (Alfalfa)</v>
          </cell>
          <cell r="B16" t="str">
            <v>Hand-Line_Conversion to Low Pressure System (Alfalfa) - Montana</v>
          </cell>
          <cell r="C16">
            <v>7637.0711062942373</v>
          </cell>
          <cell r="D16">
            <v>10</v>
          </cell>
          <cell r="E16">
            <v>843.79720939991603</v>
          </cell>
          <cell r="F16">
            <v>0</v>
          </cell>
          <cell r="H16" t="str">
            <v>UPSnk</v>
          </cell>
          <cell r="M16">
            <v>0</v>
          </cell>
        </row>
        <row r="17">
          <cell r="A17" t="str">
            <v>Pivot and Linear_Pressure Reduction_High to Medium</v>
          </cell>
          <cell r="B17" t="str">
            <v>Pivot and Linear_Pressure Reduction_High to Medium - Oregon</v>
          </cell>
          <cell r="C17">
            <v>2583.8897811894208</v>
          </cell>
          <cell r="D17">
            <v>10</v>
          </cell>
          <cell r="E17">
            <v>0</v>
          </cell>
          <cell r="F17">
            <v>0</v>
          </cell>
          <cell r="H17" t="str">
            <v>Desch</v>
          </cell>
        </row>
        <row r="18">
          <cell r="A18" t="str">
            <v>Pivot and Linear_Pressure Reduction_Medium to Low</v>
          </cell>
          <cell r="B18" t="str">
            <v>Pivot and Linear_Pressure Reduction_Medium to Low - Oregon</v>
          </cell>
          <cell r="C18">
            <v>1786.1236450932872</v>
          </cell>
          <cell r="D18">
            <v>10</v>
          </cell>
          <cell r="E18">
            <v>0</v>
          </cell>
          <cell r="F18">
            <v>0</v>
          </cell>
          <cell r="H18" t="str">
            <v>Desch</v>
          </cell>
        </row>
        <row r="19">
          <cell r="A19" t="str">
            <v>Pivot and Linear_Pressure Reduction_Medium2 to Low</v>
          </cell>
          <cell r="B19" t="str">
            <v>Pivot and Linear_Pressure Reduction_Medium2 to Low - Oregon</v>
          </cell>
          <cell r="C19">
            <v>0.01</v>
          </cell>
          <cell r="D19">
            <v>10</v>
          </cell>
          <cell r="E19">
            <v>0</v>
          </cell>
          <cell r="F19">
            <v>0</v>
          </cell>
          <cell r="H19" t="str">
            <v>Desch</v>
          </cell>
        </row>
        <row r="20">
          <cell r="A20" t="str">
            <v>Wheel-Line_Conversion to Low Pressure System (Alfalfa)</v>
          </cell>
          <cell r="B20" t="str">
            <v>Wheel-Line_Conversion to Low Pressure System (Alfalfa) - Oregon</v>
          </cell>
          <cell r="C20">
            <v>5083.2176867303997</v>
          </cell>
          <cell r="D20">
            <v>10</v>
          </cell>
          <cell r="E20">
            <v>408.77568493150687</v>
          </cell>
          <cell r="F20">
            <v>0</v>
          </cell>
          <cell r="H20" t="str">
            <v>Desch</v>
          </cell>
        </row>
        <row r="21">
          <cell r="A21" t="str">
            <v>Hand-Line_Conversion to Low Pressure System (Alfalfa)</v>
          </cell>
          <cell r="B21" t="str">
            <v>Hand-Line_Conversion to Low Pressure System (Alfalfa) - Oregon</v>
          </cell>
          <cell r="C21">
            <v>5083.2176867303997</v>
          </cell>
          <cell r="D21">
            <v>10</v>
          </cell>
          <cell r="E21">
            <v>408.77568493150687</v>
          </cell>
          <cell r="F21">
            <v>0</v>
          </cell>
          <cell r="H21" t="str">
            <v>Desch</v>
          </cell>
          <cell r="M21">
            <v>0</v>
          </cell>
        </row>
        <row r="22">
          <cell r="A22" t="str">
            <v>Pivot and Linear_Pressure Reduction_High to Medium</v>
          </cell>
          <cell r="B22" t="str">
            <v>Pivot and Linear_Pressure Reduction_High to Medium - Washington</v>
          </cell>
          <cell r="C22">
            <v>4038.1559941195956</v>
          </cell>
          <cell r="D22">
            <v>10</v>
          </cell>
          <cell r="E22">
            <v>0</v>
          </cell>
          <cell r="F22">
            <v>0</v>
          </cell>
          <cell r="H22" t="str">
            <v>WN</v>
          </cell>
        </row>
        <row r="23">
          <cell r="A23" t="str">
            <v>Pivot and Linear_Pressure Reduction_Medium to Low</v>
          </cell>
          <cell r="B23" t="str">
            <v>Pivot and Linear_Pressure Reduction_Medium to Low - Washington</v>
          </cell>
          <cell r="C23">
            <v>2859.5798065356566</v>
          </cell>
          <cell r="D23">
            <v>10</v>
          </cell>
          <cell r="E23">
            <v>0</v>
          </cell>
          <cell r="F23">
            <v>0</v>
          </cell>
          <cell r="H23" t="str">
            <v>WN</v>
          </cell>
        </row>
        <row r="24">
          <cell r="A24" t="str">
            <v>Pivot and Linear_Pressure Reduction_Medium2 to Low</v>
          </cell>
          <cell r="B24" t="str">
            <v>Pivot and Linear_Pressure Reduction_Medium2 to Low - Washington</v>
          </cell>
          <cell r="C24">
            <v>0.01</v>
          </cell>
          <cell r="D24">
            <v>10</v>
          </cell>
          <cell r="E24">
            <v>0</v>
          </cell>
          <cell r="F24">
            <v>0</v>
          </cell>
          <cell r="H24" t="str">
            <v>WN</v>
          </cell>
        </row>
        <row r="25">
          <cell r="A25" t="str">
            <v>Wheel-Line_Conversion to Low Pressure System (Alfalfa)</v>
          </cell>
          <cell r="B25" t="str">
            <v>Wheel-Line_Conversion to Low Pressure System (Alfalfa) - Washington</v>
          </cell>
          <cell r="C25">
            <v>7410.3649599968567</v>
          </cell>
          <cell r="D25">
            <v>10</v>
          </cell>
          <cell r="E25">
            <v>595.91723172169804</v>
          </cell>
          <cell r="F25">
            <v>0</v>
          </cell>
          <cell r="H25" t="str">
            <v>WN</v>
          </cell>
        </row>
        <row r="26">
          <cell r="A26" t="str">
            <v>Hand-Line_Conversion to Low Pressure System (Alfalfa)</v>
          </cell>
          <cell r="B26" t="str">
            <v>Hand-Line_Conversion to Low Pressure System (Alfalfa) - Washington</v>
          </cell>
          <cell r="C26">
            <v>7410.3649599968567</v>
          </cell>
          <cell r="D26">
            <v>10</v>
          </cell>
          <cell r="E26">
            <v>595.91723172169804</v>
          </cell>
          <cell r="F26">
            <v>0</v>
          </cell>
          <cell r="H26" t="str">
            <v>WN</v>
          </cell>
          <cell r="M26">
            <v>0</v>
          </cell>
        </row>
        <row r="27">
          <cell r="A27" t="str">
            <v>*Changed all measure names, added High to Medium measure to match to 3 RTF upgrade UES measures: HP to LP, HP to MP, and MP to LP.</v>
          </cell>
          <cell r="C27" t="str">
            <v>Recommend revisiting costs. For now, these are calculated with $150/HP</v>
          </cell>
        </row>
        <row r="29">
          <cell r="A29" t="str">
            <v>Pre-Retrofit System - Inputs</v>
          </cell>
          <cell r="C29" t="str">
            <v>c</v>
          </cell>
          <cell r="D29" t="str">
            <v>d</v>
          </cell>
          <cell r="E29" t="str">
            <v>e</v>
          </cell>
          <cell r="F29" t="str">
            <v>f</v>
          </cell>
          <cell r="G29" t="str">
            <v>g</v>
          </cell>
          <cell r="H29" t="str">
            <v>h</v>
          </cell>
          <cell r="I29" t="str">
            <v>I</v>
          </cell>
          <cell r="J29" t="str">
            <v>j</v>
          </cell>
          <cell r="K29" t="str">
            <v>k</v>
          </cell>
          <cell r="L29" t="str">
            <v>l</v>
          </cell>
          <cell r="M29" t="str">
            <v>m</v>
          </cell>
          <cell r="N29" t="str">
            <v>n</v>
          </cell>
          <cell r="O29" t="str">
            <v>o</v>
          </cell>
          <cell r="P29" t="str">
            <v>p</v>
          </cell>
          <cell r="Q29" t="str">
            <v>q</v>
          </cell>
          <cell r="R29" t="str">
            <v>r</v>
          </cell>
          <cell r="S29" t="str">
            <v>s</v>
          </cell>
          <cell r="T29" t="str">
            <v>t</v>
          </cell>
          <cell r="U29" t="str">
            <v>u</v>
          </cell>
          <cell r="V29" t="str">
            <v>v</v>
          </cell>
          <cell r="W29" t="str">
            <v>w</v>
          </cell>
          <cell r="X29" t="str">
            <v>x</v>
          </cell>
          <cell r="Y29" t="str">
            <v>y</v>
          </cell>
        </row>
        <row r="30">
          <cell r="A30" t="str">
            <v>Category Name</v>
          </cell>
          <cell r="B30" t="str">
            <v>Measure</v>
          </cell>
          <cell r="C30" t="str">
            <v>Base Case Field Size (Acres/pump)</v>
          </cell>
          <cell r="D30" t="str">
            <v>Base Case Pumping Lift (ft)</v>
          </cell>
          <cell r="E30" t="str">
            <v>Base Case Elevation Change (ft)</v>
          </cell>
          <cell r="F30" t="str">
            <v>Base Case Average Discharge Rate (GPM)</v>
          </cell>
          <cell r="G30" t="str">
            <v>Base Case Friction Loss (ft)</v>
          </cell>
          <cell r="H30" t="str">
            <v>Base Case Mainline Friction Adjustment (ft)</v>
          </cell>
          <cell r="I30" t="str">
            <v>Base Case System Pressure (PSI)</v>
          </cell>
          <cell r="J30" t="str">
            <v>Base Case Total Dynamic Head (ft)</v>
          </cell>
          <cell r="K30" t="str">
            <v>Base Case Water Horsepower (WHP)</v>
          </cell>
          <cell r="L30" t="str">
            <v>Base Case Annual Watering Depth (inches)</v>
          </cell>
          <cell r="M30" t="str">
            <v>Base Case System Leakage (%)</v>
          </cell>
          <cell r="N30" t="str">
            <v>Base Case Annual Water Use w/Leakage (inches)</v>
          </cell>
          <cell r="O30" t="str">
            <v>Base Case Pump Efficiency</v>
          </cell>
          <cell r="P30" t="str">
            <v>Base Case Brake Horsepower</v>
          </cell>
          <cell r="Q30" t="str">
            <v>Base Case Nameplate Horsepower</v>
          </cell>
          <cell r="R30" t="str">
            <v>Base Case Hours of Pumping</v>
          </cell>
          <cell r="S30" t="str">
            <v>Base Case Hourly Electricity Use (kW)</v>
          </cell>
          <cell r="T30" t="str">
            <v>Base Case Annual Electricity Use (kWh)</v>
          </cell>
          <cell r="U30" t="str">
            <v>Base Case Water Use (Acre-ft/yr)</v>
          </cell>
          <cell r="V30" t="str">
            <v>Base Case Water Use  (Acre-ft/acre/yr)</v>
          </cell>
          <cell r="W30" t="str">
            <v>Base Case Annual Electricity Use (kWh/acre-ft/yr)</v>
          </cell>
          <cell r="X30" t="str">
            <v>Calibration Value (kWh/acre-ft/yr)</v>
          </cell>
          <cell r="Y30" t="str">
            <v>Base Case Use (kWh/Acre)</v>
          </cell>
        </row>
        <row r="31">
          <cell r="A31" t="str">
            <v>Pivot and Linear_Pressure Reduction_High to Medium</v>
          </cell>
          <cell r="B31" t="str">
            <v>Pivot and Linear_Pressure Reduction_High to Medium - Idaho</v>
          </cell>
          <cell r="C31">
            <v>106.61587635185428</v>
          </cell>
          <cell r="D31">
            <v>102.09</v>
          </cell>
          <cell r="E31">
            <v>5</v>
          </cell>
          <cell r="F31">
            <v>350.52405624022765</v>
          </cell>
          <cell r="G31">
            <v>10</v>
          </cell>
          <cell r="H31">
            <v>5</v>
          </cell>
          <cell r="I31">
            <v>66.501688888888893</v>
          </cell>
          <cell r="J31">
            <v>275.70890133333336</v>
          </cell>
          <cell r="K31">
            <v>24.404697585074928</v>
          </cell>
          <cell r="L31">
            <v>22.799999999999997</v>
          </cell>
          <cell r="M31">
            <v>0</v>
          </cell>
          <cell r="N31">
            <v>22.799999999999997</v>
          </cell>
          <cell r="O31">
            <v>0.60779639520399842</v>
          </cell>
          <cell r="P31">
            <v>40.152751443818339</v>
          </cell>
          <cell r="Q31">
            <v>44.614168270909268</v>
          </cell>
          <cell r="R31">
            <v>3138.726318304824</v>
          </cell>
          <cell r="S31">
            <v>33.282169530098315</v>
          </cell>
          <cell r="T31">
            <v>104463.62143440248</v>
          </cell>
          <cell r="U31">
            <v>202.57016506852315</v>
          </cell>
          <cell r="V31">
            <v>1.9000000000000001</v>
          </cell>
          <cell r="W31">
            <v>515.6910515379484</v>
          </cell>
          <cell r="Y31">
            <v>979.81299792210189</v>
          </cell>
        </row>
        <row r="32">
          <cell r="A32" t="str">
            <v>Pivot and Linear_Pressure Reduction_Medium to Low</v>
          </cell>
          <cell r="B32" t="str">
            <v>Pivot and Linear_Pressure Reduction_Medium to Low - Idaho</v>
          </cell>
          <cell r="C32">
            <v>106.61587635185428</v>
          </cell>
          <cell r="D32">
            <v>102.09</v>
          </cell>
          <cell r="E32">
            <v>5</v>
          </cell>
          <cell r="F32">
            <v>330.39086302466239</v>
          </cell>
          <cell r="G32">
            <v>10</v>
          </cell>
          <cell r="H32">
            <v>5</v>
          </cell>
          <cell r="I32">
            <v>40</v>
          </cell>
          <cell r="J32">
            <v>214.49</v>
          </cell>
          <cell r="K32">
            <v>17.895337426808041</v>
          </cell>
          <cell r="L32">
            <v>22.799999999999997</v>
          </cell>
          <cell r="M32">
            <v>0</v>
          </cell>
          <cell r="N32">
            <v>22.799999999999997</v>
          </cell>
          <cell r="O32">
            <v>0.60779639520399842</v>
          </cell>
          <cell r="P32">
            <v>29.442980524426638</v>
          </cell>
          <cell r="Q32">
            <v>32.714422804918485</v>
          </cell>
          <cell r="R32">
            <v>3329.992453326523</v>
          </cell>
          <cell r="S32">
            <v>24.404959412469189</v>
          </cell>
          <cell r="T32">
            <v>81268.330667262489</v>
          </cell>
          <cell r="U32">
            <v>202.57016506852315</v>
          </cell>
          <cell r="V32">
            <v>1.9000000000000001</v>
          </cell>
          <cell r="W32">
            <v>401.18608107848434</v>
          </cell>
          <cell r="Y32">
            <v>762.25355404912034</v>
          </cell>
        </row>
        <row r="33">
          <cell r="A33" t="str">
            <v>Pivot and Linear_Pressure Reduction_Medium2 to Low</v>
          </cell>
          <cell r="B33" t="str">
            <v>Pivot and Linear_Pressure Reduction_Medium2 to Low - Idaho</v>
          </cell>
          <cell r="C33">
            <v>106.61587635185428</v>
          </cell>
          <cell r="D33">
            <v>102.09</v>
          </cell>
          <cell r="E33">
            <v>5</v>
          </cell>
          <cell r="F33">
            <v>330.39086302466239</v>
          </cell>
          <cell r="G33">
            <v>10</v>
          </cell>
          <cell r="H33">
            <v>5</v>
          </cell>
          <cell r="I33">
            <v>40</v>
          </cell>
          <cell r="J33">
            <v>214.49</v>
          </cell>
          <cell r="K33">
            <v>17.895337426808041</v>
          </cell>
          <cell r="L33">
            <v>22.799999999999997</v>
          </cell>
          <cell r="M33">
            <v>0</v>
          </cell>
          <cell r="N33">
            <v>22.799999999999997</v>
          </cell>
          <cell r="O33">
            <v>0.60779639520399842</v>
          </cell>
          <cell r="P33">
            <v>29.442980524426638</v>
          </cell>
          <cell r="Q33">
            <v>32.714422804918485</v>
          </cell>
          <cell r="R33">
            <v>3329.992453326523</v>
          </cell>
          <cell r="S33">
            <v>24.404959412469189</v>
          </cell>
          <cell r="T33">
            <v>81268.330667262489</v>
          </cell>
          <cell r="U33">
            <v>202.57016506852315</v>
          </cell>
          <cell r="V33">
            <v>1.9000000000000001</v>
          </cell>
          <cell r="W33">
            <v>401.18608107848434</v>
          </cell>
          <cell r="Y33">
            <v>762.25355404912034</v>
          </cell>
        </row>
        <row r="34">
          <cell r="A34" t="str">
            <v>Wheel-Line_Conversion to Low Pressure System (Alfalfa)</v>
          </cell>
          <cell r="B34" t="str">
            <v>Wheel-Line_Conversion to Low Pressure System (Alfalfa) - Idaho</v>
          </cell>
          <cell r="C34">
            <v>106.61587635185428</v>
          </cell>
          <cell r="D34">
            <v>100.42000000000002</v>
          </cell>
          <cell r="E34">
            <v>5</v>
          </cell>
          <cell r="F34">
            <v>706.5414632926944</v>
          </cell>
          <cell r="G34">
            <v>5</v>
          </cell>
          <cell r="H34">
            <v>5</v>
          </cell>
          <cell r="I34">
            <v>60.52</v>
          </cell>
          <cell r="J34">
            <v>255.22120000000004</v>
          </cell>
          <cell r="K34">
            <v>45.53645457356501</v>
          </cell>
          <cell r="L34">
            <v>21.6</v>
          </cell>
          <cell r="M34">
            <v>0</v>
          </cell>
          <cell r="N34">
            <v>21.6</v>
          </cell>
          <cell r="O34">
            <v>0.60779639520399842</v>
          </cell>
          <cell r="P34">
            <v>74.920573621173475</v>
          </cell>
          <cell r="Q34">
            <v>83.245081801303854</v>
          </cell>
          <cell r="R34">
            <v>1475.2055185813767</v>
          </cell>
          <cell r="S34">
            <v>62.100831023772677</v>
          </cell>
          <cell r="T34">
            <v>91611.488634759022</v>
          </cell>
          <cell r="U34">
            <v>191.90857743333774</v>
          </cell>
          <cell r="V34">
            <v>1.8000000000000003</v>
          </cell>
          <cell r="W34">
            <v>477.37047431650944</v>
          </cell>
          <cell r="Y34">
            <v>859.26685376971716</v>
          </cell>
        </row>
        <row r="35">
          <cell r="A35" t="str">
            <v>Hand-Line_Conversion to Low Pressure System (Alfalfa)</v>
          </cell>
          <cell r="B35" t="str">
            <v>Hand-Line_Conversion to Low Pressure System (Alfalfa) - Idaho</v>
          </cell>
          <cell r="C35">
            <v>106.61587635185428</v>
          </cell>
          <cell r="D35">
            <v>100.42000000000002</v>
          </cell>
          <cell r="E35">
            <v>5</v>
          </cell>
          <cell r="F35">
            <v>706.5414632926944</v>
          </cell>
          <cell r="G35">
            <v>5</v>
          </cell>
          <cell r="H35">
            <v>5</v>
          </cell>
          <cell r="I35">
            <v>60.52</v>
          </cell>
          <cell r="J35">
            <v>255.22120000000004</v>
          </cell>
          <cell r="K35">
            <v>45.53645457356501</v>
          </cell>
          <cell r="L35">
            <v>21.6</v>
          </cell>
          <cell r="M35">
            <v>0</v>
          </cell>
          <cell r="N35">
            <v>21.6</v>
          </cell>
          <cell r="O35">
            <v>0.60779639520399842</v>
          </cell>
          <cell r="P35">
            <v>74.920573621173475</v>
          </cell>
          <cell r="Q35">
            <v>83.245081801303854</v>
          </cell>
          <cell r="R35">
            <v>1475.2055185813767</v>
          </cell>
          <cell r="S35">
            <v>62.100831023772677</v>
          </cell>
          <cell r="T35">
            <v>91611.488634759022</v>
          </cell>
          <cell r="U35">
            <v>191.90857743333774</v>
          </cell>
          <cell r="V35">
            <v>1.8000000000000003</v>
          </cell>
          <cell r="W35">
            <v>477.37047431650944</v>
          </cell>
          <cell r="Y35">
            <v>859.26685376971716</v>
          </cell>
        </row>
        <row r="36">
          <cell r="A36" t="str">
            <v>Pivot and Linear_Pressure Reduction_High to Medium</v>
          </cell>
          <cell r="B36" t="str">
            <v>Pivot and Linear_Pressure Reduction_High to Medium - Montana</v>
          </cell>
          <cell r="C36">
            <v>112.50629458665547</v>
          </cell>
          <cell r="D36">
            <v>23.91618124034553</v>
          </cell>
          <cell r="E36">
            <v>5</v>
          </cell>
          <cell r="F36">
            <v>369.89015220327042</v>
          </cell>
          <cell r="G36">
            <v>5</v>
          </cell>
          <cell r="H36">
            <v>5</v>
          </cell>
          <cell r="I36">
            <v>47.189554739381833</v>
          </cell>
          <cell r="J36">
            <v>147.92405268831757</v>
          </cell>
          <cell r="K36">
            <v>13.81708342510262</v>
          </cell>
          <cell r="L36">
            <v>13.200000000000001</v>
          </cell>
          <cell r="M36">
            <v>0</v>
          </cell>
          <cell r="N36">
            <v>13.200000000000001</v>
          </cell>
          <cell r="O36">
            <v>0.60779639520399842</v>
          </cell>
          <cell r="P36">
            <v>22.733078929277145</v>
          </cell>
          <cell r="Q36">
            <v>25.258976588085716</v>
          </cell>
          <cell r="R36">
            <v>1817.1573421764776</v>
          </cell>
          <cell r="S36">
            <v>18.843196534711943</v>
          </cell>
          <cell r="T36">
            <v>34241.052933126171</v>
          </cell>
          <cell r="U36">
            <v>123.75692404532104</v>
          </cell>
          <cell r="V36">
            <v>1.1000000000000003</v>
          </cell>
          <cell r="W36">
            <v>276.67989647663472</v>
          </cell>
          <cell r="Y36">
            <v>304.34788612429827</v>
          </cell>
        </row>
        <row r="37">
          <cell r="A37" t="str">
            <v>Pivot and Linear_Pressure Reduction_Medium to Low</v>
          </cell>
          <cell r="B37" t="str">
            <v>Pivot and Linear_Pressure Reduction_Medium to Low - Montana</v>
          </cell>
          <cell r="C37">
            <v>112.50629458665547</v>
          </cell>
          <cell r="D37">
            <v>23.91618124034553</v>
          </cell>
          <cell r="E37">
            <v>5</v>
          </cell>
          <cell r="F37">
            <v>348.64462063342143</v>
          </cell>
          <cell r="G37">
            <v>5</v>
          </cell>
          <cell r="H37">
            <v>5</v>
          </cell>
          <cell r="I37">
            <v>40</v>
          </cell>
          <cell r="J37">
            <v>131.31618124034554</v>
          </cell>
          <cell r="K37">
            <v>11.56128287665906</v>
          </cell>
          <cell r="L37">
            <v>13.200000000000001</v>
          </cell>
          <cell r="M37">
            <v>0</v>
          </cell>
          <cell r="N37">
            <v>13.200000000000001</v>
          </cell>
          <cell r="O37">
            <v>0.60779639520399842</v>
          </cell>
          <cell r="P37">
            <v>19.021637785098537</v>
          </cell>
          <cell r="Q37">
            <v>21.135153094553932</v>
          </cell>
          <cell r="R37">
            <v>1927.890367715356</v>
          </cell>
          <cell r="S37">
            <v>15.766824208537233</v>
          </cell>
          <cell r="T37">
            <v>30396.708521100223</v>
          </cell>
          <cell r="U37">
            <v>123.75692404532104</v>
          </cell>
          <cell r="V37">
            <v>1.1000000000000003</v>
          </cell>
          <cell r="W37">
            <v>245.61622515737898</v>
          </cell>
          <cell r="Y37">
            <v>270.17784767311696</v>
          </cell>
        </row>
        <row r="38">
          <cell r="A38" t="str">
            <v>Pivot and Linear_Pressure Reduction_Medium2 to Low</v>
          </cell>
          <cell r="B38" t="str">
            <v>Pivot and Linear_Pressure Reduction_Medium2 to Low - Montana</v>
          </cell>
          <cell r="C38">
            <v>112.50629458665547</v>
          </cell>
          <cell r="D38">
            <v>23.91618124034553</v>
          </cell>
          <cell r="E38">
            <v>5</v>
          </cell>
          <cell r="F38">
            <v>348.64462063342143</v>
          </cell>
          <cell r="G38">
            <v>5</v>
          </cell>
          <cell r="H38">
            <v>5</v>
          </cell>
          <cell r="I38">
            <v>40</v>
          </cell>
          <cell r="J38">
            <v>131.31618124034554</v>
          </cell>
          <cell r="K38">
            <v>11.56128287665906</v>
          </cell>
          <cell r="L38">
            <v>13.200000000000001</v>
          </cell>
          <cell r="M38">
            <v>0</v>
          </cell>
          <cell r="N38">
            <v>13.200000000000001</v>
          </cell>
          <cell r="O38">
            <v>0.60779639520399842</v>
          </cell>
          <cell r="P38">
            <v>19.021637785098537</v>
          </cell>
          <cell r="Q38">
            <v>21.135153094553932</v>
          </cell>
          <cell r="R38">
            <v>1927.890367715356</v>
          </cell>
          <cell r="S38">
            <v>15.766824208537233</v>
          </cell>
          <cell r="T38">
            <v>30396.708521100223</v>
          </cell>
          <cell r="U38">
            <v>123.75692404532104</v>
          </cell>
          <cell r="V38">
            <v>1.1000000000000003</v>
          </cell>
          <cell r="W38">
            <v>245.61622515737898</v>
          </cell>
          <cell r="Y38">
            <v>270.17784767311696</v>
          </cell>
        </row>
        <row r="39">
          <cell r="A39" t="str">
            <v>Wheel-Line_Conversion to Low Pressure System (Alfalfa)</v>
          </cell>
          <cell r="B39" t="str">
            <v>Wheel-Line_Conversion to Low Pressure System (Alfalfa) - Montana</v>
          </cell>
          <cell r="C39">
            <v>112.50629458665547</v>
          </cell>
          <cell r="D39">
            <v>23.91618124034553</v>
          </cell>
          <cell r="E39">
            <v>5</v>
          </cell>
          <cell r="F39">
            <v>745.57715723838339</v>
          </cell>
          <cell r="G39">
            <v>5</v>
          </cell>
          <cell r="H39">
            <v>5</v>
          </cell>
          <cell r="I39">
            <v>47.189554739381833</v>
          </cell>
          <cell r="J39">
            <v>147.92405268831757</v>
          </cell>
          <cell r="K39">
            <v>27.850705729933498</v>
          </cell>
          <cell r="L39">
            <v>15.600000000000001</v>
          </cell>
          <cell r="M39">
            <v>0</v>
          </cell>
          <cell r="N39">
            <v>15.600000000000001</v>
          </cell>
          <cell r="O39">
            <v>0.60779639520399842</v>
          </cell>
          <cell r="P39">
            <v>45.822426637765425</v>
          </cell>
          <cell r="Q39">
            <v>50.913807375294915</v>
          </cell>
          <cell r="R39">
            <v>1065.4262078643274</v>
          </cell>
          <cell r="S39">
            <v>37.981700301970008</v>
          </cell>
          <cell r="T39">
            <v>40466.698920967283</v>
          </cell>
          <cell r="U39">
            <v>146.25818296265214</v>
          </cell>
          <cell r="V39">
            <v>1.3000000000000003</v>
          </cell>
          <cell r="W39">
            <v>276.67989647663467</v>
          </cell>
          <cell r="Y39">
            <v>359.68386541962508</v>
          </cell>
        </row>
        <row r="40">
          <cell r="A40" t="str">
            <v>Hand-Line_Conversion to Low Pressure System (Alfalfa)</v>
          </cell>
          <cell r="B40" t="str">
            <v>Hand-Line_Conversion to Low Pressure System (Alfalfa) - Montana</v>
          </cell>
          <cell r="C40">
            <v>112.50629458665547</v>
          </cell>
          <cell r="D40">
            <v>23.91618124034553</v>
          </cell>
          <cell r="E40">
            <v>5</v>
          </cell>
          <cell r="F40">
            <v>745.57715723838339</v>
          </cell>
          <cell r="G40">
            <v>5</v>
          </cell>
          <cell r="H40">
            <v>5</v>
          </cell>
          <cell r="I40">
            <v>47.189554739381833</v>
          </cell>
          <cell r="J40">
            <v>147.92405268831757</v>
          </cell>
          <cell r="K40">
            <v>27.850705729933498</v>
          </cell>
          <cell r="L40">
            <v>15.600000000000001</v>
          </cell>
          <cell r="M40">
            <v>0</v>
          </cell>
          <cell r="N40">
            <v>15.600000000000001</v>
          </cell>
          <cell r="O40">
            <v>0.60779639520399842</v>
          </cell>
          <cell r="P40">
            <v>45.822426637765425</v>
          </cell>
          <cell r="Q40">
            <v>50.913807375294915</v>
          </cell>
          <cell r="R40">
            <v>1065.4262078643274</v>
          </cell>
          <cell r="S40">
            <v>37.981700301970008</v>
          </cell>
          <cell r="T40">
            <v>40466.698920967283</v>
          </cell>
          <cell r="U40">
            <v>146.25818296265214</v>
          </cell>
          <cell r="V40">
            <v>1.3000000000000003</v>
          </cell>
          <cell r="W40">
            <v>276.67989647663467</v>
          </cell>
          <cell r="Y40">
            <v>359.68386541962508</v>
          </cell>
        </row>
        <row r="41">
          <cell r="A41" t="str">
            <v>Pivot and Linear_Pressure Reduction_High to Medium</v>
          </cell>
          <cell r="B41" t="str">
            <v>Pivot and Linear_Pressure Reduction_High to Medium - Oregon</v>
          </cell>
          <cell r="C41">
            <v>54.503424657534246</v>
          </cell>
          <cell r="D41">
            <v>40.316561544793466</v>
          </cell>
          <cell r="E41">
            <v>5</v>
          </cell>
          <cell r="F41">
            <v>179.19246310833583</v>
          </cell>
          <cell r="G41">
            <v>10</v>
          </cell>
          <cell r="H41">
            <v>5</v>
          </cell>
          <cell r="I41">
            <v>64.035009300867074</v>
          </cell>
          <cell r="J41">
            <v>208.23743302979642</v>
          </cell>
          <cell r="K41">
            <v>9.4228733676682701</v>
          </cell>
          <cell r="L41">
            <v>20.399999999999999</v>
          </cell>
          <cell r="M41">
            <v>0</v>
          </cell>
          <cell r="N41">
            <v>20.399999999999999</v>
          </cell>
          <cell r="O41">
            <v>0.60779639520399842</v>
          </cell>
          <cell r="P41">
            <v>15.503338687136527</v>
          </cell>
          <cell r="Q41">
            <v>17.225931874596139</v>
          </cell>
          <cell r="R41">
            <v>2808.3340742727373</v>
          </cell>
          <cell r="S41">
            <v>12.850545178448719</v>
          </cell>
          <cell r="T41">
            <v>36088.623897618774</v>
          </cell>
          <cell r="U41">
            <v>92.655821917808211</v>
          </cell>
          <cell r="V41">
            <v>1.7</v>
          </cell>
          <cell r="W41">
            <v>389.49116364896906</v>
          </cell>
          <cell r="Y41">
            <v>662.13497820324733</v>
          </cell>
        </row>
        <row r="42">
          <cell r="A42" t="str">
            <v>Pivot and Linear_Pressure Reduction_Medium to Low</v>
          </cell>
          <cell r="B42" t="str">
            <v>Pivot and Linear_Pressure Reduction_Medium to Low - Oregon</v>
          </cell>
          <cell r="C42">
            <v>54.503424657534246</v>
          </cell>
          <cell r="D42">
            <v>40.316561544793466</v>
          </cell>
          <cell r="E42">
            <v>5</v>
          </cell>
          <cell r="F42">
            <v>168.90011250270246</v>
          </cell>
          <cell r="G42">
            <v>10</v>
          </cell>
          <cell r="H42">
            <v>5</v>
          </cell>
          <cell r="I42">
            <v>40</v>
          </cell>
          <cell r="J42">
            <v>152.71656154479348</v>
          </cell>
          <cell r="K42">
            <v>6.5135970772579546</v>
          </cell>
          <cell r="L42">
            <v>20.399999999999999</v>
          </cell>
          <cell r="M42">
            <v>0</v>
          </cell>
          <cell r="N42">
            <v>20.399999999999999</v>
          </cell>
          <cell r="O42">
            <v>0.60779639520399842</v>
          </cell>
          <cell r="P42">
            <v>10.716741870559723</v>
          </cell>
          <cell r="Q42">
            <v>11.907490967288581</v>
          </cell>
          <cell r="R42">
            <v>2979.4669319237314</v>
          </cell>
          <cell r="S42">
            <v>8.8829882615972817</v>
          </cell>
          <cell r="T42">
            <v>26466.569782095772</v>
          </cell>
          <cell r="U42">
            <v>92.655821917808211</v>
          </cell>
          <cell r="V42">
            <v>1.7</v>
          </cell>
          <cell r="W42">
            <v>285.64389408334597</v>
          </cell>
          <cell r="Y42">
            <v>485.59461994168805</v>
          </cell>
        </row>
        <row r="43">
          <cell r="A43" t="str">
            <v>Pivot and Linear_Pressure Reduction_Medium2 to Low</v>
          </cell>
          <cell r="B43" t="str">
            <v>Pivot and Linear_Pressure Reduction_Medium2 to Low - Oregon</v>
          </cell>
          <cell r="C43">
            <v>54.503424657534246</v>
          </cell>
          <cell r="D43">
            <v>40.316561544793466</v>
          </cell>
          <cell r="E43">
            <v>5</v>
          </cell>
          <cell r="F43">
            <v>168.90011250270246</v>
          </cell>
          <cell r="G43">
            <v>10</v>
          </cell>
          <cell r="H43">
            <v>5</v>
          </cell>
          <cell r="I43">
            <v>40</v>
          </cell>
          <cell r="J43">
            <v>152.71656154479348</v>
          </cell>
          <cell r="K43">
            <v>6.5135970772579546</v>
          </cell>
          <cell r="L43">
            <v>20.399999999999999</v>
          </cell>
          <cell r="M43">
            <v>0</v>
          </cell>
          <cell r="N43">
            <v>20.399999999999999</v>
          </cell>
          <cell r="O43">
            <v>0.60779639520399842</v>
          </cell>
          <cell r="P43">
            <v>10.716741870559723</v>
          </cell>
          <cell r="Q43">
            <v>11.907490967288581</v>
          </cell>
          <cell r="R43">
            <v>2979.4669319237314</v>
          </cell>
          <cell r="S43">
            <v>8.8829882615972817</v>
          </cell>
          <cell r="T43">
            <v>26466.569782095772</v>
          </cell>
          <cell r="U43">
            <v>92.655821917808211</v>
          </cell>
          <cell r="V43">
            <v>1.7</v>
          </cell>
          <cell r="W43">
            <v>285.64389408334597</v>
          </cell>
          <cell r="Y43">
            <v>485.59461994168805</v>
          </cell>
        </row>
        <row r="44">
          <cell r="A44" t="str">
            <v>Wheel-Line_Conversion to Low Pressure System (Alfalfa)</v>
          </cell>
          <cell r="B44" t="str">
            <v>Wheel-Line_Conversion to Low Pressure System (Alfalfa) - Oregon</v>
          </cell>
          <cell r="C44">
            <v>54.503424657534246</v>
          </cell>
          <cell r="D44">
            <v>40.316561544793466</v>
          </cell>
          <cell r="E44">
            <v>5</v>
          </cell>
          <cell r="F44">
            <v>361.19319870250843</v>
          </cell>
          <cell r="G44">
            <v>5</v>
          </cell>
          <cell r="H44">
            <v>5</v>
          </cell>
          <cell r="I44">
            <v>64.035009300867074</v>
          </cell>
          <cell r="J44">
            <v>203.23743302979642</v>
          </cell>
          <cell r="K44">
            <v>18.537368316191671</v>
          </cell>
          <cell r="L44">
            <v>27.599999999999998</v>
          </cell>
          <cell r="M44">
            <v>0</v>
          </cell>
          <cell r="N44">
            <v>27.599999999999998</v>
          </cell>
          <cell r="O44">
            <v>0.60779639520399842</v>
          </cell>
          <cell r="P44">
            <v>30.499306120382403</v>
          </cell>
          <cell r="Q44">
            <v>33.888117911536</v>
          </cell>
          <cell r="R44">
            <v>1884.984829298425</v>
          </cell>
          <cell r="S44">
            <v>25.280535962005857</v>
          </cell>
          <cell r="T44">
            <v>47653.4267649143</v>
          </cell>
          <cell r="U44">
            <v>125.35787671232875</v>
          </cell>
          <cell r="V44">
            <v>2.2999999999999998</v>
          </cell>
          <cell r="W44">
            <v>380.13907075236591</v>
          </cell>
          <cell r="Y44">
            <v>874.3198627304414</v>
          </cell>
        </row>
        <row r="45">
          <cell r="A45" t="str">
            <v>Hand-Line_Conversion to Low Pressure System (Alfalfa)</v>
          </cell>
          <cell r="B45" t="str">
            <v>Hand-Line_Conversion to Low Pressure System (Alfalfa) - Oregon</v>
          </cell>
          <cell r="C45">
            <v>54.503424657534246</v>
          </cell>
          <cell r="D45">
            <v>40.316561544793466</v>
          </cell>
          <cell r="E45">
            <v>5</v>
          </cell>
          <cell r="F45">
            <v>361.19319870250843</v>
          </cell>
          <cell r="G45">
            <v>5</v>
          </cell>
          <cell r="H45">
            <v>5</v>
          </cell>
          <cell r="I45">
            <v>64.035009300867074</v>
          </cell>
          <cell r="J45">
            <v>203.23743302979642</v>
          </cell>
          <cell r="K45">
            <v>18.537368316191671</v>
          </cell>
          <cell r="L45">
            <v>27.599999999999998</v>
          </cell>
          <cell r="M45">
            <v>0</v>
          </cell>
          <cell r="N45">
            <v>27.599999999999998</v>
          </cell>
          <cell r="O45">
            <v>0.60779639520399842</v>
          </cell>
          <cell r="P45">
            <v>30.499306120382403</v>
          </cell>
          <cell r="Q45">
            <v>33.888117911536</v>
          </cell>
          <cell r="R45">
            <v>1884.984829298425</v>
          </cell>
          <cell r="S45">
            <v>25.280535962005857</v>
          </cell>
          <cell r="T45">
            <v>47653.4267649143</v>
          </cell>
          <cell r="U45">
            <v>125.35787671232875</v>
          </cell>
          <cell r="V45">
            <v>2.2999999999999998</v>
          </cell>
          <cell r="W45">
            <v>380.13907075236591</v>
          </cell>
          <cell r="Y45">
            <v>874.3198627304414</v>
          </cell>
        </row>
        <row r="46">
          <cell r="A46" t="str">
            <v>Pivot and Linear_Pressure Reduction_High to Medium</v>
          </cell>
          <cell r="B46" t="str">
            <v>Pivot and Linear_Pressure Reduction_High to Medium - Washington</v>
          </cell>
          <cell r="C46">
            <v>79.45563089622641</v>
          </cell>
          <cell r="D46">
            <v>40.316561544793466</v>
          </cell>
          <cell r="E46">
            <v>5</v>
          </cell>
          <cell r="F46">
            <v>261.22854293254835</v>
          </cell>
          <cell r="G46">
            <v>15</v>
          </cell>
          <cell r="H46">
            <v>15</v>
          </cell>
          <cell r="I46">
            <v>64.035009300867074</v>
          </cell>
          <cell r="J46">
            <v>223.23743302979642</v>
          </cell>
          <cell r="K46">
            <v>14.726259938983855</v>
          </cell>
          <cell r="L46">
            <v>26.400000000000002</v>
          </cell>
          <cell r="M46">
            <v>0</v>
          </cell>
          <cell r="N46">
            <v>26.400000000000002</v>
          </cell>
          <cell r="O46">
            <v>0.60779639520399842</v>
          </cell>
          <cell r="P46">
            <v>24.228935964717575</v>
          </cell>
          <cell r="Q46">
            <v>26.921039960797305</v>
          </cell>
          <cell r="R46">
            <v>3634.3146843529553</v>
          </cell>
          <cell r="S46">
            <v>20.083095810754788</v>
          </cell>
          <cell r="T46">
            <v>72988.290012293452</v>
          </cell>
          <cell r="U46">
            <v>174.80238797169815</v>
          </cell>
          <cell r="V46">
            <v>2.2000000000000006</v>
          </cell>
          <cell r="W46">
            <v>417.54744233877864</v>
          </cell>
          <cell r="Y46">
            <v>918.60437314531328</v>
          </cell>
        </row>
        <row r="47">
          <cell r="A47" t="str">
            <v>Pivot and Linear_Pressure Reduction_Medium to Low</v>
          </cell>
          <cell r="B47" t="str">
            <v>Pivot and Linear_Pressure Reduction_Medium to Low - Washington</v>
          </cell>
          <cell r="C47">
            <v>79.45563089622641</v>
          </cell>
          <cell r="D47">
            <v>40.316561544793466</v>
          </cell>
          <cell r="E47">
            <v>5</v>
          </cell>
          <cell r="F47">
            <v>246.22425254319737</v>
          </cell>
          <cell r="G47">
            <v>15</v>
          </cell>
          <cell r="H47">
            <v>15</v>
          </cell>
          <cell r="I47">
            <v>40</v>
          </cell>
          <cell r="J47">
            <v>167.71656154479348</v>
          </cell>
          <cell r="K47">
            <v>10.428253789263115</v>
          </cell>
          <cell r="L47">
            <v>26.400000000000002</v>
          </cell>
          <cell r="M47">
            <v>0</v>
          </cell>
          <cell r="N47">
            <v>26.400000000000002</v>
          </cell>
          <cell r="O47">
            <v>0.60779639520399842</v>
          </cell>
          <cell r="P47">
            <v>17.15747883921394</v>
          </cell>
          <cell r="Q47">
            <v>19.063865376904378</v>
          </cell>
          <cell r="R47">
            <v>3855.7807354307115</v>
          </cell>
          <cell r="S47">
            <v>14.221643571170667</v>
          </cell>
          <cell r="T47">
            <v>54835.539307881882</v>
          </cell>
          <cell r="U47">
            <v>174.80238797169815</v>
          </cell>
          <cell r="V47">
            <v>2.2000000000000006</v>
          </cell>
          <cell r="W47">
            <v>313.70017277315554</v>
          </cell>
          <cell r="Y47">
            <v>690.14038010094248</v>
          </cell>
        </row>
        <row r="48">
          <cell r="A48" t="str">
            <v>Pivot and Linear_Pressure Reduction_Medium2 to Low</v>
          </cell>
          <cell r="B48" t="str">
            <v>Pivot and Linear_Pressure Reduction_Medium2 to Low - Washington</v>
          </cell>
          <cell r="C48">
            <v>79.45563089622641</v>
          </cell>
          <cell r="D48">
            <v>40.316561544793466</v>
          </cell>
          <cell r="E48">
            <v>5</v>
          </cell>
          <cell r="F48">
            <v>246.22425254319737</v>
          </cell>
          <cell r="G48">
            <v>15</v>
          </cell>
          <cell r="H48">
            <v>15</v>
          </cell>
          <cell r="I48">
            <v>40</v>
          </cell>
          <cell r="J48">
            <v>167.71656154479348</v>
          </cell>
          <cell r="K48">
            <v>10.428253789263115</v>
          </cell>
          <cell r="L48">
            <v>26.400000000000002</v>
          </cell>
          <cell r="M48">
            <v>0</v>
          </cell>
          <cell r="N48">
            <v>26.400000000000002</v>
          </cell>
          <cell r="O48">
            <v>0.60779639520399842</v>
          </cell>
          <cell r="P48">
            <v>17.15747883921394</v>
          </cell>
          <cell r="Q48">
            <v>19.063865376904378</v>
          </cell>
          <cell r="R48">
            <v>3855.7807354307115</v>
          </cell>
          <cell r="S48">
            <v>14.221643571170667</v>
          </cell>
          <cell r="T48">
            <v>54835.539307881882</v>
          </cell>
          <cell r="U48">
            <v>174.80238797169815</v>
          </cell>
          <cell r="V48">
            <v>2.2000000000000006</v>
          </cell>
          <cell r="W48">
            <v>313.70017277315554</v>
          </cell>
          <cell r="Y48">
            <v>690.14038010094248</v>
          </cell>
        </row>
        <row r="49">
          <cell r="A49" t="str">
            <v>Wheel-Line_Conversion to Low Pressure System (Alfalfa)</v>
          </cell>
          <cell r="B49" t="str">
            <v>Wheel-Line_Conversion to Low Pressure System (Alfalfa) - Washington</v>
          </cell>
          <cell r="C49">
            <v>79.45563089622641</v>
          </cell>
          <cell r="D49">
            <v>40.316561544793466</v>
          </cell>
          <cell r="E49">
            <v>5</v>
          </cell>
          <cell r="F49">
            <v>526.5510132374169</v>
          </cell>
          <cell r="G49">
            <v>5</v>
          </cell>
          <cell r="H49">
            <v>5</v>
          </cell>
          <cell r="I49">
            <v>64.035009300867074</v>
          </cell>
          <cell r="J49">
            <v>203.23743302979642</v>
          </cell>
          <cell r="K49">
            <v>27.023958658992669</v>
          </cell>
          <cell r="L49">
            <v>27.599999999999998</v>
          </cell>
          <cell r="M49">
            <v>0</v>
          </cell>
          <cell r="N49">
            <v>27.599999999999998</v>
          </cell>
          <cell r="O49">
            <v>0.60779639520399842</v>
          </cell>
          <cell r="P49">
            <v>44.462189759981143</v>
          </cell>
          <cell r="Q49">
            <v>49.402433066645713</v>
          </cell>
          <cell r="R49">
            <v>1884.9848292984254</v>
          </cell>
          <cell r="S49">
            <v>36.854215067717703</v>
          </cell>
          <cell r="T49">
            <v>69469.636298349316</v>
          </cell>
          <cell r="U49">
            <v>182.74795106132075</v>
          </cell>
          <cell r="V49">
            <v>2.3000000000000003</v>
          </cell>
          <cell r="W49">
            <v>380.13907075236597</v>
          </cell>
          <cell r="Y49">
            <v>874.31986273044174</v>
          </cell>
        </row>
        <row r="50">
          <cell r="A50" t="str">
            <v>Hand-Line_Conversion to Low Pressure System (Alfalfa)</v>
          </cell>
          <cell r="B50" t="str">
            <v>Hand-Line_Conversion to Low Pressure System (Alfalfa) - Washington</v>
          </cell>
          <cell r="C50">
            <v>79.45563089622641</v>
          </cell>
          <cell r="D50">
            <v>40.316561544793466</v>
          </cell>
          <cell r="E50">
            <v>5</v>
          </cell>
          <cell r="F50">
            <v>526.5510132374169</v>
          </cell>
          <cell r="G50">
            <v>5</v>
          </cell>
          <cell r="H50">
            <v>5</v>
          </cell>
          <cell r="I50">
            <v>64.035009300867074</v>
          </cell>
          <cell r="J50">
            <v>203.23743302979642</v>
          </cell>
          <cell r="K50">
            <v>27.023958658992669</v>
          </cell>
          <cell r="L50">
            <v>27.599999999999998</v>
          </cell>
          <cell r="M50">
            <v>0</v>
          </cell>
          <cell r="N50">
            <v>27.599999999999998</v>
          </cell>
          <cell r="O50">
            <v>0.60779639520399842</v>
          </cell>
          <cell r="P50">
            <v>44.462189759981143</v>
          </cell>
          <cell r="Q50">
            <v>49.402433066645713</v>
          </cell>
          <cell r="R50">
            <v>1884.9848292984254</v>
          </cell>
          <cell r="S50">
            <v>36.854215067717703</v>
          </cell>
          <cell r="T50">
            <v>69469.636298349316</v>
          </cell>
          <cell r="U50">
            <v>182.74795106132075</v>
          </cell>
          <cell r="V50">
            <v>2.3000000000000003</v>
          </cell>
          <cell r="W50">
            <v>380.13907075236597</v>
          </cell>
          <cell r="Y50">
            <v>874.31986273044174</v>
          </cell>
        </row>
        <row r="51">
          <cell r="C51" t="str">
            <v>*Reflects electric-only acres from Electricity-only portion of 2013 FRIS, Table 12</v>
          </cell>
          <cell r="D51" t="str">
            <v xml:space="preserve">*Adjusted for consistency with latest RTF analysis based on expert feedback per state for both lift and the relative proportion of well to surface pumps.  </v>
          </cell>
          <cell r="E51" t="str">
            <v xml:space="preserve">*Adjusted the ID/OR/WA elevation change down to 5 ft. Unclear why there would be an additional elevation change past the pumping lift. Pump lift verified with experts. Tom Eckman defined the elevation change for the wheel/hand line conversions as "the approximate difference in system height between center pivot and hand/side roll systems," but it is not clear why such high values were present for the pivot pressure reduction measures. According to Tom, one or more of the values for Elevation Change, Friction Loss and Mainline Friction Loss were changed to achieve “rough calibration,” though it is unclear what those changes were. </v>
          </cell>
          <cell r="F51" t="str">
            <v>*Adjusted for consistency with efficient case of latest RTF analysis in order to make flow and pressure reduction measures are additive.</v>
          </cell>
          <cell r="I51" t="str">
            <v xml:space="preserve">*Adjusted for consistency with latest RTF analysis. </v>
          </cell>
          <cell r="L51" t="str">
            <v>*Ensured that all references were made within workbook</v>
          </cell>
          <cell r="M51" t="str">
            <v>Removed system leakage. The applied water estimate comes from FRIS, which would already account for typical levels of uniformity</v>
          </cell>
          <cell r="O51" t="str">
            <v>*Changed for consistency with RTF assumption</v>
          </cell>
          <cell r="Q51" t="str">
            <v>Added 90% assumption in "Parameters" sheet</v>
          </cell>
        </row>
        <row r="53">
          <cell r="A53" t="str">
            <v>Post-Retrofit System - Inputs</v>
          </cell>
        </row>
        <row r="54">
          <cell r="A54" t="str">
            <v>Category Name</v>
          </cell>
          <cell r="B54" t="str">
            <v>Measure</v>
          </cell>
          <cell r="C54" t="str">
            <v>Post-Retrofit Field Size (Acres)</v>
          </cell>
          <cell r="D54" t="str">
            <v>Post-Retrofit Pumping Lift (ft)</v>
          </cell>
          <cell r="E54" t="str">
            <v>Post-Retrofit Elevation Change (ft)</v>
          </cell>
          <cell r="F54" t="str">
            <v>Post-Retrofit Discharge Rate (GPM)</v>
          </cell>
          <cell r="G54" t="str">
            <v>Post-Retrofit Friction Loss (ft)</v>
          </cell>
          <cell r="H54" t="str">
            <v>Post-Retrofit Mainline Friction Adjustment (ft)</v>
          </cell>
          <cell r="I54" t="str">
            <v>Post-Retrofit System Pressure (PSI)</v>
          </cell>
          <cell r="J54" t="str">
            <v>Post-Retrofit Total Dynamic Head (ft)</v>
          </cell>
          <cell r="K54" t="str">
            <v>Post-Retrofit Water Horsepower (WHP)</v>
          </cell>
          <cell r="L54" t="str">
            <v>Post-Water Management Annual Watering Depth (inches)</v>
          </cell>
          <cell r="M54" t="str">
            <v>Retrofit Case System Leakage (%)</v>
          </cell>
          <cell r="N54" t="str">
            <v>Post-Retrofit Case Annual Water Use w/Leakage (inches)</v>
          </cell>
          <cell r="O54" t="str">
            <v>Post-Retrofit Pump Efficiency</v>
          </cell>
          <cell r="P54" t="str">
            <v>Post-Retrofit Brake Horsepower</v>
          </cell>
          <cell r="Q54" t="str">
            <v>Post-Retrofit Nameplate Horsepower</v>
          </cell>
          <cell r="R54" t="str">
            <v>Post-Retrofit Hours of Pumping</v>
          </cell>
          <cell r="S54" t="str">
            <v>Post-Retrofit Hourly Electricity Use (kW)</v>
          </cell>
          <cell r="T54" t="str">
            <v>Post-Retrofit Annual Electricity Use (kWh)</v>
          </cell>
          <cell r="U54" t="str">
            <v>Post-Water Management Annual Water Use (Acre-ft/yr)</v>
          </cell>
          <cell r="V54" t="str">
            <v>Post-Water Management Water Use (Acre-ft/acre/yr)</v>
          </cell>
          <cell r="W54" t="str">
            <v>Post-Retrofit Annual Electricity Use (kWh/acre-ft/yr)</v>
          </cell>
          <cell r="X54" t="str">
            <v>Calibration Value</v>
          </cell>
          <cell r="Y54" t="str">
            <v>Efficient Case Use (kWh/Acre)</v>
          </cell>
        </row>
        <row r="55">
          <cell r="A55" t="str">
            <v>Pivot and Linear_Pressure Reduction_High to Medium</v>
          </cell>
          <cell r="B55" t="str">
            <v>Pivot and Linear_Pressure Reduction_High to Medium - Idaho</v>
          </cell>
          <cell r="C55">
            <v>106.61587635185428</v>
          </cell>
          <cell r="D55">
            <v>102.09</v>
          </cell>
          <cell r="E55">
            <v>5</v>
          </cell>
          <cell r="F55">
            <v>350.52405624022765</v>
          </cell>
          <cell r="G55">
            <v>10</v>
          </cell>
          <cell r="H55">
            <v>5</v>
          </cell>
          <cell r="I55">
            <v>40</v>
          </cell>
          <cell r="J55">
            <v>214.49</v>
          </cell>
          <cell r="K55">
            <v>18.98583455125415</v>
          </cell>
          <cell r="L55">
            <v>22.799999999999997</v>
          </cell>
          <cell r="M55">
            <v>0</v>
          </cell>
          <cell r="N55">
            <v>22.799999999999997</v>
          </cell>
          <cell r="O55">
            <v>0.65779639520399846</v>
          </cell>
          <cell r="P55">
            <v>28.862782906200309</v>
          </cell>
          <cell r="Q55">
            <v>32.069758784667009</v>
          </cell>
          <cell r="R55">
            <v>3138.726318304824</v>
          </cell>
          <cell r="S55">
            <v>23.924040053361587</v>
          </cell>
          <cell r="T55">
            <v>75091.014155664758</v>
          </cell>
          <cell r="U55">
            <v>202.57016506852315</v>
          </cell>
          <cell r="V55">
            <v>1.9000000000000001</v>
          </cell>
          <cell r="W55">
            <v>370.69138059034418</v>
          </cell>
          <cell r="Y55">
            <v>704.31362312165402</v>
          </cell>
        </row>
        <row r="56">
          <cell r="A56" t="str">
            <v>Pivot and Linear_Pressure Reduction_Medium to Low</v>
          </cell>
          <cell r="B56" t="str">
            <v>Pivot and Linear_Pressure Reduction_Medium to Low - Idaho</v>
          </cell>
          <cell r="C56">
            <v>106.61587635185428</v>
          </cell>
          <cell r="D56">
            <v>102.09</v>
          </cell>
          <cell r="E56">
            <v>5</v>
          </cell>
          <cell r="F56">
            <v>330.39086302466239</v>
          </cell>
          <cell r="G56">
            <v>10</v>
          </cell>
          <cell r="H56">
            <v>5</v>
          </cell>
          <cell r="I56">
            <v>15</v>
          </cell>
          <cell r="J56">
            <v>156.74</v>
          </cell>
          <cell r="K56">
            <v>13.077137341031715</v>
          </cell>
          <cell r="L56">
            <v>22.799999999999997</v>
          </cell>
          <cell r="M56">
            <v>0</v>
          </cell>
          <cell r="N56">
            <v>22.799999999999997</v>
          </cell>
          <cell r="O56">
            <v>0.65779639520399846</v>
          </cell>
          <cell r="P56">
            <v>19.880220439603018</v>
          </cell>
          <cell r="Q56">
            <v>22.089133821781132</v>
          </cell>
          <cell r="R56">
            <v>3329.992453326523</v>
          </cell>
          <cell r="S56">
            <v>16.478493831048723</v>
          </cell>
          <cell r="T56">
            <v>54873.260099579915</v>
          </cell>
          <cell r="U56">
            <v>202.57016506852315</v>
          </cell>
          <cell r="V56">
            <v>1.9000000000000001</v>
          </cell>
          <cell r="W56">
            <v>270.88520207809478</v>
          </cell>
          <cell r="Y56">
            <v>514.68188394838012</v>
          </cell>
        </row>
        <row r="57">
          <cell r="A57" t="str">
            <v>Pivot and Linear_Pressure Reduction_Medium2 to Low</v>
          </cell>
          <cell r="B57" t="str">
            <v>Pivot and Linear_Pressure Reduction_Medium2 to Low - Idaho</v>
          </cell>
          <cell r="C57">
            <v>106.61587635185428</v>
          </cell>
          <cell r="D57">
            <v>102.09</v>
          </cell>
          <cell r="E57">
            <v>5</v>
          </cell>
          <cell r="F57">
            <v>330.39086302466239</v>
          </cell>
          <cell r="G57">
            <v>10</v>
          </cell>
          <cell r="H57">
            <v>5</v>
          </cell>
          <cell r="I57">
            <v>15</v>
          </cell>
          <cell r="J57">
            <v>156.74</v>
          </cell>
          <cell r="K57">
            <v>13.077137341031715</v>
          </cell>
          <cell r="L57">
            <v>22.799999999999997</v>
          </cell>
          <cell r="M57">
            <v>0</v>
          </cell>
          <cell r="N57">
            <v>22.799999999999997</v>
          </cell>
          <cell r="O57">
            <v>0.65779639520399846</v>
          </cell>
          <cell r="P57">
            <v>19.880220439603018</v>
          </cell>
          <cell r="Q57">
            <v>22.089133821781132</v>
          </cell>
          <cell r="R57">
            <v>3329.992453326523</v>
          </cell>
          <cell r="S57">
            <v>16.478493831048723</v>
          </cell>
          <cell r="T57">
            <v>54873.260099579915</v>
          </cell>
          <cell r="U57">
            <v>202.57016506852315</v>
          </cell>
          <cell r="V57">
            <v>1.9000000000000001</v>
          </cell>
          <cell r="W57">
            <v>270.88520207809478</v>
          </cell>
          <cell r="Y57">
            <v>514.68188394838012</v>
          </cell>
        </row>
        <row r="58">
          <cell r="A58" t="str">
            <v>Wheel-Line_Conversion to Low Pressure System (Alfalfa)</v>
          </cell>
          <cell r="B58" t="str">
            <v>Wheel-Line_Conversion to Low Pressure System (Alfalfa) - Idaho</v>
          </cell>
          <cell r="C58">
            <v>106.61587635185428</v>
          </cell>
          <cell r="D58">
            <v>100.42000000000002</v>
          </cell>
          <cell r="E58">
            <v>5</v>
          </cell>
          <cell r="F58">
            <v>706.5414632926944</v>
          </cell>
          <cell r="G58">
            <v>5</v>
          </cell>
          <cell r="H58">
            <v>5</v>
          </cell>
          <cell r="I58">
            <v>44.014545454545456</v>
          </cell>
          <cell r="J58">
            <v>217.09360000000004</v>
          </cell>
          <cell r="K58">
            <v>38.733744902898714</v>
          </cell>
          <cell r="L58">
            <v>21.6</v>
          </cell>
          <cell r="M58">
            <v>0</v>
          </cell>
          <cell r="N58">
            <v>21.6</v>
          </cell>
          <cell r="O58">
            <v>0.61</v>
          </cell>
          <cell r="P58">
            <v>63.497942463768382</v>
          </cell>
          <cell r="Q58">
            <v>70.553269404187091</v>
          </cell>
          <cell r="R58">
            <v>1475.2055185813767</v>
          </cell>
          <cell r="S58">
            <v>52.632738975523573</v>
          </cell>
          <cell r="T58">
            <v>77644.106994745496</v>
          </cell>
          <cell r="U58">
            <v>191.90857743333774</v>
          </cell>
          <cell r="V58">
            <v>1.8000000000000003</v>
          </cell>
          <cell r="W58">
            <v>404.58903939151088</v>
          </cell>
          <cell r="Y58">
            <v>728.26027090471973</v>
          </cell>
        </row>
        <row r="59">
          <cell r="A59" t="str">
            <v>Hand-Line_Conversion to Low Pressure System (Alfalfa)</v>
          </cell>
          <cell r="B59" t="str">
            <v>Hand-Line_Conversion to Low Pressure System (Alfalfa) - Idaho</v>
          </cell>
          <cell r="C59">
            <v>106.61587635185428</v>
          </cell>
          <cell r="D59">
            <v>100.42000000000002</v>
          </cell>
          <cell r="E59">
            <v>5</v>
          </cell>
          <cell r="F59">
            <v>706.5414632926944</v>
          </cell>
          <cell r="G59">
            <v>5</v>
          </cell>
          <cell r="H59">
            <v>5</v>
          </cell>
          <cell r="I59">
            <v>44.014545454545456</v>
          </cell>
          <cell r="J59">
            <v>217.09360000000004</v>
          </cell>
          <cell r="K59">
            <v>38.733744902898714</v>
          </cell>
          <cell r="L59">
            <v>21.6</v>
          </cell>
          <cell r="M59">
            <v>0</v>
          </cell>
          <cell r="N59">
            <v>21.6</v>
          </cell>
          <cell r="O59">
            <v>0.61</v>
          </cell>
          <cell r="P59">
            <v>63.497942463768382</v>
          </cell>
          <cell r="Q59">
            <v>70.553269404187091</v>
          </cell>
          <cell r="R59">
            <v>1475.2055185813767</v>
          </cell>
          <cell r="S59">
            <v>52.632738975523573</v>
          </cell>
          <cell r="T59">
            <v>77644.106994745496</v>
          </cell>
          <cell r="U59">
            <v>191.90857743333774</v>
          </cell>
          <cell r="V59">
            <v>1.8000000000000003</v>
          </cell>
          <cell r="W59">
            <v>404.58903939151088</v>
          </cell>
          <cell r="Y59">
            <v>728.26027090471973</v>
          </cell>
        </row>
        <row r="60">
          <cell r="A60" t="str">
            <v>Pivot and Linear_Pressure Reduction_High to Medium</v>
          </cell>
          <cell r="B60" t="str">
            <v>Pivot and Linear_Pressure Reduction_High to Medium - Montana</v>
          </cell>
          <cell r="C60">
            <v>112.50629458665547</v>
          </cell>
          <cell r="D60">
            <v>23.91618124034553</v>
          </cell>
          <cell r="E60">
            <v>5</v>
          </cell>
          <cell r="F60">
            <v>369.89015220327042</v>
          </cell>
          <cell r="G60">
            <v>5</v>
          </cell>
          <cell r="H60">
            <v>5</v>
          </cell>
          <cell r="I60">
            <v>40</v>
          </cell>
          <cell r="J60">
            <v>131.31618124034554</v>
          </cell>
          <cell r="K60">
            <v>12.265798551955468</v>
          </cell>
          <cell r="L60">
            <v>13.200000000000001</v>
          </cell>
          <cell r="M60">
            <v>0</v>
          </cell>
          <cell r="N60">
            <v>13.200000000000001</v>
          </cell>
          <cell r="O60">
            <v>0.65779639520399846</v>
          </cell>
          <cell r="P60">
            <v>18.646801109561491</v>
          </cell>
          <cell r="Q60">
            <v>20.718667899512766</v>
          </cell>
          <cell r="R60">
            <v>1817.1573421764776</v>
          </cell>
          <cell r="S60">
            <v>15.456126253036524</v>
          </cell>
          <cell r="T60">
            <v>28086.213302311931</v>
          </cell>
          <cell r="U60">
            <v>123.75692404532104</v>
          </cell>
          <cell r="V60">
            <v>1.1000000000000003</v>
          </cell>
          <cell r="W60">
            <v>226.94660132330435</v>
          </cell>
          <cell r="Y60">
            <v>249.64126145563483</v>
          </cell>
        </row>
        <row r="61">
          <cell r="A61" t="str">
            <v>Pivot and Linear_Pressure Reduction_Medium to Low</v>
          </cell>
          <cell r="B61" t="str">
            <v>Pivot and Linear_Pressure Reduction_Medium to Low - Montana</v>
          </cell>
          <cell r="C61">
            <v>112.50629458665547</v>
          </cell>
          <cell r="D61">
            <v>23.91618124034553</v>
          </cell>
          <cell r="E61">
            <v>5</v>
          </cell>
          <cell r="F61">
            <v>348.64462063342143</v>
          </cell>
          <cell r="G61">
            <v>5</v>
          </cell>
          <cell r="H61">
            <v>5</v>
          </cell>
          <cell r="I61">
            <v>15</v>
          </cell>
          <cell r="J61">
            <v>73.566181240345529</v>
          </cell>
          <cell r="K61">
            <v>6.4768821590883316</v>
          </cell>
          <cell r="L61">
            <v>13.200000000000001</v>
          </cell>
          <cell r="M61">
            <v>0</v>
          </cell>
          <cell r="N61">
            <v>13.200000000000001</v>
          </cell>
          <cell r="O61">
            <v>0.65779639520399846</v>
          </cell>
          <cell r="P61">
            <v>9.8463327046352926</v>
          </cell>
          <cell r="Q61">
            <v>10.940369671816992</v>
          </cell>
          <cell r="R61">
            <v>1927.890367715356</v>
          </cell>
          <cell r="S61">
            <v>8.1615157751754754</v>
          </cell>
          <cell r="T61">
            <v>15734.507648917726</v>
          </cell>
          <cell r="U61">
            <v>123.75692404532104</v>
          </cell>
          <cell r="V61">
            <v>1.1000000000000003</v>
          </cell>
          <cell r="W61">
            <v>127.14042281105492</v>
          </cell>
          <cell r="Y61">
            <v>139.85446509216044</v>
          </cell>
        </row>
        <row r="62">
          <cell r="A62" t="str">
            <v>Pivot and Linear_Pressure Reduction_Medium2 to Low</v>
          </cell>
          <cell r="B62" t="str">
            <v>Pivot and Linear_Pressure Reduction_Medium2 to Low - Montana</v>
          </cell>
          <cell r="C62">
            <v>112.50629458665547</v>
          </cell>
          <cell r="D62">
            <v>23.91618124034553</v>
          </cell>
          <cell r="E62">
            <v>5</v>
          </cell>
          <cell r="F62">
            <v>348.64462063342143</v>
          </cell>
          <cell r="G62">
            <v>5</v>
          </cell>
          <cell r="H62">
            <v>5</v>
          </cell>
          <cell r="I62">
            <v>15</v>
          </cell>
          <cell r="J62">
            <v>73.566181240345529</v>
          </cell>
          <cell r="K62">
            <v>6.4768821590883316</v>
          </cell>
          <cell r="L62">
            <v>13.200000000000001</v>
          </cell>
          <cell r="M62">
            <v>0</v>
          </cell>
          <cell r="N62">
            <v>13.200000000000001</v>
          </cell>
          <cell r="O62">
            <v>0.65779639520399846</v>
          </cell>
          <cell r="P62">
            <v>9.8463327046352926</v>
          </cell>
          <cell r="Q62">
            <v>10.940369671816992</v>
          </cell>
          <cell r="R62">
            <v>1927.890367715356</v>
          </cell>
          <cell r="S62">
            <v>8.1615157751754754</v>
          </cell>
          <cell r="T62">
            <v>15734.507648917726</v>
          </cell>
          <cell r="U62">
            <v>123.75692404532104</v>
          </cell>
          <cell r="V62">
            <v>1.1000000000000003</v>
          </cell>
          <cell r="W62">
            <v>127.14042281105492</v>
          </cell>
          <cell r="Y62">
            <v>139.85446509216044</v>
          </cell>
        </row>
        <row r="63">
          <cell r="A63" t="str">
            <v>Wheel-Line_Conversion to Low Pressure System (Alfalfa)</v>
          </cell>
          <cell r="B63" t="str">
            <v>Wheel-Line_Conversion to Low Pressure System (Alfalfa) - Montana</v>
          </cell>
          <cell r="C63">
            <v>112.50629458665547</v>
          </cell>
          <cell r="D63">
            <v>23.91618124034553</v>
          </cell>
          <cell r="E63">
            <v>5</v>
          </cell>
          <cell r="F63">
            <v>745.57715723838339</v>
          </cell>
          <cell r="G63">
            <v>5</v>
          </cell>
          <cell r="H63">
            <v>5</v>
          </cell>
          <cell r="I63">
            <v>34.319676174095882</v>
          </cell>
          <cell r="J63">
            <v>118.19463320250702</v>
          </cell>
          <cell r="K63">
            <v>22.253338036353188</v>
          </cell>
          <cell r="L63">
            <v>15.600000000000001</v>
          </cell>
          <cell r="M63">
            <v>0</v>
          </cell>
          <cell r="N63">
            <v>15.600000000000001</v>
          </cell>
          <cell r="O63">
            <v>0.61</v>
          </cell>
          <cell r="P63">
            <v>36.480882026808509</v>
          </cell>
          <cell r="Q63">
            <v>40.534313363120567</v>
          </cell>
          <cell r="R63">
            <v>1065.4262078643274</v>
          </cell>
          <cell r="S63">
            <v>30.238597768887942</v>
          </cell>
          <cell r="T63">
            <v>32216.994552040989</v>
          </cell>
          <cell r="U63">
            <v>146.25818296265214</v>
          </cell>
          <cell r="V63">
            <v>1.3000000000000003</v>
          </cell>
          <cell r="W63">
            <v>220.27481744572052</v>
          </cell>
          <cell r="Y63">
            <v>286.3572626794367</v>
          </cell>
        </row>
        <row r="64">
          <cell r="A64" t="str">
            <v>Hand-Line_Conversion to Low Pressure System (Alfalfa)</v>
          </cell>
          <cell r="B64" t="str">
            <v>Hand-Line_Conversion to Low Pressure System (Alfalfa) - Montana</v>
          </cell>
          <cell r="C64">
            <v>112.50629458665547</v>
          </cell>
          <cell r="D64">
            <v>23.91618124034553</v>
          </cell>
          <cell r="E64">
            <v>5</v>
          </cell>
          <cell r="F64">
            <v>745.57715723838339</v>
          </cell>
          <cell r="G64">
            <v>5</v>
          </cell>
          <cell r="H64">
            <v>5</v>
          </cell>
          <cell r="I64">
            <v>34.319676174095882</v>
          </cell>
          <cell r="J64">
            <v>118.19463320250702</v>
          </cell>
          <cell r="K64">
            <v>22.253338036353188</v>
          </cell>
          <cell r="L64">
            <v>15.600000000000001</v>
          </cell>
          <cell r="M64">
            <v>0</v>
          </cell>
          <cell r="N64">
            <v>15.600000000000001</v>
          </cell>
          <cell r="O64">
            <v>0.61</v>
          </cell>
          <cell r="P64">
            <v>36.480882026808509</v>
          </cell>
          <cell r="Q64">
            <v>40.534313363120567</v>
          </cell>
          <cell r="R64">
            <v>1065.4262078643274</v>
          </cell>
          <cell r="S64">
            <v>30.238597768887942</v>
          </cell>
          <cell r="T64">
            <v>32216.994552040989</v>
          </cell>
          <cell r="U64">
            <v>146.25818296265214</v>
          </cell>
          <cell r="V64">
            <v>1.3000000000000003</v>
          </cell>
          <cell r="W64">
            <v>220.27481744572052</v>
          </cell>
          <cell r="Y64">
            <v>286.3572626794367</v>
          </cell>
        </row>
        <row r="65">
          <cell r="A65" t="str">
            <v>Pivot and Linear_Pressure Reduction_High to Medium</v>
          </cell>
          <cell r="B65" t="str">
            <v>Pivot and Linear_Pressure Reduction_High to Medium - Oregon</v>
          </cell>
          <cell r="C65">
            <v>54.503424657534246</v>
          </cell>
          <cell r="D65">
            <v>40.316561544793466</v>
          </cell>
          <cell r="E65">
            <v>5</v>
          </cell>
          <cell r="F65">
            <v>179.19246310833583</v>
          </cell>
          <cell r="G65">
            <v>10</v>
          </cell>
          <cell r="H65">
            <v>5</v>
          </cell>
          <cell r="I65">
            <v>40</v>
          </cell>
          <cell r="J65">
            <v>152.71656154479348</v>
          </cell>
          <cell r="K65">
            <v>6.9105193991533591</v>
          </cell>
          <cell r="L65">
            <v>20.399999999999999</v>
          </cell>
          <cell r="M65">
            <v>0</v>
          </cell>
          <cell r="N65">
            <v>20.399999999999999</v>
          </cell>
          <cell r="O65">
            <v>0.65779639520399846</v>
          </cell>
          <cell r="P65">
            <v>10.505559850339772</v>
          </cell>
          <cell r="Q65">
            <v>11.672844278155301</v>
          </cell>
          <cell r="R65">
            <v>2808.3340742727373</v>
          </cell>
          <cell r="S65">
            <v>8.7079418315038541</v>
          </cell>
          <cell r="T65">
            <v>24454.809762197219</v>
          </cell>
          <cell r="U65">
            <v>92.655821917808211</v>
          </cell>
          <cell r="V65">
            <v>1.7</v>
          </cell>
          <cell r="W65">
            <v>263.93171261154254</v>
          </cell>
          <cell r="Y65">
            <v>448.68391143962225</v>
          </cell>
        </row>
        <row r="66">
          <cell r="A66" t="str">
            <v>Pivot and Linear_Pressure Reduction_Medium to Low</v>
          </cell>
          <cell r="B66" t="str">
            <v>Pivot and Linear_Pressure Reduction_Medium to Low - Oregon</v>
          </cell>
          <cell r="C66">
            <v>54.503424657534246</v>
          </cell>
          <cell r="D66">
            <v>40.316561544793466</v>
          </cell>
          <cell r="E66">
            <v>5</v>
          </cell>
          <cell r="F66">
            <v>168.90011250270246</v>
          </cell>
          <cell r="G66">
            <v>10</v>
          </cell>
          <cell r="H66">
            <v>5</v>
          </cell>
          <cell r="I66">
            <v>15</v>
          </cell>
          <cell r="J66">
            <v>94.966561544793464</v>
          </cell>
          <cell r="K66">
            <v>4.0504704365935433</v>
          </cell>
          <cell r="L66">
            <v>20.399999999999999</v>
          </cell>
          <cell r="M66">
            <v>0</v>
          </cell>
          <cell r="N66">
            <v>20.399999999999999</v>
          </cell>
          <cell r="O66">
            <v>0.65779639520399846</v>
          </cell>
          <cell r="P66">
            <v>6.157635502604716</v>
          </cell>
          <cell r="Q66">
            <v>6.8418172251163512</v>
          </cell>
          <cell r="R66">
            <v>2979.4669319237314</v>
          </cell>
          <cell r="S66">
            <v>5.103995649936798</v>
          </cell>
          <cell r="T66">
            <v>15207.186259669263</v>
          </cell>
          <cell r="U66">
            <v>92.655821917808211</v>
          </cell>
          <cell r="V66">
            <v>1.7</v>
          </cell>
          <cell r="W66">
            <v>164.12553409929313</v>
          </cell>
          <cell r="Y66">
            <v>279.01340796879828</v>
          </cell>
        </row>
        <row r="67">
          <cell r="A67" t="str">
            <v>Pivot and Linear_Pressure Reduction_Medium2 to Low</v>
          </cell>
          <cell r="B67" t="str">
            <v>Pivot and Linear_Pressure Reduction_Medium2 to Low - Oregon</v>
          </cell>
          <cell r="C67">
            <v>54.503424657534246</v>
          </cell>
          <cell r="D67">
            <v>40.316561544793466</v>
          </cell>
          <cell r="E67">
            <v>5</v>
          </cell>
          <cell r="F67">
            <v>168.90011250270246</v>
          </cell>
          <cell r="G67">
            <v>10</v>
          </cell>
          <cell r="H67">
            <v>5</v>
          </cell>
          <cell r="I67">
            <v>15</v>
          </cell>
          <cell r="J67">
            <v>94.966561544793464</v>
          </cell>
          <cell r="K67">
            <v>4.0504704365935433</v>
          </cell>
          <cell r="L67">
            <v>20.399999999999999</v>
          </cell>
          <cell r="M67">
            <v>0</v>
          </cell>
          <cell r="N67">
            <v>20.399999999999999</v>
          </cell>
          <cell r="O67">
            <v>0.65779639520399846</v>
          </cell>
          <cell r="P67">
            <v>6.157635502604716</v>
          </cell>
          <cell r="Q67">
            <v>6.8418172251163512</v>
          </cell>
          <cell r="R67">
            <v>2979.4669319237314</v>
          </cell>
          <cell r="S67">
            <v>5.103995649936798</v>
          </cell>
          <cell r="T67">
            <v>15207.186259669263</v>
          </cell>
          <cell r="U67">
            <v>92.655821917808211</v>
          </cell>
          <cell r="V67">
            <v>1.7</v>
          </cell>
          <cell r="W67">
            <v>164.12553409929313</v>
          </cell>
          <cell r="Y67">
            <v>279.01340796879828</v>
          </cell>
        </row>
        <row r="68">
          <cell r="A68" t="str">
            <v>Wheel-Line_Conversion to Low Pressure System (Alfalfa)</v>
          </cell>
          <cell r="B68" t="str">
            <v>Wheel-Line_Conversion to Low Pressure System (Alfalfa) - Oregon</v>
          </cell>
          <cell r="C68">
            <v>54.503424657534246</v>
          </cell>
          <cell r="D68">
            <v>40.316561544793466</v>
          </cell>
          <cell r="E68">
            <v>5</v>
          </cell>
          <cell r="F68">
            <v>361.19319870250843</v>
          </cell>
          <cell r="G68">
            <v>5</v>
          </cell>
          <cell r="H68">
            <v>5</v>
          </cell>
          <cell r="I68">
            <v>46.570915855176054</v>
          </cell>
          <cell r="J68">
            <v>162.89537717025016</v>
          </cell>
          <cell r="K68">
            <v>14.857753114639955</v>
          </cell>
          <cell r="L68">
            <v>27.599999999999998</v>
          </cell>
          <cell r="M68">
            <v>0</v>
          </cell>
          <cell r="N68">
            <v>27.599999999999998</v>
          </cell>
          <cell r="O68">
            <v>0.61</v>
          </cell>
          <cell r="P68">
            <v>24.356972319081894</v>
          </cell>
          <cell r="Q68">
            <v>27.06330257675766</v>
          </cell>
          <cell r="R68">
            <v>1884.984829298425</v>
          </cell>
          <cell r="S68">
            <v>20.189223722261215</v>
          </cell>
          <cell r="T68">
            <v>38056.380431774269</v>
          </cell>
          <cell r="U68">
            <v>125.35787671232875</v>
          </cell>
          <cell r="V68">
            <v>2.2999999999999998</v>
          </cell>
          <cell r="W68">
            <v>303.5818843606138</v>
          </cell>
          <cell r="Y68">
            <v>698.2383340294117</v>
          </cell>
        </row>
        <row r="69">
          <cell r="A69" t="str">
            <v>Hand-Line_Conversion to Low Pressure System (Alfalfa)</v>
          </cell>
          <cell r="B69" t="str">
            <v>Hand-Line_Conversion to Low Pressure System (Alfalfa) - Oregon</v>
          </cell>
          <cell r="C69">
            <v>54.503424657534246</v>
          </cell>
          <cell r="D69">
            <v>40.316561544793466</v>
          </cell>
          <cell r="E69">
            <v>5</v>
          </cell>
          <cell r="F69">
            <v>361.19319870250843</v>
          </cell>
          <cell r="G69">
            <v>5</v>
          </cell>
          <cell r="H69">
            <v>5</v>
          </cell>
          <cell r="I69">
            <v>46.570915855176054</v>
          </cell>
          <cell r="J69">
            <v>162.89537717025016</v>
          </cell>
          <cell r="K69">
            <v>14.857753114639955</v>
          </cell>
          <cell r="L69">
            <v>27.599999999999998</v>
          </cell>
          <cell r="M69">
            <v>0</v>
          </cell>
          <cell r="N69">
            <v>27.599999999999998</v>
          </cell>
          <cell r="O69">
            <v>0.61</v>
          </cell>
          <cell r="P69">
            <v>24.356972319081894</v>
          </cell>
          <cell r="Q69">
            <v>27.06330257675766</v>
          </cell>
          <cell r="R69">
            <v>1884.984829298425</v>
          </cell>
          <cell r="S69">
            <v>20.189223722261215</v>
          </cell>
          <cell r="T69">
            <v>38056.380431774269</v>
          </cell>
          <cell r="U69">
            <v>125.35787671232875</v>
          </cell>
          <cell r="V69">
            <v>2.2999999999999998</v>
          </cell>
          <cell r="W69">
            <v>303.5818843606138</v>
          </cell>
          <cell r="Y69">
            <v>698.2383340294117</v>
          </cell>
        </row>
        <row r="70">
          <cell r="A70" t="str">
            <v>Pivot and Linear_Pressure Reduction_High to Medium</v>
          </cell>
          <cell r="B70" t="str">
            <v>Pivot and Linear_Pressure Reduction_High to Medium - Washington</v>
          </cell>
          <cell r="C70">
            <v>79.45563089622641</v>
          </cell>
          <cell r="D70">
            <v>40.316561544793466</v>
          </cell>
          <cell r="E70">
            <v>5</v>
          </cell>
          <cell r="F70">
            <v>261.22854293254835</v>
          </cell>
          <cell r="G70">
            <v>15</v>
          </cell>
          <cell r="H70">
            <v>15</v>
          </cell>
          <cell r="I70">
            <v>40</v>
          </cell>
          <cell r="J70">
            <v>167.71656154479348</v>
          </cell>
          <cell r="K70">
            <v>11.063725504546332</v>
          </cell>
          <cell r="L70">
            <v>26.400000000000002</v>
          </cell>
          <cell r="M70">
            <v>0</v>
          </cell>
          <cell r="N70">
            <v>26.400000000000002</v>
          </cell>
          <cell r="O70">
            <v>0.65779639520399846</v>
          </cell>
          <cell r="P70">
            <v>16.819376915428677</v>
          </cell>
          <cell r="Q70">
            <v>18.68819657269853</v>
          </cell>
          <cell r="R70">
            <v>3634.3146843529553</v>
          </cell>
          <cell r="S70">
            <v>13.941394643233103</v>
          </cell>
          <cell r="T70">
            <v>50667.4152722617</v>
          </cell>
          <cell r="U70">
            <v>174.80238797169815</v>
          </cell>
          <cell r="V70">
            <v>2.2000000000000006</v>
          </cell>
          <cell r="W70">
            <v>289.85539534199694</v>
          </cell>
          <cell r="Y70">
            <v>637.68186975239348</v>
          </cell>
        </row>
        <row r="71">
          <cell r="A71" t="str">
            <v>Pivot and Linear_Pressure Reduction_Medium to Low</v>
          </cell>
          <cell r="B71" t="str">
            <v>Pivot and Linear_Pressure Reduction_Medium to Low - Washington</v>
          </cell>
          <cell r="C71">
            <v>79.45563089622641</v>
          </cell>
          <cell r="D71">
            <v>40.316561544793466</v>
          </cell>
          <cell r="E71">
            <v>5</v>
          </cell>
          <cell r="F71">
            <v>246.22425254319737</v>
          </cell>
          <cell r="G71">
            <v>15</v>
          </cell>
          <cell r="H71">
            <v>15</v>
          </cell>
          <cell r="I71">
            <v>15</v>
          </cell>
          <cell r="J71">
            <v>109.96656154479348</v>
          </cell>
          <cell r="K71">
            <v>6.837483439674819</v>
          </cell>
          <cell r="L71">
            <v>26.400000000000002</v>
          </cell>
          <cell r="M71">
            <v>0</v>
          </cell>
          <cell r="N71">
            <v>26.400000000000002</v>
          </cell>
          <cell r="O71">
            <v>0.65779639520399846</v>
          </cell>
          <cell r="P71">
            <v>10.394528595059192</v>
          </cell>
          <cell r="Q71">
            <v>11.549476216732435</v>
          </cell>
          <cell r="R71">
            <v>3855.7807354307115</v>
          </cell>
          <cell r="S71">
            <v>8.6159092576823966</v>
          </cell>
          <cell r="T71">
            <v>33221.056933990905</v>
          </cell>
          <cell r="U71">
            <v>174.80238797169815</v>
          </cell>
          <cell r="V71">
            <v>2.2000000000000006</v>
          </cell>
          <cell r="W71">
            <v>190.04921682974748</v>
          </cell>
          <cell r="Y71">
            <v>418.10827702544458</v>
          </cell>
        </row>
        <row r="72">
          <cell r="A72" t="str">
            <v>Pivot and Linear_Pressure Reduction_Medium2 to Low</v>
          </cell>
          <cell r="B72" t="str">
            <v>Pivot and Linear_Pressure Reduction_Medium2 to Low - Washington</v>
          </cell>
          <cell r="C72">
            <v>79.45563089622641</v>
          </cell>
          <cell r="D72">
            <v>40.316561544793466</v>
          </cell>
          <cell r="E72">
            <v>5</v>
          </cell>
          <cell r="F72">
            <v>246.22425254319737</v>
          </cell>
          <cell r="G72">
            <v>15</v>
          </cell>
          <cell r="H72">
            <v>15</v>
          </cell>
          <cell r="I72">
            <v>15</v>
          </cell>
          <cell r="J72">
            <v>109.96656154479348</v>
          </cell>
          <cell r="K72">
            <v>6.837483439674819</v>
          </cell>
          <cell r="L72">
            <v>26.400000000000002</v>
          </cell>
          <cell r="M72">
            <v>0</v>
          </cell>
          <cell r="N72">
            <v>26.400000000000002</v>
          </cell>
          <cell r="O72">
            <v>0.65779639520399846</v>
          </cell>
          <cell r="P72">
            <v>10.394528595059192</v>
          </cell>
          <cell r="Q72">
            <v>11.549476216732435</v>
          </cell>
          <cell r="R72">
            <v>3855.7807354307115</v>
          </cell>
          <cell r="S72">
            <v>8.6159092576823966</v>
          </cell>
          <cell r="T72">
            <v>33221.056933990905</v>
          </cell>
          <cell r="U72">
            <v>174.80238797169815</v>
          </cell>
          <cell r="V72">
            <v>2.2000000000000006</v>
          </cell>
          <cell r="W72">
            <v>190.04921682974748</v>
          </cell>
          <cell r="Y72">
            <v>418.10827702544458</v>
          </cell>
        </row>
        <row r="73">
          <cell r="A73" t="str">
            <v>Wheel-Line_Conversion to Low Pressure System (Alfalfa)</v>
          </cell>
          <cell r="B73" t="str">
            <v>Wheel-Line_Conversion to Low Pressure System (Alfalfa) - Washington</v>
          </cell>
          <cell r="C73">
            <v>79.45563089622641</v>
          </cell>
          <cell r="D73">
            <v>40.316561544793466</v>
          </cell>
          <cell r="E73">
            <v>5</v>
          </cell>
          <cell r="F73">
            <v>526.5510132374169</v>
          </cell>
          <cell r="G73">
            <v>5</v>
          </cell>
          <cell r="H73">
            <v>5</v>
          </cell>
          <cell r="I73">
            <v>46.570915855176054</v>
          </cell>
          <cell r="J73">
            <v>162.89537717025016</v>
          </cell>
          <cell r="K73">
            <v>21.659779267850102</v>
          </cell>
          <cell r="L73">
            <v>27.599999999999998</v>
          </cell>
          <cell r="M73">
            <v>0</v>
          </cell>
          <cell r="N73">
            <v>27.599999999999998</v>
          </cell>
          <cell r="O73">
            <v>0.61</v>
          </cell>
          <cell r="P73">
            <v>35.507834865328036</v>
          </cell>
          <cell r="Q73">
            <v>39.453149850364483</v>
          </cell>
          <cell r="R73">
            <v>1884.9848292984254</v>
          </cell>
          <cell r="S73">
            <v>29.432049788371906</v>
          </cell>
          <cell r="T73">
            <v>55478.967346236976</v>
          </cell>
          <cell r="U73">
            <v>182.74795106132075</v>
          </cell>
          <cell r="V73">
            <v>2.3000000000000003</v>
          </cell>
          <cell r="W73">
            <v>303.58188436061374</v>
          </cell>
          <cell r="Y73">
            <v>698.23833402941159</v>
          </cell>
        </row>
        <row r="74">
          <cell r="A74" t="str">
            <v>Hand-Line_Conversion to Low Pressure System (Alfalfa)</v>
          </cell>
          <cell r="B74" t="str">
            <v>Hand-Line_Conversion to Low Pressure System (Alfalfa) - Washington</v>
          </cell>
          <cell r="C74">
            <v>79.45563089622641</v>
          </cell>
          <cell r="D74">
            <v>40.316561544793466</v>
          </cell>
          <cell r="E74">
            <v>5</v>
          </cell>
          <cell r="F74">
            <v>526.5510132374169</v>
          </cell>
          <cell r="G74">
            <v>5</v>
          </cell>
          <cell r="H74">
            <v>5</v>
          </cell>
          <cell r="I74">
            <v>46.570915855176054</v>
          </cell>
          <cell r="J74">
            <v>162.89537717025016</v>
          </cell>
          <cell r="K74">
            <v>21.659779267850102</v>
          </cell>
          <cell r="L74">
            <v>27.599999999999998</v>
          </cell>
          <cell r="M74">
            <v>0</v>
          </cell>
          <cell r="N74">
            <v>27.599999999999998</v>
          </cell>
          <cell r="O74">
            <v>0.61</v>
          </cell>
          <cell r="P74">
            <v>35.507834865328036</v>
          </cell>
          <cell r="Q74">
            <v>39.453149850364483</v>
          </cell>
          <cell r="R74">
            <v>1884.9848292984254</v>
          </cell>
          <cell r="S74">
            <v>29.432049788371906</v>
          </cell>
          <cell r="T74">
            <v>55478.967346236976</v>
          </cell>
          <cell r="U74">
            <v>182.74795106132075</v>
          </cell>
          <cell r="V74">
            <v>2.3000000000000003</v>
          </cell>
          <cell r="W74">
            <v>303.58188436061374</v>
          </cell>
          <cell r="Y74">
            <v>698.23833402941159</v>
          </cell>
        </row>
        <row r="75">
          <cell r="F75" t="str">
            <v>The system type conversion measure does not take the GPM change into account, consistent with 6P and 7P work.</v>
          </cell>
          <cell r="G75" t="str">
            <v>*Changed the wheel/hand retrofit loss from 20ft to 5 ft. The reason for the increased friction losses in Idaho from 6P/7P is unclear and not documented.</v>
          </cell>
          <cell r="I75" t="str">
            <v>*Adjusted pressure to reflect typical MESA and LESA pressures. Wheel/hand line measures were adjusted to use 2/3 of the original pressure based on the reduction in spacing.</v>
          </cell>
          <cell r="O75" t="str">
            <v>7th Plan had an increase in pump efficiency from 61% to 75% for the pressure reduction measures; AEG changed this to 61%+5% to account for a small efficiency increase with addition of a VFD and impeller trimming, etc. The rest of the efficiency increase happens with the pump upgrade measure. The VFD pump measure is a major source of the measure costs. No pump efficiency changes are evaluated for the wheel- and hand-line conversion measures, consistent with the 7th Plan.</v>
          </cell>
        </row>
        <row r="77">
          <cell r="A77" t="str">
            <v>Annual Energy and Water Savings Outputs</v>
          </cell>
        </row>
        <row r="78">
          <cell r="A78" t="str">
            <v>Category Name</v>
          </cell>
          <cell r="B78" t="str">
            <v>Measure</v>
          </cell>
          <cell r="C78" t="str">
            <v>Annual On Site Electricity Savings (kWh)</v>
          </cell>
          <cell r="D78" t="str">
            <v>Annual Energy Savings due to Reduced Water Diversion (kWh)</v>
          </cell>
          <cell r="E78" t="str">
            <v>Total Electricity Savings (kWh)</v>
          </cell>
          <cell r="F78" t="str">
            <v>Total Electricity Savings (kWh/acre)</v>
          </cell>
          <cell r="G78" t="str">
            <v>Annual Water Savings (Acre-ft)</v>
          </cell>
          <cell r="H78" t="str">
            <v>Annual On-Site Electricity Savings (kWh/acre-ft)</v>
          </cell>
          <cell r="I78" t="str">
            <v>Annual Water Savings (Acre-ft/acre)</v>
          </cell>
          <cell r="J78" t="str">
            <v>Annual On-Site Energy Savings (%)</v>
          </cell>
          <cell r="K78" t="str">
            <v>Annual Water Savings (%)</v>
          </cell>
          <cell r="L78" t="str">
            <v>Total Cost/acre</v>
          </cell>
          <cell r="M78" t="str">
            <v>Annual O&amp;M Cost</v>
          </cell>
          <cell r="N78" t="str">
            <v>Periodic  O&amp;M Cost</v>
          </cell>
          <cell r="O78" t="str">
            <v>Periodic  O&amp;M Schedule</v>
          </cell>
        </row>
        <row r="79">
          <cell r="A79" t="str">
            <v>Pivot and Linear_Pressure Reduction_High to Medium</v>
          </cell>
          <cell r="B79" t="str">
            <v>Pivot and Linear_Pressure Reduction_High to Medium - Idaho</v>
          </cell>
          <cell r="C79">
            <v>29372.60727873772</v>
          </cell>
          <cell r="E79">
            <v>29372.60727873772</v>
          </cell>
          <cell r="F79">
            <v>275.49937480044798</v>
          </cell>
          <cell r="G79">
            <v>0</v>
          </cell>
          <cell r="H79">
            <v>144.99967094760422</v>
          </cell>
          <cell r="I79">
            <v>0</v>
          </cell>
          <cell r="J79">
            <v>0.28117546448628661</v>
          </cell>
          <cell r="K79">
            <v>0</v>
          </cell>
          <cell r="L79">
            <v>62.768561959299596</v>
          </cell>
          <cell r="M79">
            <v>0</v>
          </cell>
          <cell r="N79">
            <v>0</v>
          </cell>
          <cell r="O79">
            <v>0</v>
          </cell>
        </row>
        <row r="80">
          <cell r="A80" t="str">
            <v>Pivot and Linear_Pressure Reduction_Medium to Low</v>
          </cell>
          <cell r="B80" t="str">
            <v>Pivot and Linear_Pressure Reduction_Medium to Low - Idaho</v>
          </cell>
          <cell r="C80">
            <v>26395.070567682575</v>
          </cell>
          <cell r="E80">
            <v>26395.070567682575</v>
          </cell>
          <cell r="F80">
            <v>247.57167010074016</v>
          </cell>
          <cell r="G80">
            <v>0</v>
          </cell>
          <cell r="H80">
            <v>130.30087900038956</v>
          </cell>
          <cell r="I80">
            <v>0</v>
          </cell>
          <cell r="J80">
            <v>0.32478913189138953</v>
          </cell>
          <cell r="K80">
            <v>0</v>
          </cell>
          <cell r="L80">
            <v>46.026573045679669</v>
          </cell>
          <cell r="M80">
            <v>0</v>
          </cell>
          <cell r="N80">
            <v>0</v>
          </cell>
          <cell r="O80">
            <v>0</v>
          </cell>
        </row>
        <row r="81">
          <cell r="A81" t="str">
            <v>Pivot and Linear_Pressure Reduction_Medium2 to Low</v>
          </cell>
          <cell r="B81" t="str">
            <v>Pivot and Linear_Pressure Reduction_Medium2 to Low - Idaho</v>
          </cell>
          <cell r="C81">
            <v>26395.070567682575</v>
          </cell>
          <cell r="E81">
            <v>26395.070567682575</v>
          </cell>
          <cell r="F81">
            <v>247.57167010074016</v>
          </cell>
          <cell r="G81">
            <v>0</v>
          </cell>
          <cell r="H81">
            <v>130.30087900038956</v>
          </cell>
          <cell r="I81">
            <v>0</v>
          </cell>
          <cell r="J81">
            <v>0.32478913189138953</v>
          </cell>
          <cell r="K81">
            <v>0</v>
          </cell>
          <cell r="L81">
            <v>0.01</v>
          </cell>
          <cell r="M81">
            <v>0</v>
          </cell>
          <cell r="N81">
            <v>0</v>
          </cell>
          <cell r="O81">
            <v>0</v>
          </cell>
        </row>
        <row r="82">
          <cell r="A82" t="str">
            <v>Wheel-Line_Conversion to Low Pressure System (Alfalfa)</v>
          </cell>
          <cell r="B82" t="str">
            <v>Wheel-Line_Conversion to Low Pressure System (Alfalfa) - Idaho</v>
          </cell>
          <cell r="C82">
            <v>13967.381640013526</v>
          </cell>
          <cell r="E82">
            <v>13967.381640013526</v>
          </cell>
          <cell r="F82">
            <v>131.00658286499751</v>
          </cell>
          <cell r="G82">
            <v>0</v>
          </cell>
          <cell r="H82">
            <v>72.781434924998564</v>
          </cell>
          <cell r="I82">
            <v>0</v>
          </cell>
          <cell r="J82">
            <v>0.15246321010784289</v>
          </cell>
          <cell r="K82">
            <v>0</v>
          </cell>
          <cell r="L82">
            <v>117.11916365051205</v>
          </cell>
          <cell r="M82">
            <v>7.5</v>
          </cell>
          <cell r="N82">
            <v>0</v>
          </cell>
          <cell r="O82">
            <v>0</v>
          </cell>
        </row>
        <row r="83">
          <cell r="A83" t="str">
            <v>Hand-Line_Conversion to Low Pressure System (Alfalfa)</v>
          </cell>
          <cell r="B83" t="str">
            <v>Hand-Line_Conversion to Low Pressure System (Alfalfa) - Idaho</v>
          </cell>
          <cell r="C83">
            <v>13967.381640013526</v>
          </cell>
          <cell r="E83">
            <v>13967.381640013526</v>
          </cell>
          <cell r="F83">
            <v>131.00658286499751</v>
          </cell>
          <cell r="G83">
            <v>0</v>
          </cell>
          <cell r="H83">
            <v>72.781434924998564</v>
          </cell>
          <cell r="I83">
            <v>0</v>
          </cell>
          <cell r="J83">
            <v>0.15246321010784289</v>
          </cell>
          <cell r="K83">
            <v>0</v>
          </cell>
          <cell r="L83">
            <v>117.11916365051205</v>
          </cell>
          <cell r="M83">
            <v>7.5</v>
          </cell>
          <cell r="N83">
            <v>0</v>
          </cell>
          <cell r="O83">
            <v>0</v>
          </cell>
        </row>
        <row r="84">
          <cell r="A84" t="str">
            <v>Pivot and Linear_Pressure Reduction_High to Medium</v>
          </cell>
          <cell r="B84" t="str">
            <v>Pivot and Linear_Pressure Reduction_High to Medium - Montana</v>
          </cell>
          <cell r="C84">
            <v>6154.8396308142401</v>
          </cell>
          <cell r="E84">
            <v>6154.8396308142401</v>
          </cell>
          <cell r="F84">
            <v>54.706624668663423</v>
          </cell>
          <cell r="G84">
            <v>0</v>
          </cell>
          <cell r="H84">
            <v>49.733295153330374</v>
          </cell>
          <cell r="I84">
            <v>0</v>
          </cell>
          <cell r="J84">
            <v>0.17975030273849438</v>
          </cell>
          <cell r="K84">
            <v>0</v>
          </cell>
          <cell r="L84">
            <v>33.676751173193985</v>
          </cell>
          <cell r="M84">
            <v>0</v>
          </cell>
          <cell r="N84">
            <v>0</v>
          </cell>
          <cell r="O84">
            <v>0</v>
          </cell>
        </row>
        <row r="85">
          <cell r="A85" t="str">
            <v>Pivot and Linear_Pressure Reduction_Medium to Low</v>
          </cell>
          <cell r="B85" t="str">
            <v>Pivot and Linear_Pressure Reduction_Medium to Low - Montana</v>
          </cell>
          <cell r="C85">
            <v>14662.200872182497</v>
          </cell>
          <cell r="E85">
            <v>14662.200872182497</v>
          </cell>
          <cell r="F85">
            <v>130.32338258095652</v>
          </cell>
          <cell r="G85">
            <v>0</v>
          </cell>
          <cell r="H85">
            <v>118.47580234632406</v>
          </cell>
          <cell r="I85">
            <v>0</v>
          </cell>
          <cell r="J85">
            <v>0.48236146561738952</v>
          </cell>
          <cell r="K85">
            <v>0</v>
          </cell>
          <cell r="L85">
            <v>28.178627478849705</v>
          </cell>
          <cell r="M85">
            <v>0</v>
          </cell>
          <cell r="N85">
            <v>0</v>
          </cell>
          <cell r="O85">
            <v>0</v>
          </cell>
        </row>
        <row r="86">
          <cell r="A86" t="str">
            <v>Pivot and Linear_Pressure Reduction_Medium2 to Low</v>
          </cell>
          <cell r="B86" t="str">
            <v>Pivot and Linear_Pressure Reduction_Medium2 to Low - Montana</v>
          </cell>
          <cell r="C86">
            <v>14662.200872182497</v>
          </cell>
          <cell r="E86">
            <v>14662.200872182497</v>
          </cell>
          <cell r="F86">
            <v>130.32338258095652</v>
          </cell>
          <cell r="G86">
            <v>0</v>
          </cell>
          <cell r="H86">
            <v>118.47580234632406</v>
          </cell>
          <cell r="I86">
            <v>0</v>
          </cell>
          <cell r="J86">
            <v>0.48236146561738952</v>
          </cell>
          <cell r="K86">
            <v>0</v>
          </cell>
          <cell r="L86">
            <v>0.01</v>
          </cell>
          <cell r="M86">
            <v>0</v>
          </cell>
          <cell r="N86">
            <v>0</v>
          </cell>
          <cell r="O86">
            <v>0</v>
          </cell>
        </row>
        <row r="87">
          <cell r="A87" t="str">
            <v>Wheel-Line_Conversion to Low Pressure System (Alfalfa)</v>
          </cell>
          <cell r="B87" t="str">
            <v>Wheel-Line_Conversion to Low Pressure System (Alfalfa) - Montana</v>
          </cell>
          <cell r="C87">
            <v>8249.7043689262937</v>
          </cell>
          <cell r="E87">
            <v>8249.7043689262937</v>
          </cell>
          <cell r="F87">
            <v>73.326602740188392</v>
          </cell>
          <cell r="G87">
            <v>0</v>
          </cell>
          <cell r="H87">
            <v>56.405079030914152</v>
          </cell>
          <cell r="I87">
            <v>0</v>
          </cell>
          <cell r="J87">
            <v>0.20386403113923926</v>
          </cell>
          <cell r="K87">
            <v>0</v>
          </cell>
          <cell r="L87">
            <v>67.881278415155279</v>
          </cell>
          <cell r="M87">
            <v>7.5</v>
          </cell>
          <cell r="N87">
            <v>0</v>
          </cell>
          <cell r="O87">
            <v>0</v>
          </cell>
        </row>
        <row r="88">
          <cell r="A88" t="str">
            <v>Hand-Line_Conversion to Low Pressure System (Alfalfa)</v>
          </cell>
          <cell r="B88" t="str">
            <v>Hand-Line_Conversion to Low Pressure System (Alfalfa) - Montana</v>
          </cell>
          <cell r="C88">
            <v>8249.7043689262937</v>
          </cell>
          <cell r="E88">
            <v>8249.7043689262937</v>
          </cell>
          <cell r="F88">
            <v>73.326602740188392</v>
          </cell>
          <cell r="G88">
            <v>0</v>
          </cell>
          <cell r="H88">
            <v>56.405079030914152</v>
          </cell>
          <cell r="I88">
            <v>0</v>
          </cell>
          <cell r="J88">
            <v>0.20386403113923926</v>
          </cell>
          <cell r="K88">
            <v>0</v>
          </cell>
          <cell r="L88">
            <v>67.881278415155279</v>
          </cell>
          <cell r="M88">
            <v>7.5</v>
          </cell>
          <cell r="N88">
            <v>0</v>
          </cell>
          <cell r="O88">
            <v>0</v>
          </cell>
        </row>
        <row r="89">
          <cell r="A89" t="str">
            <v>Pivot and Linear_Pressure Reduction_High to Medium</v>
          </cell>
          <cell r="B89" t="str">
            <v>Pivot and Linear_Pressure Reduction_High to Medium - Oregon</v>
          </cell>
          <cell r="C89">
            <v>11633.814135421555</v>
          </cell>
          <cell r="E89">
            <v>11633.814135421555</v>
          </cell>
          <cell r="F89">
            <v>213.45106676362514</v>
          </cell>
          <cell r="G89">
            <v>0</v>
          </cell>
          <cell r="H89">
            <v>125.55945103742653</v>
          </cell>
          <cell r="I89">
            <v>0</v>
          </cell>
          <cell r="J89">
            <v>0.32236790652993519</v>
          </cell>
          <cell r="K89">
            <v>0</v>
          </cell>
          <cell r="L89">
            <v>47.407842670896066</v>
          </cell>
          <cell r="M89">
            <v>0</v>
          </cell>
          <cell r="N89">
            <v>0</v>
          </cell>
          <cell r="O89">
            <v>0</v>
          </cell>
        </row>
        <row r="90">
          <cell r="A90" t="str">
            <v>Pivot and Linear_Pressure Reduction_Medium to Low</v>
          </cell>
          <cell r="B90" t="str">
            <v>Pivot and Linear_Pressure Reduction_Medium to Low - Oregon</v>
          </cell>
          <cell r="C90">
            <v>11259.383522426509</v>
          </cell>
          <cell r="E90">
            <v>11259.383522426509</v>
          </cell>
          <cell r="F90">
            <v>206.58121197288978</v>
          </cell>
          <cell r="G90">
            <v>0</v>
          </cell>
          <cell r="H90">
            <v>121.51835998405284</v>
          </cell>
          <cell r="I90">
            <v>0</v>
          </cell>
          <cell r="J90">
            <v>0.42541907074196328</v>
          </cell>
          <cell r="K90">
            <v>0</v>
          </cell>
          <cell r="L90">
            <v>32.770851672462449</v>
          </cell>
          <cell r="M90">
            <v>0</v>
          </cell>
          <cell r="N90">
            <v>0</v>
          </cell>
          <cell r="O90">
            <v>0</v>
          </cell>
        </row>
        <row r="91">
          <cell r="A91" t="str">
            <v>Pivot and Linear_Pressure Reduction_Medium2 to Low</v>
          </cell>
          <cell r="B91" t="str">
            <v>Pivot and Linear_Pressure Reduction_Medium2 to Low - Oregon</v>
          </cell>
          <cell r="C91">
            <v>11259.383522426509</v>
          </cell>
          <cell r="E91">
            <v>11259.383522426509</v>
          </cell>
          <cell r="F91">
            <v>206.58121197288978</v>
          </cell>
          <cell r="G91">
            <v>0</v>
          </cell>
          <cell r="H91">
            <v>121.51835998405284</v>
          </cell>
          <cell r="I91">
            <v>0</v>
          </cell>
          <cell r="J91">
            <v>0.42541907074196328</v>
          </cell>
          <cell r="K91">
            <v>0</v>
          </cell>
          <cell r="L91">
            <v>0.01</v>
          </cell>
          <cell r="M91">
            <v>0</v>
          </cell>
          <cell r="N91">
            <v>0</v>
          </cell>
          <cell r="O91">
            <v>0</v>
          </cell>
        </row>
        <row r="92">
          <cell r="A92" t="str">
            <v>Wheel-Line_Conversion to Low Pressure System (Alfalfa)</v>
          </cell>
          <cell r="B92" t="str">
            <v>Wheel-Line_Conversion to Low Pressure System (Alfalfa) - Oregon</v>
          </cell>
          <cell r="C92">
            <v>9597.0463331400315</v>
          </cell>
          <cell r="E92">
            <v>9597.0463331400315</v>
          </cell>
          <cell r="F92">
            <v>176.08152870102978</v>
          </cell>
          <cell r="G92">
            <v>0</v>
          </cell>
          <cell r="H92">
            <v>76.557186391752111</v>
          </cell>
          <cell r="I92">
            <v>0</v>
          </cell>
          <cell r="J92">
            <v>0.20139257519683834</v>
          </cell>
          <cell r="K92">
            <v>0</v>
          </cell>
          <cell r="L92">
            <v>93.264188785754115</v>
          </cell>
          <cell r="M92">
            <v>7.5000000000000009</v>
          </cell>
          <cell r="N92">
            <v>0</v>
          </cell>
          <cell r="O92">
            <v>0</v>
          </cell>
        </row>
        <row r="93">
          <cell r="A93" t="str">
            <v>Hand-Line_Conversion to Low Pressure System (Alfalfa)</v>
          </cell>
          <cell r="B93" t="str">
            <v>Hand-Line_Conversion to Low Pressure System (Alfalfa) - Oregon</v>
          </cell>
          <cell r="C93">
            <v>9597.0463331400315</v>
          </cell>
          <cell r="E93">
            <v>9597.0463331400315</v>
          </cell>
          <cell r="F93">
            <v>176.08152870102978</v>
          </cell>
          <cell r="G93">
            <v>0</v>
          </cell>
          <cell r="H93">
            <v>76.557186391752111</v>
          </cell>
          <cell r="I93">
            <v>0</v>
          </cell>
          <cell r="J93">
            <v>0.20139257519683834</v>
          </cell>
          <cell r="K93">
            <v>0</v>
          </cell>
          <cell r="L93">
            <v>93.264188785754115</v>
          </cell>
          <cell r="M93">
            <v>7.5000000000000009</v>
          </cell>
          <cell r="N93">
            <v>0</v>
          </cell>
          <cell r="O93">
            <v>0</v>
          </cell>
        </row>
        <row r="94">
          <cell r="A94" t="str">
            <v>Pivot and Linear_Pressure Reduction_High to Medium</v>
          </cell>
          <cell r="B94" t="str">
            <v>Pivot and Linear_Pressure Reduction_High to Medium - Washington</v>
          </cell>
          <cell r="C94">
            <v>22320.874740031752</v>
          </cell>
          <cell r="E94">
            <v>22320.874740031752</v>
          </cell>
          <cell r="F94">
            <v>280.92250339291985</v>
          </cell>
          <cell r="G94">
            <v>0</v>
          </cell>
          <cell r="H94">
            <v>127.6920469967817</v>
          </cell>
          <cell r="I94">
            <v>0</v>
          </cell>
          <cell r="J94">
            <v>0.30581446333750573</v>
          </cell>
          <cell r="K94">
            <v>0</v>
          </cell>
          <cell r="L94">
            <v>50.822779311810613</v>
          </cell>
          <cell r="M94">
            <v>0</v>
          </cell>
          <cell r="N94">
            <v>0</v>
          </cell>
          <cell r="O94">
            <v>0</v>
          </cell>
        </row>
        <row r="95">
          <cell r="A95" t="str">
            <v>Pivot and Linear_Pressure Reduction_Medium to Low</v>
          </cell>
          <cell r="B95" t="str">
            <v>Pivot and Linear_Pressure Reduction_Medium to Low - Washington</v>
          </cell>
          <cell r="C95">
            <v>21614.482373890976</v>
          </cell>
          <cell r="E95">
            <v>21614.482373890976</v>
          </cell>
          <cell r="F95">
            <v>272.0321030754979</v>
          </cell>
          <cell r="G95">
            <v>0</v>
          </cell>
          <cell r="H95">
            <v>123.65095594340806</v>
          </cell>
          <cell r="I95">
            <v>0</v>
          </cell>
          <cell r="J95">
            <v>0.39416923124496711</v>
          </cell>
          <cell r="K95">
            <v>0</v>
          </cell>
          <cell r="L95">
            <v>35.989643204399584</v>
          </cell>
          <cell r="M95">
            <v>0</v>
          </cell>
          <cell r="N95">
            <v>0</v>
          </cell>
          <cell r="O95">
            <v>0</v>
          </cell>
        </row>
        <row r="96">
          <cell r="A96" t="str">
            <v>Pivot and Linear_Pressure Reduction_Medium2 to Low</v>
          </cell>
          <cell r="B96" t="str">
            <v>Pivot and Linear_Pressure Reduction_Medium2 to Low - Washington</v>
          </cell>
          <cell r="C96">
            <v>21614.482373890976</v>
          </cell>
          <cell r="E96">
            <v>21614.482373890976</v>
          </cell>
          <cell r="F96">
            <v>272.0321030754979</v>
          </cell>
          <cell r="G96">
            <v>0</v>
          </cell>
          <cell r="H96">
            <v>123.65095594340806</v>
          </cell>
          <cell r="I96">
            <v>0</v>
          </cell>
          <cell r="J96">
            <v>0.39416923124496711</v>
          </cell>
          <cell r="K96">
            <v>0</v>
          </cell>
          <cell r="L96">
            <v>0.01</v>
          </cell>
          <cell r="M96">
            <v>0</v>
          </cell>
          <cell r="N96">
            <v>0</v>
          </cell>
          <cell r="O96">
            <v>0</v>
          </cell>
        </row>
        <row r="97">
          <cell r="A97" t="str">
            <v>Wheel-Line_Conversion to Low Pressure System (Alfalfa)</v>
          </cell>
          <cell r="B97" t="str">
            <v>Wheel-Line_Conversion to Low Pressure System (Alfalfa) - Washington</v>
          </cell>
          <cell r="C97">
            <v>13990.668952112341</v>
          </cell>
          <cell r="E97">
            <v>13990.668952112341</v>
          </cell>
          <cell r="F97">
            <v>176.08152870103007</v>
          </cell>
          <cell r="G97">
            <v>0</v>
          </cell>
          <cell r="H97">
            <v>76.557186391752225</v>
          </cell>
          <cell r="I97">
            <v>0</v>
          </cell>
          <cell r="J97">
            <v>0.20139257519683856</v>
          </cell>
          <cell r="K97">
            <v>0</v>
          </cell>
          <cell r="L97">
            <v>93.264188785754101</v>
          </cell>
          <cell r="M97">
            <v>7.5</v>
          </cell>
          <cell r="N97">
            <v>0</v>
          </cell>
          <cell r="O97">
            <v>0</v>
          </cell>
        </row>
        <row r="98">
          <cell r="A98" t="str">
            <v>Hand-Line_Conversion to Low Pressure System (Alfalfa)</v>
          </cell>
          <cell r="B98" t="str">
            <v>Hand-Line_Conversion to Low Pressure System (Alfalfa) - Washington</v>
          </cell>
          <cell r="C98">
            <v>13990.668952112341</v>
          </cell>
          <cell r="E98">
            <v>13990.668952112341</v>
          </cell>
          <cell r="F98">
            <v>176.08152870103007</v>
          </cell>
          <cell r="G98">
            <v>0</v>
          </cell>
          <cell r="H98">
            <v>76.557186391752225</v>
          </cell>
          <cell r="I98">
            <v>0</v>
          </cell>
          <cell r="J98">
            <v>0.20139257519683856</v>
          </cell>
          <cell r="K98">
            <v>0</v>
          </cell>
          <cell r="L98">
            <v>93.264188785754101</v>
          </cell>
          <cell r="M98">
            <v>7.5</v>
          </cell>
          <cell r="N98">
            <v>0</v>
          </cell>
          <cell r="O98">
            <v>0</v>
          </cell>
          <cell r="P98" t="str">
            <v>Acres per Pump/Project</v>
          </cell>
        </row>
        <row r="99">
          <cell r="A99" t="str">
            <v>Variable Rate Irrigation</v>
          </cell>
          <cell r="B99" t="str">
            <v>Variable Rate Irrigation - Idaho</v>
          </cell>
          <cell r="C99">
            <v>6069.9065431033014</v>
          </cell>
          <cell r="E99">
            <v>6069.9065431033014</v>
          </cell>
          <cell r="F99">
            <v>56.93248276711963</v>
          </cell>
          <cell r="J99">
            <v>0.1</v>
          </cell>
          <cell r="L99">
            <v>317.01782041354164</v>
          </cell>
          <cell r="P99">
            <v>106.61587635185428</v>
          </cell>
        </row>
        <row r="100">
          <cell r="A100" t="str">
            <v>Variable Rate Irrigation</v>
          </cell>
          <cell r="B100" t="str">
            <v>Variable Rate Irrigation - Montana</v>
          </cell>
          <cell r="C100">
            <v>2264.8088528710373</v>
          </cell>
          <cell r="E100">
            <v>2264.8088528710373</v>
          </cell>
          <cell r="F100">
            <v>20.13050790795193</v>
          </cell>
          <cell r="J100">
            <v>0.1</v>
          </cell>
          <cell r="L100">
            <v>300.41992642919615</v>
          </cell>
          <cell r="P100">
            <v>112.50629458665547</v>
          </cell>
        </row>
        <row r="101">
          <cell r="A101" t="str">
            <v>Variable Rate Irrigation</v>
          </cell>
          <cell r="B101" t="str">
            <v>Variable Rate Irrigation - Oregon</v>
          </cell>
          <cell r="C101">
            <v>2303.241166606736</v>
          </cell>
          <cell r="E101">
            <v>2303.241166606736</v>
          </cell>
          <cell r="F101">
            <v>42.258650370667098</v>
          </cell>
          <cell r="J101">
            <v>0.1</v>
          </cell>
          <cell r="L101">
            <v>620.12860576958815</v>
          </cell>
          <cell r="P101">
            <v>54.503424657534246</v>
          </cell>
        </row>
        <row r="102">
          <cell r="A102" t="str">
            <v>Variable Rate Irrigation</v>
          </cell>
          <cell r="B102" t="str">
            <v>Variable Rate Irrigation - Washington</v>
          </cell>
          <cell r="C102">
            <v>3781.4696555943565</v>
          </cell>
          <cell r="E102">
            <v>3781.4696555943565</v>
          </cell>
          <cell r="F102">
            <v>47.592217353772845</v>
          </cell>
          <cell r="J102">
            <v>0.1</v>
          </cell>
          <cell r="L102">
            <v>425.38373128882586</v>
          </cell>
          <cell r="P102">
            <v>79.45563089622641</v>
          </cell>
        </row>
        <row r="112">
          <cell r="A112" t="str">
            <v>Notes on Variable Rate Irrigation:</v>
          </cell>
        </row>
        <row r="113">
          <cell r="A113" t="str">
            <v>Tom Osborn, 6/4/2018: "Of course, the water and energy consumption with zonal VRI depends on field irrigation prescriptions.   The students estimated energy saving of 18% with zonal VRI.  We found 10% overall savings on a field that needed zonal VRI.  I am not sure what percentage of the PNW fields actually need VRI.  The BC was less than 1.0 so is not cost effective."</v>
          </cell>
        </row>
        <row r="114">
          <cell r="A114" t="str">
            <v xml:space="preserve">Tom Osborn, 5/23/2018: "THERE ARE TWO TYPES OF STRATEGIES FOR VRI.  LOOK AT VALLEY AND ZIMMATIC WEBSITES.  ONE IS CALLED VARIABLE SPEED IRRIGATION (VSI) THAT CREATES VARIABLE IRRIGATED PIE SHAPES IN THE FIELD AS THE PIVOT SPEEDS UP AND SLOWS DOWN.  THE OTHER CALLED VARIABLE RATE IRRIGATION HAS VALVES CONTROLLING SOME OR MANY OF THE 125 SPRINKLERS ON A PIVOT.  AS THE PIVOT ROLLS THROUGH A LOW (OR HIGH OR ROCKY) SPOT THE SPRINKLERS SHUT OFF IN SUCCESSION AND TURN BACK ON DURING THE NEXT MOVE 3 MINUTES LATER.  The standard pivot operation delivers 900 to 1000 gpm to each entire field.  With VRI, the flows  vary from 500 gpm up to 1000 gpm depending on the field requirements at that pivot location. VSI IS RELATIVELY INEXPENSIVE AS ALL YOU NEED IS THE PIVOT CONTROLLER, AND A PRESCRIPTION… SO ABOUT $15k.  BUT THE WATER SAVINGS ARE NOT OPTIMIZED AS THE VARIATION IN THE FIELD IS NOT OFTEN PIE SHAPED.  IT DOES WORK WELL FOR MULTIPLE CROPS IN THE FIELD.  VRI HAS A HIGHER POTENTIAL FOR WATER AND ENERGY SAVINGS, BUT THE COST OF THE RETROFIT AND THE PRESCRIPTION IS $40K-$50K.  ON PREVIOUS PROJECTS, THIS MADES THE B/C BELOW 1.0.  BPA DESIRES TO CREATE A BPA QUALIFIED MEASURE WITH AMPLE INCENTIVES TO PROMOTE VRI AND COLLECT DATA ON INSTALLATIONS."
 Notes from Discussion on 5/29: VRI can control 50-120 sprinklers for $25-50k. Only two custom VRI projects, BC &lt; 0.5, $5k incentive. NEEA and BPA are interested in promoting VRI, need data. Unfortunately, there is a low probability that costs for VRI reduce over time. Osborn would doubt/push back on VRI as measure in 8PP. Add as a measure in extra info.
</v>
          </cell>
        </row>
        <row r="115">
          <cell r="A115" t="str">
            <v xml:space="preserve">Yari, A. Application of Variable Rate Irrigation Technology to Conserve Water and Improve Crop Productivity. McGill University. April 2017: The study investigated VRI applied to potato and wheat fields during two growing seasons. The study shows energy savings of ~15-21% for wheat and ~12% for potatoes. </v>
          </cell>
        </row>
        <row r="117">
          <cell r="A117" t="str">
            <v>--&gt; As a rough estimate, using 10% savings off of post-system upgrade efficient energy consumption</v>
          </cell>
          <cell r="C117">
            <v>0.1</v>
          </cell>
        </row>
        <row r="119">
          <cell r="B119" t="str">
            <v>Table of Estimates for VRI Costs</v>
          </cell>
        </row>
        <row r="120">
          <cell r="B120" t="str">
            <v>Source</v>
          </cell>
          <cell r="C120" t="str">
            <v>Min</v>
          </cell>
          <cell r="D120" t="str">
            <v>Max</v>
          </cell>
          <cell r="E120" t="str">
            <v>Dollar Year</v>
          </cell>
          <cell r="F120" t="str">
            <v>Min (2016$)</v>
          </cell>
          <cell r="G120" t="str">
            <v>Max (2016$)</v>
          </cell>
        </row>
        <row r="121">
          <cell r="B121" t="str">
            <v>BPA 2016 Agriculture Irrigation Market Research Report</v>
          </cell>
          <cell r="C121">
            <v>25000</v>
          </cell>
          <cell r="D121">
            <v>40000</v>
          </cell>
          <cell r="E121">
            <v>2016</v>
          </cell>
          <cell r="F121">
            <v>25000</v>
          </cell>
          <cell r="G121">
            <v>40000</v>
          </cell>
        </row>
        <row r="122">
          <cell r="B122" t="str">
            <v>Tom Osborn1</v>
          </cell>
          <cell r="C122">
            <v>40000</v>
          </cell>
          <cell r="D122">
            <v>50000</v>
          </cell>
          <cell r="E122">
            <v>2018</v>
          </cell>
          <cell r="F122">
            <v>38386.868243965546</v>
          </cell>
          <cell r="G122">
            <v>47983.585304956934</v>
          </cell>
        </row>
        <row r="123">
          <cell r="B123" t="str">
            <v>Tom Osborn2</v>
          </cell>
          <cell r="C123">
            <v>25000</v>
          </cell>
          <cell r="D123">
            <v>50000</v>
          </cell>
          <cell r="E123">
            <v>2018</v>
          </cell>
          <cell r="F123">
            <v>23991.792652478467</v>
          </cell>
          <cell r="G123">
            <v>47983.585304956934</v>
          </cell>
        </row>
        <row r="124">
          <cell r="B124" t="str">
            <v>Troy Peters http://alfalfa.ucdavis.edu/+symposium/proceedings/2017/Peters%20Troy.pdf</v>
          </cell>
          <cell r="C124">
            <v>15000</v>
          </cell>
          <cell r="D124">
            <v>25000</v>
          </cell>
          <cell r="E124">
            <v>2006</v>
          </cell>
          <cell r="F124">
            <v>17642.711412749301</v>
          </cell>
          <cell r="G124">
            <v>29404.519021248838</v>
          </cell>
        </row>
        <row r="125">
          <cell r="B125" t="str">
            <v>Average</v>
          </cell>
          <cell r="C125">
            <v>26250</v>
          </cell>
          <cell r="D125">
            <v>41250</v>
          </cell>
          <cell r="F125">
            <v>26255.343077298327</v>
          </cell>
          <cell r="G125">
            <v>41342.922407790684</v>
          </cell>
        </row>
        <row r="126">
          <cell r="G126">
            <v>33799.132742544505</v>
          </cell>
        </row>
      </sheetData>
      <sheetData sheetId="10">
        <row r="5">
          <cell r="A5" t="str">
            <v>Maintenance: Component Replacement to Maintain Uniformity (nozzles and sprinkler packages)</v>
          </cell>
        </row>
        <row r="6">
          <cell r="B6" t="str">
            <v>Savings are modeled as reductions in applied water from improved uniformity: less excess water is applied to meet the needs of the area of the field receiving the least amount of water, relative to the rest of the field.
The efficient case is good maintenance practice, defined as replacing components within their lifetime (as estimated by the RTF subcommittee).  Absent measurement of efficient case conditions, the RTF uses the 25th percentile system from a sample of systems in the Idaho study.  For hand and wheel lines, uniformity was not measured directly. Instead, nozzle flow in excess of the rated flow rate at the observed pressure was considered excess flow.  For center pivots, catch can tests were conducted to measure uniformity directly.
The baseline is the site's previous maintenance practice.  Absent site-specific data, we assume that the site's previous maintenance practice was to replace components after twice their lifetime, and that the resulting average excess water applied are the average excess water rates observed in the Idaho study.</v>
          </cell>
        </row>
        <row r="8">
          <cell r="A8" t="str">
            <v>Upgrades: Improved Application Efficiency on Center Pivots and Linear Moves</v>
          </cell>
        </row>
        <row r="9">
          <cell r="B9" t="str">
            <v>Savings are modeled as reductions in water demand from improvements to application efficiency.  Estimates of applications efficiency are from recent research by Bonneville/WSU/U.ID (for MESA and LESA) and from the Subcommittee (high pressure, sprinkler on top).</v>
          </cell>
        </row>
        <row r="12">
          <cell r="A12" t="str">
            <v>Upgrades: Pressure Reduction Conversions</v>
          </cell>
        </row>
        <row r="13">
          <cell r="B13" t="str">
            <v>Savings are modeled as reductions in system pressure based on prior NWPCC Plan analyses for High Pressure to MESA/LESA system</v>
          </cell>
        </row>
        <row r="14">
          <cell r="B14" t="str">
            <v>Savings for wheel/hand line systems are modeled as pressure reductions for sprinkler pressure reduction.</v>
          </cell>
        </row>
        <row r="15">
          <cell r="B15" t="str">
            <v>Savings for Variable Rate Irrigation estimated as 10% savings from the median efficient case of the reduced pressure cases</v>
          </cell>
        </row>
      </sheetData>
      <sheetData sheetId="11">
        <row r="4">
          <cell r="B4" t="str">
            <v>Western Idaho</v>
          </cell>
          <cell r="C4">
            <v>0.2</v>
          </cell>
        </row>
        <row r="5">
          <cell r="B5" t="str">
            <v>Eastern &amp; Southern Idaho</v>
          </cell>
          <cell r="C5">
            <v>0.8</v>
          </cell>
        </row>
        <row r="7">
          <cell r="B7" t="str">
            <v>WA</v>
          </cell>
        </row>
        <row r="8">
          <cell r="B8" t="str">
            <v>Eastern Washington and Oregon</v>
          </cell>
          <cell r="C8">
            <v>0.9</v>
          </cell>
        </row>
        <row r="9">
          <cell r="B9" t="str">
            <v>Western Washington and Oregon</v>
          </cell>
          <cell r="C9">
            <v>0.1</v>
          </cell>
        </row>
        <row r="11">
          <cell r="B11" t="str">
            <v>OR</v>
          </cell>
        </row>
        <row r="12">
          <cell r="B12" t="str">
            <v>Eastern Washington and Oregon</v>
          </cell>
          <cell r="C12">
            <v>0.78</v>
          </cell>
        </row>
        <row r="13">
          <cell r="B13" t="str">
            <v>Western Washington and Oregon</v>
          </cell>
          <cell r="C13">
            <v>0.22</v>
          </cell>
        </row>
        <row r="15">
          <cell r="B15" t="str">
            <v>MT</v>
          </cell>
        </row>
        <row r="16">
          <cell r="B16" t="str">
            <v>Montana</v>
          </cell>
          <cell r="C16">
            <v>0.2</v>
          </cell>
          <cell r="D16" t="str">
            <v>(only Western MT)</v>
          </cell>
        </row>
        <row r="21">
          <cell r="B21" t="str">
            <v>Energy &amp; Water Use Data for Estimating Savings from Irrigation Scheduling and Hardware Retrofits</v>
          </cell>
        </row>
        <row r="23">
          <cell r="B23" t="str">
            <v>Data and Assumptions</v>
          </cell>
          <cell r="C23" t="str">
            <v>State</v>
          </cell>
        </row>
        <row r="24">
          <cell r="B24" t="str">
            <v>Irrigation Electricity Use  - 2018</v>
          </cell>
          <cell r="C24" t="str">
            <v>Idaho</v>
          </cell>
          <cell r="D24" t="str">
            <v>Montana</v>
          </cell>
          <cell r="E24" t="str">
            <v>Oregon</v>
          </cell>
          <cell r="F24" t="str">
            <v>Washington</v>
          </cell>
        </row>
        <row r="25">
          <cell r="B25" t="str">
            <v>Farms</v>
          </cell>
          <cell r="C25">
            <v>7426</v>
          </cell>
          <cell r="D25">
            <v>5699</v>
          </cell>
          <cell r="E25">
            <v>9054</v>
          </cell>
          <cell r="F25">
            <v>7457</v>
          </cell>
          <cell r="H25" t="str">
            <v>*Adjusted from Total Energy to Electricity-only portion of 2018 I&amp;WS, Table 12</v>
          </cell>
        </row>
        <row r="26">
          <cell r="B26" t="str">
            <v>Pumps Powered</v>
          </cell>
          <cell r="C26">
            <v>22839</v>
          </cell>
          <cell r="D26">
            <v>9532</v>
          </cell>
          <cell r="E26">
            <v>18396</v>
          </cell>
          <cell r="F26">
            <v>20352</v>
          </cell>
          <cell r="H26" t="str">
            <v>*Adjusted from Total Energy to Electricity-only portion of 2018 I&amp;WS, Table 12</v>
          </cell>
        </row>
        <row r="27">
          <cell r="B27" t="str">
            <v>Total Irrigated Acres</v>
          </cell>
          <cell r="C27">
            <v>2435000</v>
          </cell>
          <cell r="D27">
            <v>1072410</v>
          </cell>
          <cell r="E27">
            <v>1002645</v>
          </cell>
          <cell r="F27">
            <v>1617081</v>
          </cell>
          <cell r="H27" t="str">
            <v>*Adjusted from Total Energy to Electricity-only portion of 2018 I&amp;WS, Table 12</v>
          </cell>
        </row>
        <row r="28">
          <cell r="B28" t="str">
            <v>Average Acres Irrigated per Farm</v>
          </cell>
          <cell r="C28">
            <v>327.9019660651764</v>
          </cell>
          <cell r="D28">
            <v>188.1751184418319</v>
          </cell>
          <cell r="E28">
            <v>110.74055666003976</v>
          </cell>
          <cell r="F28">
            <v>216.8540968217782</v>
          </cell>
        </row>
        <row r="29">
          <cell r="B29" t="str">
            <v>Average Acres Irrigated per Pump</v>
          </cell>
          <cell r="C29">
            <v>106.61587635185428</v>
          </cell>
          <cell r="D29">
            <v>112.50629458665547</v>
          </cell>
          <cell r="E29">
            <v>54.503424657534246</v>
          </cell>
          <cell r="F29">
            <v>79.45563089622641</v>
          </cell>
        </row>
        <row r="30">
          <cell r="B30" t="str">
            <v>Average Electricity Cost/Farm</v>
          </cell>
          <cell r="C30">
            <v>19549.959601400486</v>
          </cell>
          <cell r="D30">
            <v>4121.4248113704152</v>
          </cell>
          <cell r="E30">
            <v>5934.6145350121487</v>
          </cell>
          <cell r="F30">
            <v>12283.760225291673</v>
          </cell>
          <cell r="H30" t="str">
            <v>*Adjusted from Total Energy to Electricity-only portion of 2018 I&amp;WS, Table 12</v>
          </cell>
        </row>
        <row r="31">
          <cell r="B31" t="str">
            <v>Average. Electricity Costs ($/acre/yr)</v>
          </cell>
          <cell r="C31">
            <v>59.621355236139628</v>
          </cell>
          <cell r="D31">
            <v>21.902071036264115</v>
          </cell>
          <cell r="E31">
            <v>53.590253778755191</v>
          </cell>
          <cell r="F31">
            <v>56.645276272493462</v>
          </cell>
          <cell r="H31" t="str">
            <v>*Adjusted from Total Energy to Electricity-only portion of 2018 I&amp;WS, Table 12</v>
          </cell>
        </row>
        <row r="32">
          <cell r="B32" t="str">
            <v>Average. Electricity Costs ($/pump/yr)</v>
          </cell>
          <cell r="C32">
            <v>6356.583037786243</v>
          </cell>
          <cell r="D32">
            <v>2464.1208560637847</v>
          </cell>
          <cell r="E32">
            <v>2920.852359208523</v>
          </cell>
          <cell r="F32">
            <v>4500.7861635220124</v>
          </cell>
        </row>
        <row r="33">
          <cell r="B33" t="str">
            <v>Average Acre Ft/Acre</v>
          </cell>
          <cell r="C33">
            <v>1.9</v>
          </cell>
          <cell r="D33">
            <v>1.1000000000000001</v>
          </cell>
          <cell r="E33">
            <v>1.7</v>
          </cell>
          <cell r="F33">
            <v>2.2000000000000002</v>
          </cell>
          <cell r="H33" t="str">
            <v>2013 FRIS, Table 33</v>
          </cell>
        </row>
        <row r="34">
          <cell r="B34" t="str">
            <v>Annual Electricity Use (kWh/acre/yr)</v>
          </cell>
          <cell r="C34">
            <v>987.13284770678217</v>
          </cell>
          <cell r="D34">
            <v>1222.7473121978908</v>
          </cell>
          <cell r="E34">
            <v>2493.6718866664014</v>
          </cell>
          <cell r="F34">
            <v>123.12088871383963</v>
          </cell>
        </row>
        <row r="35">
          <cell r="B35" t="str">
            <v>Average Use (kWh/Acre.- Ft.</v>
          </cell>
          <cell r="C35">
            <v>519.54360405620116</v>
          </cell>
          <cell r="D35">
            <v>1111.588465634446</v>
          </cell>
          <cell r="E35">
            <v>1466.8658156861186</v>
          </cell>
          <cell r="F35">
            <v>55.964040324472556</v>
          </cell>
        </row>
        <row r="36">
          <cell r="B36" t="str">
            <v>Estimate Annual Irrigation Use (aMW)</v>
          </cell>
          <cell r="C36">
            <v>277.23973289112047</v>
          </cell>
          <cell r="D36">
            <v>151.24411131189621</v>
          </cell>
          <cell r="E36">
            <v>288.38150505266827</v>
          </cell>
          <cell r="F36">
            <v>22.963835045243886</v>
          </cell>
        </row>
        <row r="38">
          <cell r="B38" t="str">
            <v>Adjusted Unitization for 2021 Plan</v>
          </cell>
          <cell r="M38" t="str">
            <v>Original Assumptions from 7th Plan (from 7PP Dick Stroh feedback)</v>
          </cell>
        </row>
        <row r="39">
          <cell r="B39" t="str">
            <v>Measure</v>
          </cell>
          <cell r="C39" t="str">
            <v>RTF Savings Unit</v>
          </cell>
          <cell r="D39" t="str">
            <v>Unit/Acre</v>
          </cell>
          <cell r="F39" t="str">
            <v>Irrigation Sales (aMW)</v>
          </cell>
          <cell r="G39">
            <v>2022</v>
          </cell>
          <cell r="H39" t="str">
            <v>Data have not been updated with most recent load forecast</v>
          </cell>
          <cell r="M39" t="str">
            <v>Measure</v>
          </cell>
          <cell r="N39" t="str">
            <v>RTF Savings Unit</v>
          </cell>
          <cell r="O39" t="str">
            <v>Unit/Acre</v>
          </cell>
        </row>
        <row r="40">
          <cell r="B40" t="str">
            <v>Wheel and Hand_Rebuilt or new impact sprinkler</v>
          </cell>
          <cell r="C40" t="str">
            <v>per sprinkler</v>
          </cell>
          <cell r="D40">
            <v>1.6</v>
          </cell>
          <cell r="F40" t="str">
            <v>ID</v>
          </cell>
          <cell r="G40">
            <v>277.23973289112047</v>
          </cell>
          <cell r="M40" t="str">
            <v xml:space="preserve">Wheel/hand line systems: Replace worn nozzle with new flow controlling type nozzle for impact sprinklers </v>
          </cell>
          <cell r="N40" t="str">
            <v>per nozzle</v>
          </cell>
          <cell r="O40">
            <v>1.6</v>
          </cell>
        </row>
        <row r="41">
          <cell r="B41" t="str">
            <v>Wheel and Hand_Gaskets</v>
          </cell>
          <cell r="C41" t="str">
            <v>per gasket</v>
          </cell>
          <cell r="D41">
            <v>1.6</v>
          </cell>
          <cell r="F41" t="str">
            <v>OR</v>
          </cell>
          <cell r="G41">
            <v>151.24411131189621</v>
          </cell>
          <cell r="M41" t="str">
            <v xml:space="preserve">Wheel/hand line systems: Replace worn nozzle with new nozzle </v>
          </cell>
          <cell r="N41" t="str">
            <v>per nozzle</v>
          </cell>
          <cell r="O41">
            <v>1.6</v>
          </cell>
        </row>
        <row r="42">
          <cell r="B42" t="str">
            <v>Wheel and Hand_Drains</v>
          </cell>
          <cell r="C42" t="str">
            <v>per drain</v>
          </cell>
          <cell r="D42">
            <v>1.6</v>
          </cell>
          <cell r="F42" t="str">
            <v>WA</v>
          </cell>
          <cell r="G42">
            <v>288.38150505266827</v>
          </cell>
          <cell r="M42" t="str">
            <v xml:space="preserve">Wheel/hand line systems: Rebuild or replace leaking impact sprinkler with new or rebuilt impact sprinkler </v>
          </cell>
          <cell r="N42" t="str">
            <v>per sprinkler</v>
          </cell>
          <cell r="O42">
            <v>1.6</v>
          </cell>
        </row>
        <row r="43">
          <cell r="B43" t="str">
            <v>Wheel and Hand_Cut and press repair</v>
          </cell>
          <cell r="C43" t="str">
            <v>per repair</v>
          </cell>
          <cell r="D43">
            <v>1.6</v>
          </cell>
          <cell r="F43" t="str">
            <v>WMT</v>
          </cell>
          <cell r="G43">
            <v>22.963835045243886</v>
          </cell>
          <cell r="M43" t="str">
            <v xml:space="preserve">Wheel/hand line systems: Replace leaking gasket with new gasket </v>
          </cell>
          <cell r="N43" t="str">
            <v>per gasket</v>
          </cell>
          <cell r="O43">
            <v>1.6</v>
          </cell>
        </row>
        <row r="44">
          <cell r="A44" t="str">
            <v>Thunderbird</v>
          </cell>
          <cell r="B44" t="str">
            <v>Wheel and Hand_Hub gasket</v>
          </cell>
          <cell r="C44" t="str">
            <v>per hub</v>
          </cell>
          <cell r="D44">
            <v>3.2</v>
          </cell>
          <cell r="F44" t="str">
            <v>Region</v>
          </cell>
          <cell r="G44">
            <v>739.82918430092889</v>
          </cell>
          <cell r="M44" t="str">
            <v xml:space="preserve">Wheel/hand line systems: Replace leaking drain with new drain </v>
          </cell>
          <cell r="N44" t="str">
            <v>per drain</v>
          </cell>
          <cell r="O44">
            <v>1.6</v>
          </cell>
        </row>
        <row r="45">
          <cell r="B45" t="str">
            <v>Wheel and Hand_Levelers</v>
          </cell>
          <cell r="C45" t="str">
            <v>per leveler</v>
          </cell>
          <cell r="D45">
            <v>1.6</v>
          </cell>
          <cell r="F45" t="str">
            <v>MWA</v>
          </cell>
          <cell r="M45" t="str">
            <v xml:space="preserve">Wheel/hand line systems: Cut and pipe press repair of leaking hand-lines, wheel-lines, and portable main-lines </v>
          </cell>
          <cell r="N45" t="str">
            <v>per repair</v>
          </cell>
          <cell r="O45">
            <v>1.6</v>
          </cell>
        </row>
        <row r="46">
          <cell r="B46" t="str">
            <v>Pivot and Linear_Base boot gasket</v>
          </cell>
          <cell r="C46" t="str">
            <v>per pivot boot gasket</v>
          </cell>
          <cell r="D46">
            <v>8.3000000000000001E-3</v>
          </cell>
          <cell r="M46" t="str">
            <v xml:space="preserve">Thunderbird wheel line systems: Replace leaking hub with new hub </v>
          </cell>
          <cell r="N46" t="str">
            <v>per hub</v>
          </cell>
          <cell r="O46">
            <v>3.2</v>
          </cell>
        </row>
        <row r="47">
          <cell r="B47" t="str">
            <v>Pivot and Linear_Tower gasket</v>
          </cell>
          <cell r="C47" t="str">
            <v>per tower gasket</v>
          </cell>
          <cell r="D47">
            <v>8.3000000000000004E-2</v>
          </cell>
          <cell r="M47" t="str">
            <v xml:space="preserve">Wheel line systems: Rebuild or replace leaking or malfunctioning leveler with new or rebuilt leveler. </v>
          </cell>
          <cell r="N47" t="str">
            <v>per leveler</v>
          </cell>
          <cell r="O47">
            <v>1.6</v>
          </cell>
        </row>
        <row r="48">
          <cell r="B48" t="str">
            <v>Wheel and Hand_Nozzle replacement</v>
          </cell>
          <cell r="C48" t="str">
            <v>per nozzle</v>
          </cell>
          <cell r="D48">
            <v>1.6</v>
          </cell>
          <cell r="M48" t="str">
            <v xml:space="preserve">Center pivot/linear move systems: Install new sprinkler package on an existing system. </v>
          </cell>
          <cell r="N48" t="str">
            <v>per sprinkler package</v>
          </cell>
          <cell r="O48">
            <v>0.95</v>
          </cell>
        </row>
        <row r="49">
          <cell r="B49" t="str">
            <v>Pivot and Linear_Sprinkler package replacement, high pressure</v>
          </cell>
          <cell r="C49" t="str">
            <v>per nozzle</v>
          </cell>
          <cell r="D49">
            <v>0.53677200154016247</v>
          </cell>
          <cell r="F49" t="str">
            <v>Incremental</v>
          </cell>
          <cell r="M49" t="str">
            <v xml:space="preserve">Center pivot/linear move systems: New gooseneck elbows </v>
          </cell>
          <cell r="N49" t="str">
            <v>per gooseneck elbow</v>
          </cell>
          <cell r="O49">
            <v>0.95</v>
          </cell>
        </row>
        <row r="50">
          <cell r="B50" t="str">
            <v>Pivot and Linear_Sprinkler package replacement, MESA</v>
          </cell>
          <cell r="C50" t="str">
            <v>per nozzle</v>
          </cell>
          <cell r="D50">
            <v>1.0735440030803249</v>
          </cell>
          <cell r="F50">
            <v>0.53677200154016247</v>
          </cell>
          <cell r="M50" t="str">
            <v xml:space="preserve">Center pivot/linear move systems: New drop tubes (3 feet minimum) </v>
          </cell>
          <cell r="N50" t="str">
            <v>per drop tube</v>
          </cell>
          <cell r="O50">
            <v>0.95</v>
          </cell>
        </row>
        <row r="51">
          <cell r="B51" t="str">
            <v>Pivot and Linear_Sprinkler package replacement, LESA/LEPA/MDI</v>
          </cell>
          <cell r="C51" t="str">
            <v>per nozzle</v>
          </cell>
          <cell r="D51">
            <v>2.1470880061606499</v>
          </cell>
          <cell r="F51">
            <v>1.0735440030803249</v>
          </cell>
          <cell r="M51" t="str">
            <v xml:space="preserve">Center pivot/linear move systems: Replace leaking pivot boot gasket with new pivot boot gasket </v>
          </cell>
          <cell r="N51" t="str">
            <v>per pivot boot gasket</v>
          </cell>
          <cell r="O51">
            <v>8.3000000000000001E-3</v>
          </cell>
        </row>
        <row r="52">
          <cell r="B52" t="str">
            <v>Pivot and Linear_Upgrade from high pressure to MESA</v>
          </cell>
          <cell r="C52" t="str">
            <v>per nozzle</v>
          </cell>
          <cell r="D52">
            <v>1.0735440030803249</v>
          </cell>
          <cell r="E52" t="str">
            <v>Values represent count of nozzles after the upgrade.</v>
          </cell>
          <cell r="M52" t="str">
            <v xml:space="preserve">Center pivot/linear move systems: Replace leaking tower gasket with new tower gasket </v>
          </cell>
          <cell r="N52" t="str">
            <v>per tower gasket</v>
          </cell>
          <cell r="O52">
            <v>8.3000000000000004E-2</v>
          </cell>
        </row>
        <row r="53">
          <cell r="B53" t="str">
            <v>Pivot and Linear_Upgrade from high pressure to LESA/LEPA/MDI</v>
          </cell>
          <cell r="C53" t="str">
            <v>per nozzle</v>
          </cell>
          <cell r="D53">
            <v>2.1470880061606499</v>
          </cell>
          <cell r="E53" t="str">
            <v>Values represent count of nozzles after the upgrade.</v>
          </cell>
        </row>
        <row r="54">
          <cell r="B54" t="str">
            <v>Pivot and Linear_Upgrade from MESA to LESA/LEPA/MDI</v>
          </cell>
          <cell r="C54" t="str">
            <v>per nozzle</v>
          </cell>
          <cell r="D54">
            <v>2.1470880061606499</v>
          </cell>
          <cell r="E54" t="str">
            <v>Values represent count of nozzles after the upgrade.</v>
          </cell>
        </row>
        <row r="55">
          <cell r="B55" t="str">
            <v>*Used same unit/acre values from 7PP; adjusted measure names and savings units</v>
          </cell>
        </row>
        <row r="59">
          <cell r="B59" t="str">
            <v>Pumped Wells</v>
          </cell>
          <cell r="C59" t="str">
            <v>Idaho</v>
          </cell>
          <cell r="D59" t="str">
            <v>Montana</v>
          </cell>
          <cell r="E59" t="str">
            <v>Oregon</v>
          </cell>
          <cell r="F59" t="str">
            <v>Washington</v>
          </cell>
        </row>
        <row r="60">
          <cell r="B60" t="str">
            <v>Farms</v>
          </cell>
          <cell r="C60">
            <v>2904</v>
          </cell>
          <cell r="D60">
            <v>1294</v>
          </cell>
          <cell r="E60">
            <v>4513</v>
          </cell>
          <cell r="F60">
            <v>3936</v>
          </cell>
          <cell r="G60" t="str">
            <v>FRIS 2018, Table 9</v>
          </cell>
        </row>
        <row r="61">
          <cell r="B61" t="str">
            <v>Number</v>
          </cell>
          <cell r="C61">
            <v>7158</v>
          </cell>
          <cell r="D61">
            <v>1727</v>
          </cell>
          <cell r="E61">
            <v>8953</v>
          </cell>
          <cell r="F61">
            <v>6808</v>
          </cell>
          <cell r="G61" t="str">
            <v>FRIS 2018, Table 9</v>
          </cell>
        </row>
        <row r="62">
          <cell r="B62" t="str">
            <v>Average well depth (ft)</v>
          </cell>
          <cell r="C62">
            <v>307</v>
          </cell>
          <cell r="D62">
            <v>145</v>
          </cell>
          <cell r="E62">
            <v>211</v>
          </cell>
          <cell r="F62">
            <v>271</v>
          </cell>
          <cell r="G62" t="str">
            <v>FRIS 2018, Table 9</v>
          </cell>
        </row>
        <row r="63">
          <cell r="B63" t="str">
            <v>Average depth to water (ft)</v>
          </cell>
          <cell r="C63">
            <v>135</v>
          </cell>
          <cell r="D63">
            <v>52</v>
          </cell>
          <cell r="E63">
            <v>69</v>
          </cell>
          <cell r="F63">
            <v>104</v>
          </cell>
          <cell r="G63" t="str">
            <v>FRIS 2018, Table 9</v>
          </cell>
        </row>
        <row r="64">
          <cell r="B64" t="str">
            <v>Average pumping depth to bowls (ft)</v>
          </cell>
          <cell r="C64">
            <v>197</v>
          </cell>
          <cell r="D64">
            <v>94</v>
          </cell>
          <cell r="E64">
            <v>129</v>
          </cell>
          <cell r="F64">
            <v>168</v>
          </cell>
          <cell r="G64" t="str">
            <v>FRIS 2018, Table 9</v>
          </cell>
        </row>
        <row r="65">
          <cell r="B65" t="str">
            <v>Average pumping capacity (GPM)</v>
          </cell>
          <cell r="C65">
            <v>1072</v>
          </cell>
          <cell r="D65">
            <v>217</v>
          </cell>
          <cell r="E65">
            <v>349</v>
          </cell>
          <cell r="F65">
            <v>414</v>
          </cell>
          <cell r="G65" t="str">
            <v>FRIS 2018, Table 9</v>
          </cell>
        </row>
        <row r="66">
          <cell r="B66" t="str">
            <v>Average operating pressure (psi)</v>
          </cell>
          <cell r="C66">
            <v>57</v>
          </cell>
          <cell r="D66">
            <v>53</v>
          </cell>
          <cell r="E66">
            <v>60</v>
          </cell>
          <cell r="F66">
            <v>64</v>
          </cell>
          <cell r="G66" t="str">
            <v>FRIS 2018, Table 9</v>
          </cell>
        </row>
        <row r="67">
          <cell r="B67" t="str">
            <v>Average HP</v>
          </cell>
          <cell r="C67">
            <v>164</v>
          </cell>
          <cell r="D67">
            <v>36</v>
          </cell>
          <cell r="E67">
            <v>60</v>
          </cell>
          <cell r="F67">
            <v>85</v>
          </cell>
          <cell r="G67" t="str">
            <v>FRIS 2018, Table 9</v>
          </cell>
        </row>
        <row r="68">
          <cell r="B68" t="str">
            <v>Average hours of operation</v>
          </cell>
          <cell r="C68">
            <v>1208</v>
          </cell>
          <cell r="D68">
            <v>419</v>
          </cell>
          <cell r="E68">
            <v>732</v>
          </cell>
          <cell r="F68">
            <v>1117</v>
          </cell>
          <cell r="G68" t="str">
            <v>FRIS 2018, Table 9</v>
          </cell>
        </row>
        <row r="69">
          <cell r="B69" t="str">
            <v>Share of Wells</v>
          </cell>
          <cell r="C69">
            <v>0.29043252454759394</v>
          </cell>
          <cell r="D69">
            <v>7.0072222673050397E-2</v>
          </cell>
          <cell r="E69">
            <v>0.36326381562931104</v>
          </cell>
          <cell r="F69">
            <v>0.27623143715004461</v>
          </cell>
        </row>
        <row r="70">
          <cell r="B70" t="str">
            <v>*Added from 7th Plan "Ag-Convert_P_Irr-7P_v3” workbook and verified with FRIS: not actually used in final calculations</v>
          </cell>
        </row>
        <row r="73">
          <cell r="B73" t="str">
            <v>Derivation of System Leakage Percentage - For Pressure Reduction Measure Calculations: Wheel and Hand</v>
          </cell>
        </row>
        <row r="74">
          <cell r="B74" t="str">
            <v>Measure</v>
          </cell>
          <cell r="C74" t="str">
            <v>RTF Savings Unit</v>
          </cell>
          <cell r="D74" t="str">
            <v>Unit/Acre</v>
          </cell>
          <cell r="E74" t="str">
            <v>Avg. Leak (GPM/unit)</v>
          </cell>
        </row>
        <row r="75">
          <cell r="B75" t="str">
            <v>Wheel and Hand_Rebuilt or new impact sprinkler</v>
          </cell>
          <cell r="C75" t="str">
            <v>per sprinkler</v>
          </cell>
          <cell r="D75">
            <v>1.6</v>
          </cell>
          <cell r="E75">
            <v>3.6180631120783457E-2</v>
          </cell>
        </row>
        <row r="76">
          <cell r="B76" t="str">
            <v>Wheel and Hand_Gaskets</v>
          </cell>
          <cell r="C76" t="str">
            <v>per gasket</v>
          </cell>
          <cell r="D76">
            <v>1.6</v>
          </cell>
          <cell r="E76">
            <v>0.17726480836236932</v>
          </cell>
        </row>
        <row r="77">
          <cell r="B77" t="str">
            <v>Wheel and Hand_Drains</v>
          </cell>
          <cell r="C77" t="str">
            <v>per drain</v>
          </cell>
          <cell r="D77">
            <v>1.6</v>
          </cell>
          <cell r="E77">
            <v>0.11525323910482924</v>
          </cell>
        </row>
        <row r="78">
          <cell r="B78" t="str">
            <v>Wheel and Hand_Cut and press repair</v>
          </cell>
          <cell r="C78" t="str">
            <v>per repair</v>
          </cell>
          <cell r="D78">
            <v>1.6</v>
          </cell>
          <cell r="E78">
            <v>0.50961538461538447</v>
          </cell>
        </row>
        <row r="79">
          <cell r="B79" t="str">
            <v>Wheel and Hand_Levelers</v>
          </cell>
          <cell r="C79" t="str">
            <v>per leveler</v>
          </cell>
          <cell r="D79">
            <v>1.6</v>
          </cell>
          <cell r="E79">
            <v>4.9836779107725791E-2</v>
          </cell>
        </row>
        <row r="80">
          <cell r="B80" t="str">
            <v>Wheel and Hand_Nozzle replacement</v>
          </cell>
          <cell r="C80" t="str">
            <v>per nozzle</v>
          </cell>
          <cell r="D80">
            <v>1.6</v>
          </cell>
          <cell r="E80">
            <v>0.28380751933097753</v>
          </cell>
        </row>
        <row r="81">
          <cell r="B81" t="str">
            <v>Weighted Average Leakage (GPM/acre) for well-maintained Wheel and Hand system</v>
          </cell>
          <cell r="E81">
            <v>0.19532639360701165</v>
          </cell>
        </row>
        <row r="82">
          <cell r="B82" t="str">
            <v>**Added by AEG to try to estimate system leakage; no other % leakage data provided</v>
          </cell>
        </row>
        <row r="84">
          <cell r="B84" t="str">
            <v>Derivation of System Leakage Percentage - For Pressure Reduction Measure Calculations: Wheel and Hand</v>
          </cell>
        </row>
        <row r="85">
          <cell r="B85" t="str">
            <v>Measure</v>
          </cell>
          <cell r="C85" t="str">
            <v>RTF Savings Unit</v>
          </cell>
          <cell r="D85" t="str">
            <v>Unit/Acre</v>
          </cell>
          <cell r="E85" t="str">
            <v>Avg. Leak (GPM/unit)</v>
          </cell>
        </row>
        <row r="86">
          <cell r="B86" t="str">
            <v>Pivot and Linear_Base boot gasket</v>
          </cell>
          <cell r="C86" t="str">
            <v>per pivot boot gasket</v>
          </cell>
          <cell r="D86">
            <v>8.3000000000000001E-3</v>
          </cell>
          <cell r="E86">
            <v>20</v>
          </cell>
        </row>
        <row r="87">
          <cell r="B87" t="str">
            <v>Pivot and Linear_Tower gasket</v>
          </cell>
          <cell r="C87" t="str">
            <v>per tower gasket</v>
          </cell>
          <cell r="D87">
            <v>8.3000000000000004E-2</v>
          </cell>
          <cell r="E87">
            <v>6.1111111111111102E-2</v>
          </cell>
        </row>
        <row r="88">
          <cell r="E88">
            <v>1.8737373737373737</v>
          </cell>
          <cell r="F88">
            <v>230.46969696969697</v>
          </cell>
        </row>
        <row r="90">
          <cell r="B90" t="str">
            <v>Assume Split between Pivot and Linear:</v>
          </cell>
          <cell r="C90">
            <v>0.96512896127332359</v>
          </cell>
          <cell r="D90" t="str">
            <v>Based on FRIS 2013. Perfectly backed up by Dick Stroh comment in 8/1/2018 email: "Between pivots and linear moves, I would guess linear moves might make up about 5% of the sales. Cost, reliability and maintenance issues have limited the popularity of linear moves."</v>
          </cell>
        </row>
        <row r="99">
          <cell r="A99" t="str">
            <v>From Dick Stroh, 8/1/2018:</v>
          </cell>
        </row>
        <row r="100">
          <cell r="B100" t="str">
            <v>To establish the nozzles/acre for a pivot, we use the following equation:</v>
          </cell>
        </row>
        <row r="102">
          <cell r="B102" t="str">
            <v>acre/nozzle =  [∏ x Nozzle Spacing (ft) x (Pivot Length (ft) + End Sprinkler Throw (ft))]/43,560 (ft2/ acre)</v>
          </cell>
        </row>
        <row r="103">
          <cell r="B103" t="str">
            <v>To establish the nozzles/acre for a linear move or more commonly known in the industry as a lateral move, the following equation is used:</v>
          </cell>
        </row>
        <row r="104">
          <cell r="B104" t="str">
            <v>Nozzles/Acre = 43,560 (ft2/acre)/(Lateral Move Travel Distance (ft) x pi() Nozzle Spacing (ft))</v>
          </cell>
        </row>
        <row r="106">
          <cell r="B106" t="str">
            <v>Typically, most pivots are set up to water a quarter section or 160 acres.  Unless there is a corner arm or end gun, approximately 10 acres in each of the corners are not watered.  Assume the pivot length plus end sprinkler throw is 1320 feet or a quarter mile with 20 foot nozzle spacing.  Using the formula for a pivot:</v>
          </cell>
        </row>
        <row r="107">
          <cell r="B107" t="str">
            <v>Nozzles/Acre = 43,560 (ft2/ acre) / [∏ x Nozzle Spacing (ft) x (Pivot Length (ft) + End Sprinkler Throw (ft))]</v>
          </cell>
        </row>
        <row r="108">
          <cell r="B108" t="str">
            <v>Nozzles/Acre = 43,560 ft2 / acre/[∏ x 20 ft x 1320 ft]</v>
          </cell>
        </row>
        <row r="109">
          <cell r="B109" t="str">
            <v>Nozzles/Acre = 0.53</v>
          </cell>
        </row>
        <row r="110">
          <cell r="A110" t="str">
            <v>Pivot</v>
          </cell>
          <cell r="B110" t="str">
            <v>Nozzles/ Acre</v>
          </cell>
          <cell r="C110" t="str">
            <v>Nozzle Spacing (ft)</v>
          </cell>
          <cell r="E110" t="str">
            <v>Nozzles</v>
          </cell>
          <cell r="F110" t="str">
            <v>Acres</v>
          </cell>
        </row>
        <row r="111">
          <cell r="A111" t="str">
            <v>High P</v>
          </cell>
          <cell r="B111">
            <v>0.52629645954251747</v>
          </cell>
          <cell r="C111">
            <v>20</v>
          </cell>
          <cell r="E111">
            <v>66</v>
          </cell>
          <cell r="F111">
            <v>125.66370614359172</v>
          </cell>
          <cell r="G111">
            <v>0.52521131220325468</v>
          </cell>
        </row>
        <row r="112">
          <cell r="A112" t="str">
            <v>MESA</v>
          </cell>
          <cell r="B112">
            <v>1.0525929190850349</v>
          </cell>
          <cell r="C112">
            <v>10</v>
          </cell>
          <cell r="E112">
            <v>132</v>
          </cell>
          <cell r="F112">
            <v>125.66370614359172</v>
          </cell>
          <cell r="G112">
            <v>1.0504226244065094</v>
          </cell>
        </row>
        <row r="113">
          <cell r="A113" t="str">
            <v>LESA</v>
          </cell>
          <cell r="B113">
            <v>2.1051858381700699</v>
          </cell>
          <cell r="C113">
            <v>5</v>
          </cell>
          <cell r="E113">
            <v>264</v>
          </cell>
          <cell r="F113">
            <v>125.66370614359172</v>
          </cell>
          <cell r="G113">
            <v>2.1008452488130187</v>
          </cell>
        </row>
        <row r="115">
          <cell r="B115" t="str">
            <v>For a lateral move system, we will again assume 20 foot nozzle spacing and a standard quarter mile length of 1320 feet but with a travel distance of 2640 feet or ½ mile.  This equals 80 acres.  No missing corners with this machine to worry about:</v>
          </cell>
        </row>
        <row r="116">
          <cell r="B116" t="str">
            <v>Nozzles/Acre = 43,560 (ft2/acre)/(Lateral Move Travel Distance (ft) x Nozzle Spacing (ft))</v>
          </cell>
        </row>
        <row r="117">
          <cell r="B117" t="str">
            <v>Nozzles/Acre = 43,560 ft2acre/2640 ft x 20 ft</v>
          </cell>
        </row>
        <row r="118">
          <cell r="B118" t="str">
            <v>Nozzles/Acre = 0.825</v>
          </cell>
        </row>
        <row r="119">
          <cell r="A119" t="str">
            <v>Linear Move</v>
          </cell>
          <cell r="B119" t="str">
            <v>Nozzles/ Acre</v>
          </cell>
          <cell r="C119" t="str">
            <v>Nozzle Spacing (ft)</v>
          </cell>
          <cell r="E119" t="str">
            <v>Nozzles</v>
          </cell>
          <cell r="F119" t="str">
            <v>Acres</v>
          </cell>
        </row>
        <row r="120">
          <cell r="A120" t="str">
            <v>High P</v>
          </cell>
          <cell r="B120">
            <v>0.82670454545454541</v>
          </cell>
          <cell r="C120">
            <v>20</v>
          </cell>
          <cell r="E120">
            <v>66</v>
          </cell>
          <cell r="F120">
            <v>80</v>
          </cell>
          <cell r="G120">
            <v>0.82499999999999996</v>
          </cell>
          <cell r="H120">
            <v>-0.57079632679489634</v>
          </cell>
        </row>
        <row r="121">
          <cell r="A121" t="str">
            <v>MESA</v>
          </cell>
          <cell r="B121">
            <v>1.6534090909090908</v>
          </cell>
          <cell r="C121">
            <v>10</v>
          </cell>
          <cell r="E121">
            <v>132</v>
          </cell>
          <cell r="F121">
            <v>80</v>
          </cell>
          <cell r="G121">
            <v>1.65</v>
          </cell>
          <cell r="H121">
            <v>-0.57079632679489634</v>
          </cell>
        </row>
        <row r="122">
          <cell r="A122" t="str">
            <v>LESA</v>
          </cell>
          <cell r="B122">
            <v>3.3068181818181817</v>
          </cell>
          <cell r="C122">
            <v>5</v>
          </cell>
          <cell r="E122">
            <v>264</v>
          </cell>
          <cell r="F122">
            <v>80</v>
          </cell>
          <cell r="G122">
            <v>3.3</v>
          </cell>
          <cell r="H122">
            <v>-0.57079632679489634</v>
          </cell>
        </row>
        <row r="126">
          <cell r="A126" t="str">
            <v>Wheel/Hand</v>
          </cell>
          <cell r="B126" t="str">
            <v>Nozzles/ Acre</v>
          </cell>
          <cell r="C126" t="str">
            <v>Nozzle Spacing (Relative)</v>
          </cell>
          <cell r="D126" t="str">
            <v>Set Spacing (ft)</v>
          </cell>
        </row>
        <row r="127">
          <cell r="A127" t="str">
            <v>Regular</v>
          </cell>
          <cell r="B127">
            <v>1.6</v>
          </cell>
          <cell r="C127">
            <v>1</v>
          </cell>
          <cell r="D127">
            <v>55</v>
          </cell>
        </row>
      </sheetData>
      <sheetData sheetId="12">
        <row r="4">
          <cell r="A4" t="str">
            <v>W. Idaho</v>
          </cell>
          <cell r="B4" t="str">
            <v>Wheel Lines/ Hand Lines</v>
          </cell>
          <cell r="C4" t="str">
            <v>Wells</v>
          </cell>
          <cell r="D4">
            <v>0.30000000000000004</v>
          </cell>
          <cell r="E4">
            <v>175</v>
          </cell>
          <cell r="F4">
            <v>66.2</v>
          </cell>
          <cell r="G4">
            <v>58.100000000000009</v>
          </cell>
          <cell r="H4">
            <v>66.2</v>
          </cell>
          <cell r="I4">
            <v>4.4256710922626636</v>
          </cell>
          <cell r="J4">
            <v>7</v>
          </cell>
          <cell r="K4">
            <v>3.5</v>
          </cell>
          <cell r="L4">
            <v>1.75</v>
          </cell>
          <cell r="M4" t="str">
            <v>Western Idaho</v>
          </cell>
          <cell r="N4" t="str">
            <v>Wheel and Hand</v>
          </cell>
          <cell r="O4" t="str">
            <v>Western Idaho_Wheel and Hand</v>
          </cell>
        </row>
        <row r="5">
          <cell r="C5" t="str">
            <v>Surface Water</v>
          </cell>
          <cell r="D5">
            <v>0.7</v>
          </cell>
          <cell r="E5">
            <v>8</v>
          </cell>
          <cell r="F5">
            <v>66.2</v>
          </cell>
        </row>
        <row r="6">
          <cell r="B6" t="str">
            <v>Pivots/Linear Move</v>
          </cell>
          <cell r="C6" t="str">
            <v>Wells</v>
          </cell>
          <cell r="D6">
            <v>0.35</v>
          </cell>
          <cell r="E6">
            <v>175</v>
          </cell>
          <cell r="F6">
            <v>60.4</v>
          </cell>
          <cell r="G6">
            <v>66.449999999999989</v>
          </cell>
          <cell r="H6">
            <v>60.399999999999991</v>
          </cell>
          <cell r="M6" t="str">
            <v>Western Idaho</v>
          </cell>
          <cell r="N6" t="str">
            <v>Pivot and Linear</v>
          </cell>
          <cell r="O6" t="str">
            <v>Western Idaho_Pivot and Linear</v>
          </cell>
        </row>
        <row r="7">
          <cell r="C7" t="str">
            <v>Surface Water</v>
          </cell>
          <cell r="D7">
            <v>0.65</v>
          </cell>
          <cell r="E7">
            <v>8</v>
          </cell>
          <cell r="F7">
            <v>60.4</v>
          </cell>
        </row>
        <row r="8">
          <cell r="A8" t="str">
            <v>E&amp;S Idaho</v>
          </cell>
          <cell r="B8" t="str">
            <v>Wheel Lines/ Hand Lines</v>
          </cell>
          <cell r="C8" t="str">
            <v>Wells</v>
          </cell>
          <cell r="D8">
            <v>0.5</v>
          </cell>
          <cell r="E8">
            <v>216</v>
          </cell>
          <cell r="F8">
            <v>59.1</v>
          </cell>
          <cell r="G8">
            <v>111</v>
          </cell>
          <cell r="H8">
            <v>59.1</v>
          </cell>
          <cell r="M8" t="str">
            <v>Eastern and Southern Idaho</v>
          </cell>
          <cell r="N8" t="str">
            <v>Wheel and Hand</v>
          </cell>
          <cell r="O8" t="str">
            <v>Eastern and Southern Idaho_Wheel and Hand</v>
          </cell>
        </row>
        <row r="9">
          <cell r="C9" t="str">
            <v>Surface Water</v>
          </cell>
          <cell r="D9">
            <v>0.5</v>
          </cell>
          <cell r="E9">
            <v>6</v>
          </cell>
          <cell r="F9">
            <v>59.1</v>
          </cell>
        </row>
        <row r="10">
          <cell r="B10" t="str">
            <v>Pivots/Linear Move</v>
          </cell>
          <cell r="C10" t="str">
            <v>Wells</v>
          </cell>
          <cell r="D10">
            <v>0.5</v>
          </cell>
          <cell r="E10">
            <v>216</v>
          </cell>
          <cell r="F10">
            <v>68.027111111111111</v>
          </cell>
          <cell r="G10">
            <v>111</v>
          </cell>
          <cell r="H10">
            <v>68.027111111111111</v>
          </cell>
          <cell r="M10" t="str">
            <v>Eastern and Southern Idaho</v>
          </cell>
          <cell r="N10" t="str">
            <v>Pivot and Linear</v>
          </cell>
          <cell r="O10" t="str">
            <v>Eastern and Southern Idaho_Pivot and Linear</v>
          </cell>
        </row>
        <row r="11">
          <cell r="C11" t="str">
            <v>Surface Water</v>
          </cell>
          <cell r="D11">
            <v>0.5</v>
          </cell>
          <cell r="E11">
            <v>6</v>
          </cell>
          <cell r="F11">
            <v>68.027111111111111</v>
          </cell>
        </row>
        <row r="12">
          <cell r="A12" t="str">
            <v>Western WA/OR</v>
          </cell>
          <cell r="B12" t="str">
            <v>Wheel Lines/ Hand Lines</v>
          </cell>
          <cell r="C12" t="str">
            <v>Wells</v>
          </cell>
          <cell r="D12">
            <v>0.27787674146548974</v>
          </cell>
          <cell r="E12">
            <v>84.11833005519955</v>
          </cell>
          <cell r="F12">
            <v>61.727809149165665</v>
          </cell>
          <cell r="G12">
            <v>40.316561544793466</v>
          </cell>
          <cell r="H12">
            <v>64.035009300867074</v>
          </cell>
          <cell r="M12" t="str">
            <v>Western Washington and Oregon</v>
          </cell>
          <cell r="N12" t="str">
            <v>Wheel and Hand</v>
          </cell>
          <cell r="O12" t="str">
            <v>Western Washington and Oregon_Wheel and Hand</v>
          </cell>
        </row>
        <row r="13">
          <cell r="C13" t="str">
            <v>Surface Water</v>
          </cell>
          <cell r="D13">
            <v>0.72212325853451031</v>
          </cell>
          <cell r="E13">
            <v>23.461415888914182</v>
          </cell>
          <cell r="F13">
            <v>64.922831777828364</v>
          </cell>
        </row>
        <row r="14">
          <cell r="B14" t="str">
            <v>Pivots/Linear Move</v>
          </cell>
          <cell r="C14" t="str">
            <v>Wells</v>
          </cell>
          <cell r="D14">
            <v>0.27787674146548974</v>
          </cell>
          <cell r="E14">
            <v>84.11833005519955</v>
          </cell>
          <cell r="F14">
            <v>61.727809149165665</v>
          </cell>
          <cell r="G14">
            <v>40.316561544793466</v>
          </cell>
          <cell r="H14">
            <v>64.035009300867074</v>
          </cell>
          <cell r="M14" t="str">
            <v>Western Washington and Oregon</v>
          </cell>
          <cell r="N14" t="str">
            <v>Pivot and Linear</v>
          </cell>
          <cell r="O14" t="str">
            <v>Western Washington and Oregon_Pivot and Linear</v>
          </cell>
        </row>
        <row r="15">
          <cell r="C15" t="str">
            <v>Surface Water</v>
          </cell>
          <cell r="D15">
            <v>0.72212325853451031</v>
          </cell>
          <cell r="E15">
            <v>23.461415888914182</v>
          </cell>
          <cell r="F15">
            <v>64.922831777828364</v>
          </cell>
        </row>
        <row r="16">
          <cell r="A16" t="str">
            <v>Eastern WA/OR</v>
          </cell>
          <cell r="B16" t="str">
            <v>Wheel Lines/ Hand Lines</v>
          </cell>
          <cell r="C16" t="str">
            <v>Wells</v>
          </cell>
          <cell r="D16">
            <v>0.27787674146548974</v>
          </cell>
          <cell r="E16">
            <v>84.11833005519955</v>
          </cell>
          <cell r="F16">
            <v>61.727809149165665</v>
          </cell>
          <cell r="G16">
            <v>40.316561544793466</v>
          </cell>
          <cell r="H16">
            <v>64.035009300867074</v>
          </cell>
          <cell r="M16" t="str">
            <v>Eastern Washington and Oregon</v>
          </cell>
          <cell r="N16" t="str">
            <v>Wheel and Hand</v>
          </cell>
          <cell r="O16" t="str">
            <v>Eastern Washington and Oregon_Wheel and Hand</v>
          </cell>
        </row>
        <row r="17">
          <cell r="C17" t="str">
            <v>Surface Water</v>
          </cell>
          <cell r="D17">
            <v>0.72212325853451031</v>
          </cell>
          <cell r="E17">
            <v>23.461415888914182</v>
          </cell>
          <cell r="F17">
            <v>64.922831777828364</v>
          </cell>
        </row>
        <row r="18">
          <cell r="B18" t="str">
            <v>Pivots/Linear Move</v>
          </cell>
          <cell r="C18" t="str">
            <v>Wells</v>
          </cell>
          <cell r="D18">
            <v>0.27787674146548974</v>
          </cell>
          <cell r="E18">
            <v>84.11833005519955</v>
          </cell>
          <cell r="F18">
            <v>61.727809149165665</v>
          </cell>
          <cell r="G18">
            <v>40.316561544793466</v>
          </cell>
          <cell r="H18">
            <v>64.035009300867074</v>
          </cell>
          <cell r="M18" t="str">
            <v>Eastern Washington and Oregon</v>
          </cell>
          <cell r="N18" t="str">
            <v>Pivot and Linear</v>
          </cell>
          <cell r="O18" t="str">
            <v>Eastern Washington and Oregon_Pivot and Linear</v>
          </cell>
        </row>
        <row r="19">
          <cell r="C19" t="str">
            <v>Surface Water</v>
          </cell>
          <cell r="D19">
            <v>0.72212325853451031</v>
          </cell>
          <cell r="E19">
            <v>23.461415888914182</v>
          </cell>
          <cell r="F19">
            <v>64.922831777828364</v>
          </cell>
        </row>
        <row r="20">
          <cell r="A20" t="str">
            <v>Montana</v>
          </cell>
          <cell r="B20" t="str">
            <v>Wheel Lines/ Hand Lines</v>
          </cell>
          <cell r="C20" t="str">
            <v>Wells</v>
          </cell>
          <cell r="D20">
            <v>3.1592456563638995E-2</v>
          </cell>
          <cell r="E20">
            <v>52</v>
          </cell>
          <cell r="F20">
            <v>53</v>
          </cell>
          <cell r="G20">
            <v>23.91618124034553</v>
          </cell>
          <cell r="H20">
            <v>47.189554739381833</v>
          </cell>
          <cell r="M20" t="str">
            <v>Montana</v>
          </cell>
          <cell r="N20" t="str">
            <v>Wheel and Hand</v>
          </cell>
          <cell r="O20" t="str">
            <v>Montana_Wheel and Hand</v>
          </cell>
        </row>
        <row r="21">
          <cell r="C21" t="str">
            <v>Surface Water</v>
          </cell>
          <cell r="D21">
            <v>0.96840754343636104</v>
          </cell>
          <cell r="E21">
            <v>23</v>
          </cell>
          <cell r="F21">
            <v>47</v>
          </cell>
        </row>
        <row r="22">
          <cell r="B22" t="str">
            <v>Pivots/Linear Move</v>
          </cell>
          <cell r="C22" t="str">
            <v>Wells</v>
          </cell>
          <cell r="D22">
            <v>3.1592456563638995E-2</v>
          </cell>
          <cell r="E22">
            <v>52</v>
          </cell>
          <cell r="F22">
            <v>53</v>
          </cell>
          <cell r="G22">
            <v>23.91618124034553</v>
          </cell>
          <cell r="H22">
            <v>47.189554739381833</v>
          </cell>
          <cell r="M22" t="str">
            <v>Montana</v>
          </cell>
          <cell r="N22" t="str">
            <v>Pivot and Linear</v>
          </cell>
          <cell r="O22" t="str">
            <v>Montana_Pivot and Linear</v>
          </cell>
        </row>
        <row r="23">
          <cell r="C23" t="str">
            <v>Surface Water</v>
          </cell>
          <cell r="D23">
            <v>0.96840754343636104</v>
          </cell>
          <cell r="E23">
            <v>23</v>
          </cell>
          <cell r="F23">
            <v>47</v>
          </cell>
        </row>
        <row r="24">
          <cell r="D24" t="str">
            <v>values from Farm and Ranch Irrigation Survey</v>
          </cell>
        </row>
        <row r="28">
          <cell r="A28" t="str">
            <v>Savings Mechanism</v>
          </cell>
          <cell r="B28" t="str">
            <v>Measure Name</v>
          </cell>
          <cell r="C28" t="str">
            <v>Applies To</v>
          </cell>
          <cell r="D28" t="str">
            <v>Measure-Specific Input Assumptions</v>
          </cell>
        </row>
        <row r="29">
          <cell r="D29" t="str">
            <v>Average Flow of device</v>
          </cell>
          <cell r="E29" t="str">
            <v>% Savings Flow
(% hrs Savings)</v>
          </cell>
          <cell r="F29" t="str">
            <v>Flow reduction (gpm)</v>
          </cell>
          <cell r="G29" t="str">
            <v>Technical Life of the Item (years)</v>
          </cell>
          <cell r="H29" t="str">
            <v>Cost of Item (2012$)</v>
          </cell>
          <cell r="I29" t="str">
            <v>Installation Cost (2012$)</v>
          </cell>
          <cell r="J29" t="str">
            <v>Total Measure Cost (2012$)</v>
          </cell>
          <cell r="L29" t="str">
            <v>Metric</v>
          </cell>
          <cell r="O29" t="str">
            <v>Baseline (gpm)</v>
          </cell>
          <cell r="P29" t="str">
            <v>Efficient (gpm)</v>
          </cell>
        </row>
        <row r="30">
          <cell r="A30" t="str">
            <v>Leak reduction</v>
          </cell>
          <cell r="B30" t="str">
            <v>Rebuilt or new impact sprinkler</v>
          </cell>
          <cell r="C30" t="str">
            <v>Wheel Line
Handline</v>
          </cell>
          <cell r="F30">
            <v>3.6180631120783457E-2</v>
          </cell>
          <cell r="G30">
            <v>4</v>
          </cell>
          <cell r="H30">
            <v>11.745459807960712</v>
          </cell>
          <cell r="I30">
            <v>3.9206025361665113</v>
          </cell>
          <cell r="J30">
            <v>15.666062344127223</v>
          </cell>
          <cell r="L30" t="str">
            <v>gpm</v>
          </cell>
          <cell r="O30">
            <v>3.6180631120783457E-2</v>
          </cell>
          <cell r="P30">
            <v>0</v>
          </cell>
        </row>
        <row r="31">
          <cell r="B31" t="str">
            <v>Gaskets</v>
          </cell>
          <cell r="C31" t="str">
            <v>Wheel Line (excluding Thunderbird)
Handline</v>
          </cell>
          <cell r="F31">
            <v>0.17726480836236932</v>
          </cell>
          <cell r="G31">
            <v>5</v>
          </cell>
          <cell r="H31">
            <v>2.3755366321983074</v>
          </cell>
          <cell r="I31">
            <v>1.9603012680832557</v>
          </cell>
          <cell r="J31">
            <v>4.3358379002815628</v>
          </cell>
          <cell r="L31" t="str">
            <v>gpm</v>
          </cell>
          <cell r="O31">
            <v>0.17726480836236932</v>
          </cell>
          <cell r="P31">
            <v>0</v>
          </cell>
        </row>
        <row r="32">
          <cell r="B32" t="str">
            <v>Drains</v>
          </cell>
          <cell r="C32" t="str">
            <v>Wheel Line
Handline</v>
          </cell>
          <cell r="F32">
            <v>0.11525323910482924</v>
          </cell>
          <cell r="G32">
            <v>5</v>
          </cell>
          <cell r="H32">
            <v>4.288698612877738</v>
          </cell>
          <cell r="I32">
            <v>1.9603012680832557</v>
          </cell>
          <cell r="J32">
            <v>6.2489998809609935</v>
          </cell>
          <cell r="L32" t="str">
            <v>gpm</v>
          </cell>
          <cell r="O32">
            <v>0.11525323910482924</v>
          </cell>
          <cell r="P32">
            <v>0</v>
          </cell>
        </row>
        <row r="33">
          <cell r="B33" t="str">
            <v>Cut and press repair</v>
          </cell>
          <cell r="C33" t="str">
            <v>Wheel Line
Handline</v>
          </cell>
          <cell r="F33">
            <v>0.50961538461538447</v>
          </cell>
          <cell r="G33">
            <v>8</v>
          </cell>
          <cell r="H33">
            <v>18.992792972486871</v>
          </cell>
          <cell r="I33">
            <v>0</v>
          </cell>
          <cell r="J33">
            <v>18.992792972486871</v>
          </cell>
          <cell r="L33" t="str">
            <v>gpm</v>
          </cell>
          <cell r="O33">
            <v>0.50961538461538447</v>
          </cell>
          <cell r="P33">
            <v>0</v>
          </cell>
        </row>
        <row r="34">
          <cell r="B34" t="str">
            <v>Hub gasket</v>
          </cell>
          <cell r="C34" t="str">
            <v>Wheel Line (Thunderbird)</v>
          </cell>
          <cell r="F34">
            <v>0.29163405797101449</v>
          </cell>
          <cell r="G34">
            <v>10</v>
          </cell>
          <cell r="H34">
            <v>3.0133691571512955</v>
          </cell>
          <cell r="I34">
            <v>5.8809038042497672</v>
          </cell>
          <cell r="J34">
            <v>8.8942729614010627</v>
          </cell>
          <cell r="L34" t="str">
            <v>gpm</v>
          </cell>
          <cell r="O34">
            <v>0.38121739130434779</v>
          </cell>
          <cell r="P34">
            <v>8.958333333333332E-2</v>
          </cell>
        </row>
        <row r="35">
          <cell r="B35" t="str">
            <v>Levelers</v>
          </cell>
          <cell r="C35" t="str">
            <v>Wheel Line</v>
          </cell>
          <cell r="F35">
            <v>4.9836779107725791E-2</v>
          </cell>
          <cell r="G35">
            <v>5</v>
          </cell>
          <cell r="H35">
            <v>5.0879928638182061</v>
          </cell>
          <cell r="I35">
            <v>2.9404519021248836</v>
          </cell>
          <cell r="J35">
            <v>8.0284447659430889</v>
          </cell>
          <cell r="L35" t="str">
            <v>gpm</v>
          </cell>
          <cell r="O35">
            <v>4.9836779107725791E-2</v>
          </cell>
          <cell r="P35">
            <v>0</v>
          </cell>
        </row>
        <row r="36">
          <cell r="B36" t="str">
            <v>Base boot gasket</v>
          </cell>
          <cell r="C36" t="str">
            <v>Center Pivot</v>
          </cell>
          <cell r="F36">
            <v>20</v>
          </cell>
          <cell r="G36">
            <v>8</v>
          </cell>
          <cell r="H36">
            <v>29.404519021248838</v>
          </cell>
          <cell r="I36">
            <v>264.64067119123956</v>
          </cell>
          <cell r="J36">
            <v>294.04519021248842</v>
          </cell>
          <cell r="L36" t="str">
            <v>gpm</v>
          </cell>
          <cell r="O36">
            <v>20</v>
          </cell>
          <cell r="P36">
            <v>0</v>
          </cell>
        </row>
        <row r="37">
          <cell r="B37" t="str">
            <v>Tower gasket</v>
          </cell>
          <cell r="C37" t="str">
            <v>Center Pivot</v>
          </cell>
          <cell r="F37">
            <v>6.1111111111111102E-2</v>
          </cell>
          <cell r="G37">
            <v>8</v>
          </cell>
          <cell r="H37">
            <v>31.577899848215154</v>
          </cell>
          <cell r="I37">
            <v>31.577899848215154</v>
          </cell>
          <cell r="J37">
            <v>63.155799696430307</v>
          </cell>
          <cell r="L37" t="str">
            <v>gpm</v>
          </cell>
          <cell r="O37">
            <v>6.1111111111111102E-2</v>
          </cell>
          <cell r="P37">
            <v>0</v>
          </cell>
        </row>
        <row r="38">
          <cell r="A38" t="str">
            <v>Uniformity improvement</v>
          </cell>
          <cell r="B38" t="str">
            <v>Nozzle replacement</v>
          </cell>
          <cell r="C38" t="str">
            <v>Wheel Line
Handline</v>
          </cell>
          <cell r="D38">
            <v>4.4256710922626636</v>
          </cell>
          <cell r="E38">
            <v>6.4127566964285732E-2</v>
          </cell>
          <cell r="F38">
            <v>0.28380751933097753</v>
          </cell>
          <cell r="G38">
            <v>4</v>
          </cell>
          <cell r="H38">
            <v>1.1250623547791971</v>
          </cell>
          <cell r="I38">
            <v>1.9642218706194223</v>
          </cell>
          <cell r="J38">
            <v>3.0892842253986195</v>
          </cell>
          <cell r="L38" t="str">
            <v>%</v>
          </cell>
          <cell r="M38">
            <v>0.12732756696428574</v>
          </cell>
          <cell r="N38">
            <v>6.3200000000000006E-2</v>
          </cell>
          <cell r="O38">
            <v>0.56350993236197788</v>
          </cell>
          <cell r="P38">
            <v>0.27970241303100035</v>
          </cell>
        </row>
        <row r="39">
          <cell r="B39" t="str">
            <v>Sprinkler package replacement, high pressure</v>
          </cell>
          <cell r="C39" t="str">
            <v>Center Pivot
Linear Move</v>
          </cell>
          <cell r="D39">
            <v>7</v>
          </cell>
          <cell r="E39">
            <v>7.1213042351166905E-2</v>
          </cell>
          <cell r="F39">
            <v>0.49849129645816836</v>
          </cell>
          <cell r="G39">
            <v>4</v>
          </cell>
          <cell r="H39">
            <v>11.745459807960712</v>
          </cell>
          <cell r="I39">
            <v>3.9206025361665113</v>
          </cell>
          <cell r="J39">
            <v>15.666062344127223</v>
          </cell>
          <cell r="L39" t="str">
            <v>%</v>
          </cell>
          <cell r="M39">
            <v>0.25335589949402404</v>
          </cell>
          <cell r="N39">
            <v>0.18214285714285713</v>
          </cell>
          <cell r="O39">
            <v>1.7734912964581682</v>
          </cell>
          <cell r="P39">
            <v>1.2749999999999999</v>
          </cell>
        </row>
        <row r="40">
          <cell r="B40" t="str">
            <v>Sprinkler package replacement, MESA</v>
          </cell>
          <cell r="C40" t="str">
            <v>Center Pivot
Linear Move</v>
          </cell>
          <cell r="D40">
            <v>3.5</v>
          </cell>
          <cell r="E40">
            <v>7.1213042351166905E-2</v>
          </cell>
          <cell r="F40">
            <v>0.24924564822908418</v>
          </cell>
          <cell r="G40">
            <v>5</v>
          </cell>
          <cell r="H40">
            <v>21.16234802264211</v>
          </cell>
          <cell r="I40">
            <v>4.5047723140553222</v>
          </cell>
          <cell r="J40">
            <v>25.667120336697433</v>
          </cell>
          <cell r="L40" t="str">
            <v>%</v>
          </cell>
          <cell r="M40">
            <v>0.25335589949402404</v>
          </cell>
          <cell r="N40">
            <v>0.18214285714285713</v>
          </cell>
          <cell r="O40">
            <v>0.88674564822908408</v>
          </cell>
          <cell r="P40">
            <v>0.63749999999999996</v>
          </cell>
        </row>
        <row r="41">
          <cell r="B41" t="str">
            <v>Sprinkler package replacement, LESA/LEPA/MDI</v>
          </cell>
          <cell r="C41" t="str">
            <v>Center Pivot
Linear Move</v>
          </cell>
          <cell r="D41">
            <v>1.75</v>
          </cell>
          <cell r="E41">
            <v>7.1213042351166905E-2</v>
          </cell>
          <cell r="F41">
            <v>0.12462282411454209</v>
          </cell>
          <cell r="G41">
            <v>5</v>
          </cell>
          <cell r="H41">
            <v>13.157010141374595</v>
          </cell>
          <cell r="I41">
            <v>4.5047723140553222</v>
          </cell>
          <cell r="J41">
            <v>17.661782455429918</v>
          </cell>
          <cell r="L41" t="str">
            <v>%</v>
          </cell>
          <cell r="M41">
            <v>0.25335589949402404</v>
          </cell>
          <cell r="N41">
            <v>0.18214285714285713</v>
          </cell>
          <cell r="O41">
            <v>0.44337282411454204</v>
          </cell>
          <cell r="P41">
            <v>0.31874999999999998</v>
          </cell>
        </row>
        <row r="42">
          <cell r="A42" t="str">
            <v>Application efficiency improvement</v>
          </cell>
          <cell r="B42" t="str">
            <v>Upgrade from high pressure to MESA</v>
          </cell>
          <cell r="C42" t="str">
            <v>Center Pivot
Linear Move</v>
          </cell>
          <cell r="D42">
            <v>3.5</v>
          </cell>
          <cell r="E42">
            <v>0.12500000000000011</v>
          </cell>
          <cell r="F42">
            <v>0.43750000000000039</v>
          </cell>
          <cell r="G42">
            <v>10</v>
          </cell>
          <cell r="H42">
            <v>16.776628602216078</v>
          </cell>
          <cell r="I42">
            <v>11.120117476404516</v>
          </cell>
          <cell r="J42">
            <v>27.896746078620595</v>
          </cell>
          <cell r="L42" t="str">
            <v>%</v>
          </cell>
          <cell r="M42">
            <v>0.12500000000000011</v>
          </cell>
          <cell r="N42">
            <v>0</v>
          </cell>
          <cell r="O42">
            <v>0.43750000000000039</v>
          </cell>
          <cell r="P42">
            <v>0</v>
          </cell>
        </row>
        <row r="43">
          <cell r="B43" t="str">
            <v>Upgrade from high pressure to LESA/LEPA/MDI</v>
          </cell>
          <cell r="C43" t="str">
            <v>Center Pivot
Linear Move</v>
          </cell>
          <cell r="D43">
            <v>1.75</v>
          </cell>
          <cell r="E43">
            <v>0.27835051546391754</v>
          </cell>
          <cell r="F43">
            <v>0.48711340206185572</v>
          </cell>
          <cell r="G43">
            <v>10</v>
          </cell>
          <cell r="H43">
            <v>19.799278716256943</v>
          </cell>
          <cell r="I43">
            <v>11.120117476404516</v>
          </cell>
          <cell r="J43">
            <v>30.919396192661459</v>
          </cell>
          <cell r="L43" t="str">
            <v>%</v>
          </cell>
          <cell r="M43">
            <v>0.27835051546391754</v>
          </cell>
          <cell r="N43">
            <v>0</v>
          </cell>
          <cell r="O43">
            <v>0.48711340206185572</v>
          </cell>
          <cell r="P43">
            <v>0</v>
          </cell>
        </row>
        <row r="44">
          <cell r="B44" t="str">
            <v>Upgrade from MESA to LESA/LEPA/MDI</v>
          </cell>
          <cell r="C44" t="str">
            <v>Center Pivot
Linear Move</v>
          </cell>
          <cell r="D44">
            <v>1.75</v>
          </cell>
          <cell r="E44">
            <v>0.17525773195876282</v>
          </cell>
          <cell r="F44">
            <v>0.30670103092783496</v>
          </cell>
          <cell r="G44">
            <v>10</v>
          </cell>
          <cell r="H44">
            <v>19.799278716256943</v>
          </cell>
          <cell r="I44">
            <v>11.120117476404516</v>
          </cell>
          <cell r="J44">
            <v>30.919396192661459</v>
          </cell>
          <cell r="L44" t="str">
            <v>%</v>
          </cell>
          <cell r="M44">
            <v>0.17525773195876282</v>
          </cell>
          <cell r="N44">
            <v>0</v>
          </cell>
          <cell r="O44">
            <v>0.30670103092783496</v>
          </cell>
          <cell r="P44">
            <v>0</v>
          </cell>
        </row>
      </sheetData>
      <sheetData sheetId="13">
        <row r="4">
          <cell r="A4" t="str">
            <v>Center pivot base boot gasket leakage rate (gpm)</v>
          </cell>
          <cell r="B4">
            <v>20</v>
          </cell>
          <cell r="C4" t="str">
            <v>Subcommittee estimate from 2010</v>
          </cell>
        </row>
        <row r="5">
          <cell r="A5" t="str">
            <v>Pump System Efficiency</v>
          </cell>
          <cell r="B5">
            <v>0.60779639520399842</v>
          </cell>
          <cell r="C5" t="str">
            <v>From PacifiCorp and BPA pump system testing (see analysis in the "BPAPumpTests" sheet)</v>
          </cell>
        </row>
        <row r="6">
          <cell r="A6" t="str">
            <v>Discount Rate</v>
          </cell>
          <cell r="B6">
            <v>0.04</v>
          </cell>
          <cell r="C6" t="str">
            <v>7th Plan</v>
          </cell>
        </row>
        <row r="7">
          <cell r="A7" t="str">
            <v>Convert from Brake to Nominal HP</v>
          </cell>
          <cell r="B7">
            <v>0.9</v>
          </cell>
          <cell r="C7" t="str">
            <v>6th/7th Plan Assumption to account for efficiency losses from gearbox and drive train.</v>
          </cell>
        </row>
        <row r="9">
          <cell r="A9" t="str">
            <v>APPLICATION EFFICIENCY AND SPRINKLER SPACING</v>
          </cell>
        </row>
        <row r="10">
          <cell r="A10" t="str">
            <v>Pivot system type</v>
          </cell>
          <cell r="B10" t="str">
            <v>Pivot outlet spacing (ft)</v>
          </cell>
          <cell r="C10" t="str">
            <v>Application Efficiency</v>
          </cell>
          <cell r="D10" t="str">
            <v>Operating Pressure</v>
          </cell>
          <cell r="E10" t="str">
            <v>Source</v>
          </cell>
        </row>
        <row r="11">
          <cell r="A11" t="str">
            <v>High pressure</v>
          </cell>
          <cell r="B11">
            <v>20</v>
          </cell>
          <cell r="C11">
            <v>0.7</v>
          </cell>
          <cell r="D11">
            <v>62.5</v>
          </cell>
          <cell r="E11" t="str">
            <v>LOW ENERGY PRECISION APPLICATION (LEPA) AND LOW ELEVATION SPRAY
APPLICATION (LESA) TRIALS IN THE PACIFIC NORTHWEST
R. Troy Peters, Howard Neibling, and Richard Stroh
https://alfalfa.ucdavis.edu/+symposium/2016/PDFfiles/6%20Peters%20Troy.pdf
See the "Upgrades" sheet for other sources used for the application efficiency.</v>
          </cell>
        </row>
        <row r="12">
          <cell r="A12" t="str">
            <v>MESA</v>
          </cell>
          <cell r="B12">
            <v>10</v>
          </cell>
          <cell r="C12">
            <v>0.8</v>
          </cell>
          <cell r="D12">
            <v>40</v>
          </cell>
        </row>
        <row r="13">
          <cell r="A13" t="str">
            <v>LESA/LEPA/MDI</v>
          </cell>
          <cell r="B13">
            <v>5</v>
          </cell>
          <cell r="C13">
            <v>0.97</v>
          </cell>
          <cell r="D13">
            <v>15</v>
          </cell>
        </row>
        <row r="15">
          <cell r="A15" t="str">
            <v>LIFETIMES</v>
          </cell>
        </row>
        <row r="16">
          <cell r="A16" t="str">
            <v>Hardware identifier</v>
          </cell>
          <cell r="B16" t="str">
            <v>Savings mechanism</v>
          </cell>
          <cell r="C16" t="str">
            <v>Lifetime (years)</v>
          </cell>
          <cell r="D16" t="str">
            <v>Source</v>
          </cell>
        </row>
        <row r="17">
          <cell r="A17" t="str">
            <v>Rebuilt or new impact sprinkler</v>
          </cell>
          <cell r="B17" t="str">
            <v>Leak reduction</v>
          </cell>
          <cell r="C17">
            <v>4</v>
          </cell>
          <cell r="D17" t="str">
            <v>RTF Irrigation Subcommittee estimates</v>
          </cell>
        </row>
        <row r="18">
          <cell r="A18" t="str">
            <v>Gaskets</v>
          </cell>
          <cell r="C18">
            <v>5</v>
          </cell>
        </row>
        <row r="19">
          <cell r="A19" t="str">
            <v>Drains</v>
          </cell>
          <cell r="C19">
            <v>5</v>
          </cell>
        </row>
        <row r="20">
          <cell r="A20" t="str">
            <v>Cut and Press Repair</v>
          </cell>
          <cell r="C20">
            <v>8</v>
          </cell>
        </row>
        <row r="21">
          <cell r="A21" t="str">
            <v>Hub gasket</v>
          </cell>
          <cell r="C21">
            <v>10</v>
          </cell>
        </row>
        <row r="22">
          <cell r="A22" t="str">
            <v>Levelers</v>
          </cell>
          <cell r="C22">
            <v>5</v>
          </cell>
        </row>
        <row r="23">
          <cell r="A23" t="str">
            <v>Base boot Gasket</v>
          </cell>
          <cell r="C23">
            <v>8</v>
          </cell>
        </row>
        <row r="24">
          <cell r="A24" t="str">
            <v>Tower Gasket</v>
          </cell>
          <cell r="C24">
            <v>8</v>
          </cell>
        </row>
        <row r="25">
          <cell r="A25" t="str">
            <v>Nozzle replacement</v>
          </cell>
          <cell r="B25" t="str">
            <v>Uniformity improvement</v>
          </cell>
          <cell r="C25">
            <v>4</v>
          </cell>
        </row>
        <row r="26">
          <cell r="A26" t="str">
            <v>Sprinkler package replacement, high pressure</v>
          </cell>
          <cell r="C26">
            <v>4</v>
          </cell>
        </row>
        <row r="27">
          <cell r="A27" t="str">
            <v>Sprinkler package replacement, MESA</v>
          </cell>
          <cell r="C27">
            <v>5</v>
          </cell>
        </row>
        <row r="28">
          <cell r="A28" t="str">
            <v>Sprinkler package replacement, LESA/LEPA/MDI</v>
          </cell>
          <cell r="C28">
            <v>5</v>
          </cell>
        </row>
        <row r="29">
          <cell r="A29" t="str">
            <v>Upgrade from high pressure to MESA</v>
          </cell>
          <cell r="B29" t="str">
            <v>Application efficiency improvement</v>
          </cell>
          <cell r="C29">
            <v>10</v>
          </cell>
        </row>
        <row r="30">
          <cell r="A30" t="str">
            <v>Upgrade from high pressure to LESA/LEPA/MDI</v>
          </cell>
          <cell r="C30">
            <v>10</v>
          </cell>
        </row>
        <row r="31">
          <cell r="A31" t="str">
            <v>Upgrade from MESA to LESA/LEPA/MDI</v>
          </cell>
          <cell r="C31">
            <v>10</v>
          </cell>
        </row>
        <row r="33">
          <cell r="A33" t="str">
            <v>SYSTEM HOURS PER YEAR</v>
          </cell>
        </row>
        <row r="34">
          <cell r="A34" t="str">
            <v>Location</v>
          </cell>
          <cell r="B34" t="str">
            <v>Hours per year</v>
          </cell>
          <cell r="C34" t="str">
            <v>Source</v>
          </cell>
        </row>
        <row r="35">
          <cell r="A35" t="str">
            <v>Western Idaho</v>
          </cell>
          <cell r="B35">
            <v>1600</v>
          </cell>
          <cell r="C35" t="str">
            <v>Idaho Power analysis of billing data (see email from Quentin Nesbitt of Idaho Power, dated March 25, 2010, located in the "emails and excerpts" sheet)</v>
          </cell>
        </row>
        <row r="36">
          <cell r="A36" t="str">
            <v>Eastern and Southern Idaho</v>
          </cell>
          <cell r="B36">
            <v>1142.0704360309376</v>
          </cell>
          <cell r="C36" t="str">
            <v>PacifiCorp estimate (based on 2006 – 2008 Idaho irrigation data)</v>
          </cell>
        </row>
        <row r="37">
          <cell r="A37" t="str">
            <v>Western Washington and Oregon</v>
          </cell>
          <cell r="B37">
            <v>1605</v>
          </cell>
          <cell r="C37" t="str">
            <v>Cascade Energy observed average for western Oregon from ETO program project, which they administer. Hours of operation are estimates developed by implementers and irrigators and is often based on irrigator estimates of inches of water applied. Personal communications between Ryan Firestone (RTF) and Beth Glynn (Cascade Energy) in March, 2018.</v>
          </cell>
        </row>
        <row r="38">
          <cell r="A38" t="str">
            <v>Eastern Washington and Oregon</v>
          </cell>
          <cell r="B38">
            <v>2200</v>
          </cell>
          <cell r="C38" t="str">
            <v>BPA estimate.  Cascade Energy observed an average of 2,112 hours for eastern OR but noted that this included some drip systems, which would have had lower hours.</v>
          </cell>
        </row>
        <row r="39">
          <cell r="A39" t="str">
            <v>Montana</v>
          </cell>
          <cell r="B39">
            <v>1012.6338241264893</v>
          </cell>
          <cell r="C39" t="str">
            <v>Analysis of 2013 USDA Farm and Ranch Irrigation Survey</v>
          </cell>
        </row>
        <row r="42">
          <cell r="A42" t="str">
            <v>CONVERSIONS</v>
          </cell>
        </row>
        <row r="43">
          <cell r="C43" t="str">
            <v>Source</v>
          </cell>
        </row>
        <row r="44">
          <cell r="A44" t="str">
            <v>Gallons per cubic foot</v>
          </cell>
          <cell r="B44">
            <v>7.4626865671641784</v>
          </cell>
          <cell r="C44" t="str">
            <v>https://www.engineeringtoolbox.com/convert-gallons-cubic-feet-meters-d_1867.html</v>
          </cell>
        </row>
        <row r="45">
          <cell r="A45" t="str">
            <v>Square feet per acre</v>
          </cell>
          <cell r="B45">
            <v>43560.173999999999</v>
          </cell>
          <cell r="C45" t="str">
            <v>https://www.engineeringtoolbox.com/unit-converter-d_185.html#Area</v>
          </cell>
        </row>
        <row r="46">
          <cell r="A46" t="str">
            <v>Gallons per acrefoot</v>
          </cell>
          <cell r="B46">
            <v>325075.92537313432</v>
          </cell>
          <cell r="C46" t="str">
            <v>[calculated]</v>
          </cell>
        </row>
        <row r="48">
          <cell r="A48" t="str">
            <v>Converting to 2016$ from year…</v>
          </cell>
        </row>
        <row r="49">
          <cell r="A49">
            <v>2000</v>
          </cell>
          <cell r="B49">
            <v>1.3568187567444676</v>
          </cell>
        </row>
        <row r="50">
          <cell r="A50">
            <v>2001</v>
          </cell>
          <cell r="B50">
            <v>1.3276298020735746</v>
          </cell>
        </row>
        <row r="51">
          <cell r="A51">
            <v>2002</v>
          </cell>
          <cell r="B51">
            <v>1.3069783653401275</v>
          </cell>
        </row>
        <row r="52">
          <cell r="A52">
            <v>2003</v>
          </cell>
          <cell r="B52">
            <v>1.2832218870758683</v>
          </cell>
        </row>
        <row r="53">
          <cell r="A53">
            <v>2004</v>
          </cell>
          <cell r="B53">
            <v>1.2495871326955519</v>
          </cell>
        </row>
        <row r="54">
          <cell r="A54">
            <v>2005</v>
          </cell>
          <cell r="B54">
            <v>1.211823519486128</v>
          </cell>
        </row>
        <row r="55">
          <cell r="A55">
            <v>2006</v>
          </cell>
          <cell r="B55">
            <v>1.1761807608499535</v>
          </cell>
        </row>
        <row r="56">
          <cell r="A56">
            <v>2007</v>
          </cell>
          <cell r="B56">
            <v>1.1454194036709648</v>
          </cell>
        </row>
        <row r="57">
          <cell r="A57">
            <v>2008</v>
          </cell>
          <cell r="B57">
            <v>1.1234770850180962</v>
          </cell>
        </row>
        <row r="58">
          <cell r="A58">
            <v>2009</v>
          </cell>
          <cell r="B58">
            <v>1.115033512187805</v>
          </cell>
        </row>
        <row r="59">
          <cell r="A59">
            <v>2010</v>
          </cell>
          <cell r="B59">
            <v>1.1022248697411992</v>
          </cell>
        </row>
        <row r="60">
          <cell r="A60">
            <v>2011</v>
          </cell>
          <cell r="B60">
            <v>1.079661418586815</v>
          </cell>
        </row>
        <row r="61">
          <cell r="A61">
            <v>2012</v>
          </cell>
          <cell r="B61">
            <v>1.0593257415717696</v>
          </cell>
        </row>
        <row r="62">
          <cell r="A62">
            <v>2013</v>
          </cell>
          <cell r="B62">
            <v>1.0410805764056954</v>
          </cell>
        </row>
        <row r="63">
          <cell r="A63">
            <v>2014</v>
          </cell>
          <cell r="B63">
            <v>1.0217725755734322</v>
          </cell>
        </row>
        <row r="64">
          <cell r="A64">
            <v>2015</v>
          </cell>
          <cell r="B64">
            <v>1.0109197705822288</v>
          </cell>
        </row>
        <row r="65">
          <cell r="A65">
            <v>2016</v>
          </cell>
          <cell r="B65">
            <v>1</v>
          </cell>
        </row>
        <row r="66">
          <cell r="A66">
            <v>2017</v>
          </cell>
          <cell r="B66">
            <v>0.98135375750389098</v>
          </cell>
        </row>
        <row r="67">
          <cell r="A67">
            <v>2018</v>
          </cell>
          <cell r="B67">
            <v>0.95967170609913865</v>
          </cell>
        </row>
      </sheetData>
      <sheetData sheetId="14">
        <row r="4">
          <cell r="A4" t="str">
            <v>Updated in "IrrWaterMngmtSurvey" sheet</v>
          </cell>
        </row>
        <row r="5">
          <cell r="C5" t="str">
            <v>State</v>
          </cell>
          <cell r="N5" t="str">
            <v>Montana data has been multiplied by 20% estimate to represent portion of irrigated acres in W MT.</v>
          </cell>
        </row>
        <row r="6">
          <cell r="B6" t="str">
            <v>Vars</v>
          </cell>
          <cell r="C6" t="str">
            <v>Idaho</v>
          </cell>
          <cell r="D6" t="str">
            <v>Montana</v>
          </cell>
          <cell r="E6" t="str">
            <v>Oregon</v>
          </cell>
          <cell r="F6" t="str">
            <v>Washington</v>
          </cell>
          <cell r="G6" t="str">
            <v>REGION</v>
          </cell>
          <cell r="N6" t="str">
            <v>% W MT</v>
          </cell>
          <cell r="O6">
            <v>0.2</v>
          </cell>
        </row>
        <row r="7">
          <cell r="B7" t="str">
            <v>Acres w Sprinklers</v>
          </cell>
          <cell r="C7">
            <v>2577358</v>
          </cell>
          <cell r="D7">
            <v>190719</v>
          </cell>
          <cell r="E7">
            <v>1004474</v>
          </cell>
          <cell r="F7">
            <v>1502132</v>
          </cell>
          <cell r="G7">
            <v>5274683</v>
          </cell>
        </row>
        <row r="8">
          <cell r="B8" t="str">
            <v>CenterPivot</v>
          </cell>
          <cell r="C8">
            <v>1951957</v>
          </cell>
          <cell r="D8">
            <v>138752.20000000001</v>
          </cell>
          <cell r="E8">
            <v>424481</v>
          </cell>
          <cell r="F8">
            <v>1035897</v>
          </cell>
          <cell r="G8">
            <v>3551087.2</v>
          </cell>
        </row>
        <row r="9">
          <cell r="B9" t="str">
            <v>CenterPivot High P</v>
          </cell>
          <cell r="C9">
            <v>241729</v>
          </cell>
          <cell r="D9">
            <v>15135</v>
          </cell>
          <cell r="E9">
            <v>22814</v>
          </cell>
          <cell r="F9">
            <v>89859</v>
          </cell>
          <cell r="G9">
            <v>369537</v>
          </cell>
        </row>
        <row r="10">
          <cell r="B10" t="str">
            <v>CenterPivot Med P</v>
          </cell>
          <cell r="C10">
            <v>1107863</v>
          </cell>
          <cell r="D10">
            <v>72788</v>
          </cell>
          <cell r="E10">
            <v>168408</v>
          </cell>
          <cell r="F10">
            <v>557776</v>
          </cell>
          <cell r="G10">
            <v>1906835</v>
          </cell>
        </row>
        <row r="11">
          <cell r="B11" t="str">
            <v>CenterPivot Low P</v>
          </cell>
          <cell r="C11">
            <v>602365</v>
          </cell>
          <cell r="D11">
            <v>50829.200000000004</v>
          </cell>
          <cell r="E11">
            <v>233259</v>
          </cell>
          <cell r="F11">
            <v>388262</v>
          </cell>
          <cell r="G11">
            <v>1274715.2</v>
          </cell>
        </row>
        <row r="12">
          <cell r="B12" t="str">
            <v>Acres Center Pivot</v>
          </cell>
          <cell r="C12">
            <v>1951957</v>
          </cell>
          <cell r="D12">
            <v>138752.20000000001</v>
          </cell>
          <cell r="E12">
            <v>424481</v>
          </cell>
          <cell r="F12">
            <v>1035897</v>
          </cell>
          <cell r="G12">
            <v>3551087.2</v>
          </cell>
        </row>
        <row r="13">
          <cell r="B13" t="str">
            <v>Wheel line - Linear Move</v>
          </cell>
          <cell r="C13">
            <v>52040</v>
          </cell>
          <cell r="D13">
            <v>3609.2000000000003</v>
          </cell>
          <cell r="E13">
            <v>57307</v>
          </cell>
          <cell r="F13">
            <v>15348</v>
          </cell>
          <cell r="G13">
            <v>128304.2</v>
          </cell>
          <cell r="H13">
            <v>3.4871038726676372E-2</v>
          </cell>
          <cell r="I13" t="str">
            <v>Share of Linear Moves</v>
          </cell>
        </row>
        <row r="14">
          <cell r="B14" t="str">
            <v>Wheel Line All</v>
          </cell>
          <cell r="C14">
            <v>479563</v>
          </cell>
          <cell r="D14">
            <v>44152.600000000006</v>
          </cell>
          <cell r="E14">
            <v>365644</v>
          </cell>
          <cell r="F14">
            <v>146353</v>
          </cell>
          <cell r="G14">
            <v>1035712.6</v>
          </cell>
        </row>
        <row r="15">
          <cell r="B15" t="str">
            <v>Hand Move</v>
          </cell>
          <cell r="C15">
            <v>73733</v>
          </cell>
          <cell r="D15">
            <v>6765</v>
          </cell>
          <cell r="E15">
            <v>115405</v>
          </cell>
          <cell r="F15">
            <v>44429</v>
          </cell>
          <cell r="G15">
            <v>240332</v>
          </cell>
        </row>
        <row r="16">
          <cell r="B16" t="str">
            <v>% Wheel Line</v>
          </cell>
          <cell r="C16">
            <v>0.86673859923079144</v>
          </cell>
          <cell r="D16">
            <v>0.86713827831633861</v>
          </cell>
          <cell r="E16">
            <v>0.76009720423491167</v>
          </cell>
          <cell r="F16">
            <v>0.76712163621305995</v>
          </cell>
        </row>
        <row r="17">
          <cell r="B17" t="str">
            <v>Alfalfa Wheel line</v>
          </cell>
          <cell r="C17">
            <v>597170.76052962604</v>
          </cell>
          <cell r="D17">
            <v>89191.068465127988</v>
          </cell>
          <cell r="E17">
            <v>190738.0323335045</v>
          </cell>
          <cell r="F17">
            <v>209714.9457862901</v>
          </cell>
          <cell r="G17">
            <v>1086814.8071145485</v>
          </cell>
        </row>
        <row r="18">
          <cell r="B18" t="str">
            <v>Alfalfa Hand line</v>
          </cell>
          <cell r="C18">
            <v>91815.239470373926</v>
          </cell>
          <cell r="D18">
            <v>13665.731534872024</v>
          </cell>
          <cell r="E18">
            <v>60200.967666495497</v>
          </cell>
          <cell r="F18">
            <v>63664.054213709882</v>
          </cell>
          <cell r="G18">
            <v>229345.99288545136</v>
          </cell>
        </row>
        <row r="19">
          <cell r="B19" t="str">
            <v>Pumped Acres - Well</v>
          </cell>
          <cell r="C19">
            <v>1044768</v>
          </cell>
          <cell r="D19">
            <v>12020.6</v>
          </cell>
          <cell r="E19">
            <v>433629</v>
          </cell>
          <cell r="F19">
            <v>529088</v>
          </cell>
          <cell r="G19">
            <v>2019505.6</v>
          </cell>
        </row>
        <row r="20">
          <cell r="B20" t="str">
            <v>Pumped Acres - Surface</v>
          </cell>
          <cell r="C20">
            <v>1434002</v>
          </cell>
          <cell r="D20">
            <v>222070.6</v>
          </cell>
          <cell r="E20">
            <v>592328</v>
          </cell>
          <cell r="F20">
            <v>1126219</v>
          </cell>
          <cell r="G20">
            <v>3374619.6</v>
          </cell>
        </row>
        <row r="21">
          <cell r="B21" t="str">
            <v>Center Pivot, LEPA crops</v>
          </cell>
          <cell r="C21">
            <v>599842</v>
          </cell>
          <cell r="D21">
            <v>6629</v>
          </cell>
          <cell r="E21">
            <v>119779</v>
          </cell>
          <cell r="F21">
            <v>390035</v>
          </cell>
          <cell r="G21">
            <v>1116285</v>
          </cell>
          <cell r="H21" t="str">
            <v>Potato+Grain/Silage/Sweet Corn</v>
          </cell>
        </row>
        <row r="22">
          <cell r="B22" t="str">
            <v>CenterPivot/LinearMove</v>
          </cell>
        </row>
        <row r="24">
          <cell r="B24" t="str">
            <v>Wheel and Hand</v>
          </cell>
          <cell r="C24">
            <v>501256</v>
          </cell>
          <cell r="D24">
            <v>47308.400000000009</v>
          </cell>
          <cell r="E24">
            <v>423742</v>
          </cell>
          <cell r="F24">
            <v>175434</v>
          </cell>
          <cell r="G24">
            <v>1147740.3999999999</v>
          </cell>
          <cell r="L24" t="str">
            <v>Idaho</v>
          </cell>
          <cell r="M24" t="str">
            <v>Montana</v>
          </cell>
          <cell r="N24" t="str">
            <v>Oregon</v>
          </cell>
          <cell r="O24" t="str">
            <v>Washington</v>
          </cell>
        </row>
        <row r="25">
          <cell r="B25" t="str">
            <v>Pivot and Linear</v>
          </cell>
          <cell r="C25">
            <v>2003997</v>
          </cell>
          <cell r="D25">
            <v>142361.40000000002</v>
          </cell>
          <cell r="E25">
            <v>481788</v>
          </cell>
          <cell r="F25">
            <v>1051245</v>
          </cell>
          <cell r="G25">
            <v>3679391.4</v>
          </cell>
          <cell r="L25">
            <v>0.744155087499624</v>
          </cell>
          <cell r="M25">
            <v>0.58054989393120082</v>
          </cell>
          <cell r="N25">
            <v>0.65752729188360737</v>
          </cell>
          <cell r="O25">
            <v>0.79361766055876992</v>
          </cell>
        </row>
        <row r="26">
          <cell r="B26" t="str">
            <v>Wheel-Line (Alfalfa)</v>
          </cell>
          <cell r="C26">
            <v>597170.76052962604</v>
          </cell>
          <cell r="D26">
            <v>89191.068465127988</v>
          </cell>
          <cell r="E26">
            <v>190738.0323335045</v>
          </cell>
          <cell r="F26">
            <v>209714.9457862901</v>
          </cell>
          <cell r="G26">
            <v>1086814.8071145485</v>
          </cell>
          <cell r="L26">
            <v>0.22175066108090027</v>
          </cell>
          <cell r="M26">
            <v>0.36372124281610407</v>
          </cell>
          <cell r="N26">
            <v>0.26031254796602893</v>
          </cell>
          <cell r="O26">
            <v>0.15832035791763557</v>
          </cell>
        </row>
        <row r="27">
          <cell r="B27" t="str">
            <v>Hand-Line (Alfalfa)</v>
          </cell>
          <cell r="C27">
            <v>91815.239470373926</v>
          </cell>
          <cell r="D27">
            <v>13665.731534872024</v>
          </cell>
          <cell r="E27">
            <v>60200.967666495497</v>
          </cell>
          <cell r="F27">
            <v>63664.054213709882</v>
          </cell>
          <cell r="G27">
            <v>229345.99288545136</v>
          </cell>
          <cell r="L27">
            <v>3.4094251419475696E-2</v>
          </cell>
          <cell r="M27">
            <v>5.5728863252695035E-2</v>
          </cell>
          <cell r="N27">
            <v>8.2160160150363634E-2</v>
          </cell>
          <cell r="O27">
            <v>4.8061981523594532E-2</v>
          </cell>
        </row>
        <row r="30">
          <cell r="B30" t="str">
            <v>CenterPivot High P %</v>
          </cell>
          <cell r="C30">
            <v>0.12383930588634894</v>
          </cell>
          <cell r="D30">
            <v>0.10907935153460629</v>
          </cell>
          <cell r="E30">
            <v>5.3745632902297155E-2</v>
          </cell>
          <cell r="F30">
            <v>8.6745110759081256E-2</v>
          </cell>
        </row>
        <row r="31">
          <cell r="B31" t="str">
            <v>CenterPivot Med P %</v>
          </cell>
          <cell r="C31">
            <v>0.56756526911197325</v>
          </cell>
          <cell r="D31">
            <v>0.52458988037667142</v>
          </cell>
          <cell r="E31">
            <v>0.39673860549706585</v>
          </cell>
          <cell r="F31">
            <v>0.53844735528725352</v>
          </cell>
        </row>
        <row r="32">
          <cell r="B32" t="str">
            <v>CenterPivot Low P %</v>
          </cell>
          <cell r="C32">
            <v>0.3085954250016778</v>
          </cell>
          <cell r="D32">
            <v>0.36633076808872223</v>
          </cell>
          <cell r="E32">
            <v>0.54951576160063698</v>
          </cell>
          <cell r="F32">
            <v>0.37480753395366528</v>
          </cell>
        </row>
        <row r="33">
          <cell r="B33" t="str">
            <v>MESA vs. LESA</v>
          </cell>
          <cell r="C33">
            <v>0.64778672785149116</v>
          </cell>
          <cell r="D33">
            <v>0.58881773733752252</v>
          </cell>
          <cell r="E33">
            <v>0.4192726811015095</v>
          </cell>
          <cell r="F33">
            <v>0.58959153860627167</v>
          </cell>
          <cell r="G33">
            <v>0.56136717122419877</v>
          </cell>
        </row>
      </sheetData>
      <sheetData sheetId="15">
        <row r="5">
          <cell r="C5" t="str">
            <v>All wells used</v>
          </cell>
          <cell r="E5" t="str">
            <v>Flowing or artesian wells</v>
          </cell>
          <cell r="G5" t="str">
            <v>Change in average depth to water</v>
          </cell>
          <cell r="M5" t="str">
            <v>All pumped wells</v>
          </cell>
        </row>
        <row r="7">
          <cell r="G7" t="str">
            <v>Did not change</v>
          </cell>
          <cell r="I7" t="str">
            <v>Increased</v>
          </cell>
          <cell r="K7" t="str">
            <v>Decreased</v>
          </cell>
        </row>
        <row r="8">
          <cell r="C8" t="str">
            <v>Farms</v>
          </cell>
          <cell r="D8" t="str">
            <v>Number</v>
          </cell>
          <cell r="E8" t="str">
            <v>Farms</v>
          </cell>
          <cell r="F8" t="str">
            <v>Number</v>
          </cell>
          <cell r="G8" t="str">
            <v>Farms</v>
          </cell>
          <cell r="H8" t="str">
            <v>Number of wells</v>
          </cell>
          <cell r="I8" t="str">
            <v>Farms</v>
          </cell>
          <cell r="J8" t="str">
            <v>Number of wells</v>
          </cell>
          <cell r="K8" t="str">
            <v>Farms</v>
          </cell>
          <cell r="L8" t="str">
            <v>Number of wells</v>
          </cell>
          <cell r="M8" t="str">
            <v>Farms</v>
          </cell>
          <cell r="N8" t="str">
            <v>Number</v>
          </cell>
          <cell r="O8" t="str">
            <v>Average well depth (feet)</v>
          </cell>
          <cell r="P8" t="str">
            <v>Average depth to water (feet)</v>
          </cell>
          <cell r="Q8" t="str">
            <v>Average depth to bowls (feet)</v>
          </cell>
          <cell r="R8" t="str">
            <v>Average pumping capacity (gpm)</v>
          </cell>
          <cell r="S8" t="str">
            <v>Average operating pressure (psi)</v>
          </cell>
          <cell r="T8" t="str">
            <v>Average engine size (hp)</v>
          </cell>
          <cell r="U8" t="str">
            <v>Average hours of operation (hours)</v>
          </cell>
        </row>
        <row r="9">
          <cell r="B9" t="str">
            <v>Idaho</v>
          </cell>
          <cell r="C9">
            <v>3015</v>
          </cell>
          <cell r="D9">
            <v>7371</v>
          </cell>
          <cell r="E9">
            <v>162</v>
          </cell>
          <cell r="F9">
            <v>213</v>
          </cell>
          <cell r="G9">
            <v>2448</v>
          </cell>
          <cell r="H9">
            <v>5773</v>
          </cell>
          <cell r="I9">
            <v>274</v>
          </cell>
          <cell r="J9">
            <v>771</v>
          </cell>
          <cell r="K9">
            <v>293</v>
          </cell>
          <cell r="L9">
            <v>827</v>
          </cell>
          <cell r="M9">
            <v>2904</v>
          </cell>
          <cell r="N9">
            <v>7158</v>
          </cell>
          <cell r="O9">
            <v>307</v>
          </cell>
          <cell r="P9">
            <v>135</v>
          </cell>
          <cell r="Q9">
            <v>197</v>
          </cell>
          <cell r="R9">
            <v>1072</v>
          </cell>
          <cell r="S9">
            <v>57</v>
          </cell>
          <cell r="T9">
            <v>164</v>
          </cell>
          <cell r="U9">
            <v>1208</v>
          </cell>
        </row>
        <row r="10">
          <cell r="B10" t="str">
            <v>Montana</v>
          </cell>
          <cell r="C10">
            <v>1336</v>
          </cell>
          <cell r="D10">
            <v>1817</v>
          </cell>
          <cell r="E10">
            <v>58</v>
          </cell>
          <cell r="F10">
            <v>90</v>
          </cell>
          <cell r="G10">
            <v>1281</v>
          </cell>
          <cell r="H10">
            <v>1707</v>
          </cell>
          <cell r="K10">
            <v>55</v>
          </cell>
          <cell r="L10">
            <v>110</v>
          </cell>
          <cell r="M10">
            <v>1294</v>
          </cell>
          <cell r="N10">
            <v>1727</v>
          </cell>
          <cell r="O10">
            <v>145</v>
          </cell>
          <cell r="P10">
            <v>52</v>
          </cell>
          <cell r="Q10">
            <v>94</v>
          </cell>
          <cell r="R10">
            <v>217</v>
          </cell>
          <cell r="S10">
            <v>53</v>
          </cell>
          <cell r="T10">
            <v>36</v>
          </cell>
          <cell r="U10">
            <v>419</v>
          </cell>
        </row>
        <row r="11">
          <cell r="B11" t="str">
            <v>Oregon</v>
          </cell>
          <cell r="C11">
            <v>4518</v>
          </cell>
          <cell r="D11">
            <v>8992</v>
          </cell>
          <cell r="E11">
            <v>39</v>
          </cell>
          <cell r="F11">
            <v>39</v>
          </cell>
          <cell r="G11">
            <v>3888</v>
          </cell>
          <cell r="H11">
            <v>7719</v>
          </cell>
          <cell r="I11">
            <v>276</v>
          </cell>
          <cell r="J11">
            <v>501</v>
          </cell>
          <cell r="K11">
            <v>354</v>
          </cell>
          <cell r="L11">
            <v>772</v>
          </cell>
          <cell r="M11">
            <v>4513</v>
          </cell>
          <cell r="N11">
            <v>8953</v>
          </cell>
          <cell r="O11">
            <v>211</v>
          </cell>
          <cell r="P11">
            <v>69</v>
          </cell>
          <cell r="Q11">
            <v>129</v>
          </cell>
          <cell r="R11">
            <v>349</v>
          </cell>
          <cell r="S11">
            <v>60</v>
          </cell>
          <cell r="T11">
            <v>60</v>
          </cell>
          <cell r="U11">
            <v>732</v>
          </cell>
        </row>
        <row r="12">
          <cell r="B12" t="str">
            <v>Washington</v>
          </cell>
          <cell r="C12">
            <v>4003</v>
          </cell>
          <cell r="D12">
            <v>6881</v>
          </cell>
          <cell r="E12">
            <v>67</v>
          </cell>
          <cell r="F12">
            <v>73</v>
          </cell>
          <cell r="G12">
            <v>3415</v>
          </cell>
          <cell r="H12">
            <v>5626</v>
          </cell>
          <cell r="I12">
            <v>163</v>
          </cell>
          <cell r="J12">
            <v>305</v>
          </cell>
          <cell r="K12">
            <v>425</v>
          </cell>
          <cell r="L12">
            <v>950</v>
          </cell>
          <cell r="M12">
            <v>3936</v>
          </cell>
          <cell r="N12">
            <v>6808</v>
          </cell>
          <cell r="O12">
            <v>271</v>
          </cell>
          <cell r="P12">
            <v>104</v>
          </cell>
          <cell r="Q12">
            <v>168</v>
          </cell>
          <cell r="R12">
            <v>414</v>
          </cell>
          <cell r="S12">
            <v>64</v>
          </cell>
          <cell r="T12">
            <v>85</v>
          </cell>
          <cell r="U12">
            <v>1117</v>
          </cell>
        </row>
        <row r="13">
          <cell r="B13" t="str">
            <v>PNW</v>
          </cell>
          <cell r="C13">
            <v>11923</v>
          </cell>
          <cell r="D13">
            <v>23506</v>
          </cell>
          <cell r="E13">
            <v>271</v>
          </cell>
          <cell r="F13">
            <v>328</v>
          </cell>
          <cell r="G13">
            <v>10158</v>
          </cell>
          <cell r="H13">
            <v>19397</v>
          </cell>
          <cell r="I13">
            <v>674</v>
          </cell>
          <cell r="J13">
            <v>1532</v>
          </cell>
          <cell r="K13">
            <v>1091</v>
          </cell>
          <cell r="L13">
            <v>2577</v>
          </cell>
          <cell r="M13">
            <v>11734</v>
          </cell>
          <cell r="N13">
            <v>23178</v>
          </cell>
          <cell r="O13">
            <v>255</v>
          </cell>
          <cell r="P13">
            <v>98</v>
          </cell>
          <cell r="Q13">
            <v>159</v>
          </cell>
          <cell r="R13">
            <v>573</v>
          </cell>
          <cell r="S13">
            <v>60</v>
          </cell>
          <cell r="T13">
            <v>97</v>
          </cell>
          <cell r="U13">
            <v>954.66237929075714</v>
          </cell>
        </row>
        <row r="14">
          <cell r="B14" t="str">
            <v>OR + WA</v>
          </cell>
          <cell r="C14">
            <v>8521</v>
          </cell>
          <cell r="D14">
            <v>15873</v>
          </cell>
          <cell r="E14">
            <v>106</v>
          </cell>
          <cell r="F14">
            <v>112</v>
          </cell>
          <cell r="G14">
            <v>7303</v>
          </cell>
          <cell r="H14">
            <v>13345</v>
          </cell>
          <cell r="I14">
            <v>1113</v>
          </cell>
          <cell r="J14">
            <v>2338</v>
          </cell>
          <cell r="K14">
            <v>779</v>
          </cell>
          <cell r="L14">
            <v>1722</v>
          </cell>
          <cell r="M14">
            <v>8449</v>
          </cell>
          <cell r="N14">
            <v>15761</v>
          </cell>
          <cell r="O14">
            <v>236.91713723748492</v>
          </cell>
          <cell r="P14">
            <v>84.11833005519955</v>
          </cell>
          <cell r="Q14">
            <v>145.84613920436522</v>
          </cell>
          <cell r="R14">
            <v>377.07689867394203</v>
          </cell>
          <cell r="S14">
            <v>61.727809149165665</v>
          </cell>
          <cell r="T14">
            <v>70.798807182285387</v>
          </cell>
          <cell r="U14">
            <v>898.30163060719497</v>
          </cell>
        </row>
        <row r="16">
          <cell r="A16" t="str">
            <v>2018, Table 12.  Irrigation Pumps on Farms Other Than for Wells</v>
          </cell>
        </row>
        <row r="18">
          <cell r="C18" t="str">
            <v>Pumps to discharge water from ponds, lakes, reservoirs, rivers, canals, etc.</v>
          </cell>
        </row>
        <row r="19">
          <cell r="C19" t="str">
            <v>Farms</v>
          </cell>
          <cell r="D19" t="str">
            <v>Pumps</v>
          </cell>
          <cell r="E19" t="str">
            <v>Average pumping lift (feet)</v>
          </cell>
          <cell r="F19" t="str">
            <v>Average operating pressure (psi)</v>
          </cell>
          <cell r="G19" t="str">
            <v>Average discharge capacity (gpm)</v>
          </cell>
          <cell r="H19" t="str">
            <v>Average hours of operation (hours)</v>
          </cell>
          <cell r="I19" t="str">
            <v>Pumps by discharge capacity</v>
          </cell>
        </row>
        <row r="20">
          <cell r="I20" t="str">
            <v>Less than 500 gpm</v>
          </cell>
          <cell r="J20" t="str">
            <v>500 to 999 gpm</v>
          </cell>
          <cell r="K20" t="str">
            <v>1000 to 1499 gpm</v>
          </cell>
          <cell r="L20" t="str">
            <v>1500 to 1999 gpm</v>
          </cell>
          <cell r="M20" t="str">
            <v>2000 to 2999 gpm</v>
          </cell>
          <cell r="N20" t="str">
            <v>3,000 or more gpm</v>
          </cell>
        </row>
        <row r="21">
          <cell r="N21" t="str">
            <v>Pumps</v>
          </cell>
          <cell r="O21" t="str">
            <v>Average gpm</v>
          </cell>
        </row>
        <row r="22">
          <cell r="B22" t="str">
            <v>Idaho</v>
          </cell>
          <cell r="C22">
            <v>4008</v>
          </cell>
          <cell r="D22">
            <v>12010</v>
          </cell>
          <cell r="E22">
            <v>27</v>
          </cell>
          <cell r="F22">
            <v>56</v>
          </cell>
          <cell r="G22">
            <v>1106</v>
          </cell>
          <cell r="H22">
            <v>1538</v>
          </cell>
          <cell r="I22">
            <v>4025</v>
          </cell>
          <cell r="J22">
            <v>4318</v>
          </cell>
          <cell r="K22">
            <v>1577</v>
          </cell>
          <cell r="L22">
            <v>1003</v>
          </cell>
          <cell r="M22">
            <v>434</v>
          </cell>
          <cell r="N22">
            <v>653</v>
          </cell>
          <cell r="O22">
            <v>7838</v>
          </cell>
        </row>
        <row r="23">
          <cell r="B23" t="str">
            <v>Montana</v>
          </cell>
          <cell r="C23">
            <v>3236</v>
          </cell>
          <cell r="D23">
            <v>8928</v>
          </cell>
          <cell r="E23">
            <v>23</v>
          </cell>
          <cell r="F23">
            <v>47</v>
          </cell>
          <cell r="G23">
            <v>1231</v>
          </cell>
          <cell r="H23">
            <v>1032</v>
          </cell>
          <cell r="I23">
            <v>3248</v>
          </cell>
          <cell r="J23">
            <v>2107</v>
          </cell>
          <cell r="K23">
            <v>1314</v>
          </cell>
          <cell r="L23">
            <v>604</v>
          </cell>
          <cell r="M23">
            <v>288</v>
          </cell>
          <cell r="N23">
            <v>1367</v>
          </cell>
          <cell r="O23">
            <v>4167</v>
          </cell>
        </row>
        <row r="24">
          <cell r="B24" t="str">
            <v>Oregon</v>
          </cell>
          <cell r="C24">
            <v>4478</v>
          </cell>
          <cell r="D24">
            <v>8108</v>
          </cell>
          <cell r="E24">
            <v>24</v>
          </cell>
          <cell r="F24">
            <v>66</v>
          </cell>
          <cell r="G24">
            <v>940</v>
          </cell>
          <cell r="H24">
            <v>984</v>
          </cell>
          <cell r="I24">
            <v>4758</v>
          </cell>
          <cell r="J24">
            <v>2066</v>
          </cell>
          <cell r="K24">
            <v>391</v>
          </cell>
          <cell r="L24">
            <v>161</v>
          </cell>
          <cell r="M24">
            <v>218</v>
          </cell>
          <cell r="N24">
            <v>514</v>
          </cell>
          <cell r="O24">
            <v>7972</v>
          </cell>
        </row>
        <row r="25">
          <cell r="B25" t="str">
            <v>Washington</v>
          </cell>
          <cell r="C25">
            <v>3008</v>
          </cell>
          <cell r="D25">
            <v>9464</v>
          </cell>
          <cell r="E25">
            <v>23</v>
          </cell>
          <cell r="F25">
            <v>64</v>
          </cell>
          <cell r="G25">
            <v>1262</v>
          </cell>
          <cell r="H25">
            <v>1821</v>
          </cell>
          <cell r="I25">
            <v>4552</v>
          </cell>
          <cell r="J25">
            <v>1965</v>
          </cell>
          <cell r="K25">
            <v>1468</v>
          </cell>
          <cell r="L25">
            <v>314</v>
          </cell>
          <cell r="M25">
            <v>138</v>
          </cell>
          <cell r="N25">
            <v>1027</v>
          </cell>
          <cell r="O25">
            <v>6989</v>
          </cell>
        </row>
        <row r="26">
          <cell r="B26" t="str">
            <v>PNW</v>
          </cell>
          <cell r="C26">
            <v>12372</v>
          </cell>
          <cell r="D26">
            <v>30958</v>
          </cell>
          <cell r="E26">
            <v>25</v>
          </cell>
          <cell r="F26">
            <v>61</v>
          </cell>
          <cell r="G26">
            <v>1081</v>
          </cell>
          <cell r="H26">
            <v>1373.598857439626</v>
          </cell>
          <cell r="I26">
            <v>14375</v>
          </cell>
          <cell r="J26">
            <v>8463</v>
          </cell>
          <cell r="K26">
            <v>3457</v>
          </cell>
          <cell r="L26">
            <v>1611</v>
          </cell>
          <cell r="M26">
            <v>814</v>
          </cell>
          <cell r="N26">
            <v>2238</v>
          </cell>
          <cell r="O26">
            <v>7408</v>
          </cell>
        </row>
        <row r="27">
          <cell r="B27" t="str">
            <v>OR + WA</v>
          </cell>
          <cell r="C27">
            <v>7486</v>
          </cell>
          <cell r="D27">
            <v>17572</v>
          </cell>
          <cell r="E27">
            <v>23.461415888914182</v>
          </cell>
          <cell r="F27">
            <v>64.922831777828364</v>
          </cell>
          <cell r="G27">
            <v>1113.4240837696334</v>
          </cell>
          <cell r="H27">
            <v>1434.7949009788299</v>
          </cell>
          <cell r="I27">
            <v>9310</v>
          </cell>
          <cell r="J27">
            <v>4031</v>
          </cell>
          <cell r="K27">
            <v>1859</v>
          </cell>
          <cell r="L27">
            <v>475</v>
          </cell>
          <cell r="M27">
            <v>356</v>
          </cell>
          <cell r="N27">
            <v>1541</v>
          </cell>
          <cell r="O27">
            <v>7316.8792991563923</v>
          </cell>
        </row>
        <row r="29">
          <cell r="A29" t="str">
            <v>2018, Table 4.   Estimated Quantity of Water Applied By Source</v>
          </cell>
        </row>
        <row r="30">
          <cell r="C30" t="str">
            <v>Water applied from all sources</v>
          </cell>
          <cell r="M30" t="str">
            <v>Ground water from wells</v>
          </cell>
          <cell r="Y30" t="str">
            <v>On-farm surface water</v>
          </cell>
          <cell r="AK30" t="str">
            <v>Off-farm water from all suppliers</v>
          </cell>
        </row>
        <row r="31">
          <cell r="M31" t="str">
            <v>Applied in the open</v>
          </cell>
          <cell r="S31" t="str">
            <v>Applied under protection</v>
          </cell>
          <cell r="Y31" t="str">
            <v>Applied in the open</v>
          </cell>
          <cell r="AE31" t="str">
            <v>Applied under protection</v>
          </cell>
          <cell r="AK31" t="str">
            <v>Applied in the open</v>
          </cell>
        </row>
        <row r="32">
          <cell r="C32" t="str">
            <v>Total area</v>
          </cell>
          <cell r="G32" t="str">
            <v>Acres in the open</v>
          </cell>
          <cell r="H32" t="str">
            <v>Acres in the open 3/</v>
          </cell>
          <cell r="I32" t="str">
            <v>Acres in the open 3/</v>
          </cell>
          <cell r="J32" t="str">
            <v>Area under protection</v>
          </cell>
          <cell r="K32" t="str">
            <v>Area under protection</v>
          </cell>
          <cell r="L32" t="str">
            <v>Area under protection</v>
          </cell>
          <cell r="M32" t="str">
            <v>Total</v>
          </cell>
          <cell r="P32" t="str">
            <v>Only source</v>
          </cell>
          <cell r="S32" t="str">
            <v>Total</v>
          </cell>
          <cell r="V32" t="str">
            <v>Only source</v>
          </cell>
          <cell r="Y32" t="str">
            <v>Total</v>
          </cell>
          <cell r="AB32" t="str">
            <v>Only source</v>
          </cell>
          <cell r="AE32" t="str">
            <v>Total</v>
          </cell>
          <cell r="AH32" t="str">
            <v>Only source</v>
          </cell>
          <cell r="AK32" t="str">
            <v>Total</v>
          </cell>
          <cell r="AN32" t="str">
            <v>Only source</v>
          </cell>
        </row>
        <row r="33">
          <cell r="C33" t="str">
            <v>Farms</v>
          </cell>
          <cell r="D33" t="str">
            <v>Acres irrigated</v>
          </cell>
          <cell r="E33" t="str">
            <v>Acre-feet applied</v>
          </cell>
          <cell r="F33" t="str">
            <v>acre-feet per acre</v>
          </cell>
          <cell r="G33" t="str">
            <v>Acres irrigated</v>
          </cell>
          <cell r="H33" t="str">
            <v>Acre-feet applied</v>
          </cell>
          <cell r="I33" t="str">
            <v>Average acre-feet per acre</v>
          </cell>
          <cell r="J33" t="str">
            <v>Farms</v>
          </cell>
          <cell r="K33" t="str">
            <v>Square feet irrigated</v>
          </cell>
          <cell r="L33" t="str">
            <v>Gallons applied (x1,000)</v>
          </cell>
          <cell r="M33" t="str">
            <v>Farms</v>
          </cell>
          <cell r="N33" t="str">
            <v>Acres irrigated</v>
          </cell>
          <cell r="O33" t="str">
            <v>Acre-feet applied</v>
          </cell>
          <cell r="P33" t="str">
            <v>Farms</v>
          </cell>
          <cell r="Q33" t="str">
            <v>Acres irrigated</v>
          </cell>
          <cell r="R33" t="str">
            <v>Average acre-feet per acre</v>
          </cell>
          <cell r="S33" t="str">
            <v>Farms</v>
          </cell>
          <cell r="T33" t="str">
            <v>Square feet irrigated</v>
          </cell>
          <cell r="U33" t="str">
            <v>Gallons applied (x1,000)</v>
          </cell>
          <cell r="V33" t="str">
            <v>Farms</v>
          </cell>
          <cell r="W33" t="str">
            <v>Square feet irrigated</v>
          </cell>
          <cell r="X33" t="str">
            <v>Gallons applied (x1,000)</v>
          </cell>
          <cell r="Y33" t="str">
            <v>Farms</v>
          </cell>
          <cell r="Z33" t="str">
            <v>Acres irrigated</v>
          </cell>
          <cell r="AA33" t="str">
            <v>Acre-feet applied</v>
          </cell>
          <cell r="AB33" t="str">
            <v>Farms</v>
          </cell>
          <cell r="AC33" t="str">
            <v>Acres irrigated</v>
          </cell>
          <cell r="AD33" t="str">
            <v>Average acre-feet per acre</v>
          </cell>
          <cell r="AE33" t="str">
            <v>Farms</v>
          </cell>
          <cell r="AF33" t="str">
            <v>Square feet irrigated</v>
          </cell>
          <cell r="AG33" t="str">
            <v>Gallons applied (x1,000)</v>
          </cell>
          <cell r="AH33" t="str">
            <v>Farms</v>
          </cell>
          <cell r="AI33" t="str">
            <v>Square feet irrigated</v>
          </cell>
          <cell r="AJ33" t="str">
            <v>Gallons applied (x1,000)</v>
          </cell>
          <cell r="AK33" t="str">
            <v>Farms</v>
          </cell>
          <cell r="AL33" t="str">
            <v>Acres irrigated</v>
          </cell>
          <cell r="AM33" t="str">
            <v>Acre-feet applied</v>
          </cell>
          <cell r="AN33" t="str">
            <v>Farms</v>
          </cell>
        </row>
        <row r="34">
          <cell r="B34" t="str">
            <v>Idaho</v>
          </cell>
          <cell r="C34">
            <v>14867</v>
          </cell>
          <cell r="D34">
            <v>3393063</v>
          </cell>
          <cell r="E34">
            <v>6614948</v>
          </cell>
          <cell r="F34">
            <v>1.9</v>
          </cell>
          <cell r="G34">
            <v>3392674</v>
          </cell>
          <cell r="H34">
            <v>6614755</v>
          </cell>
          <cell r="I34">
            <v>1.9</v>
          </cell>
          <cell r="J34">
            <v>336</v>
          </cell>
          <cell r="K34">
            <v>4346935</v>
          </cell>
          <cell r="L34">
            <v>62808</v>
          </cell>
          <cell r="M34">
            <v>2929</v>
          </cell>
          <cell r="N34">
            <v>1046997</v>
          </cell>
          <cell r="O34">
            <v>1858993</v>
          </cell>
          <cell r="P34">
            <v>1646</v>
          </cell>
          <cell r="Q34">
            <v>480680</v>
          </cell>
          <cell r="R34">
            <v>1.7</v>
          </cell>
          <cell r="S34">
            <v>191</v>
          </cell>
          <cell r="T34">
            <v>3282207</v>
          </cell>
          <cell r="U34">
            <v>45320</v>
          </cell>
          <cell r="V34">
            <v>164</v>
          </cell>
          <cell r="W34">
            <v>3004307</v>
          </cell>
          <cell r="X34">
            <v>44270</v>
          </cell>
          <cell r="Y34">
            <v>2168</v>
          </cell>
          <cell r="Z34">
            <v>472739</v>
          </cell>
          <cell r="AA34">
            <v>920349</v>
          </cell>
          <cell r="AB34">
            <v>1636</v>
          </cell>
          <cell r="AC34">
            <v>295995</v>
          </cell>
          <cell r="AD34">
            <v>2.1</v>
          </cell>
          <cell r="AE34">
            <v>35</v>
          </cell>
          <cell r="AF34">
            <v>155480</v>
          </cell>
          <cell r="AG34">
            <v>691</v>
          </cell>
          <cell r="AH34">
            <v>32</v>
          </cell>
          <cell r="AI34">
            <v>143480</v>
          </cell>
          <cell r="AJ34">
            <v>687</v>
          </cell>
          <cell r="AK34">
            <v>11145</v>
          </cell>
          <cell r="AL34">
            <v>1885411</v>
          </cell>
          <cell r="AM34">
            <v>3835413</v>
          </cell>
          <cell r="AN34">
            <v>10012</v>
          </cell>
        </row>
        <row r="35">
          <cell r="B35" t="str">
            <v>Montana</v>
          </cell>
          <cell r="C35">
            <v>8887</v>
          </cell>
          <cell r="D35">
            <v>2140162</v>
          </cell>
          <cell r="E35">
            <v>2548942</v>
          </cell>
          <cell r="F35">
            <v>1.2</v>
          </cell>
          <cell r="G35">
            <v>2139878</v>
          </cell>
          <cell r="H35">
            <v>2548878</v>
          </cell>
          <cell r="I35">
            <v>1.2</v>
          </cell>
          <cell r="J35">
            <v>265</v>
          </cell>
          <cell r="K35">
            <v>2265336</v>
          </cell>
          <cell r="L35">
            <v>20871</v>
          </cell>
          <cell r="M35">
            <v>1213</v>
          </cell>
          <cell r="N35">
            <v>67696</v>
          </cell>
          <cell r="O35">
            <v>60731</v>
          </cell>
          <cell r="P35">
            <v>941</v>
          </cell>
          <cell r="Q35">
            <v>43863</v>
          </cell>
          <cell r="R35">
            <v>0.9</v>
          </cell>
          <cell r="S35">
            <v>205</v>
          </cell>
          <cell r="T35">
            <v>1531904</v>
          </cell>
          <cell r="U35">
            <v>14174</v>
          </cell>
          <cell r="V35">
            <v>193</v>
          </cell>
          <cell r="W35">
            <v>1402304</v>
          </cell>
          <cell r="X35">
            <v>13680</v>
          </cell>
          <cell r="Y35">
            <v>1512</v>
          </cell>
          <cell r="Z35">
            <v>578622</v>
          </cell>
          <cell r="AA35">
            <v>743711</v>
          </cell>
          <cell r="AB35">
            <v>1275</v>
          </cell>
          <cell r="AC35">
            <v>514951</v>
          </cell>
          <cell r="AD35">
            <v>1.3</v>
          </cell>
          <cell r="AE35">
            <v>18</v>
          </cell>
          <cell r="AF35">
            <v>286060</v>
          </cell>
          <cell r="AG35">
            <v>2190</v>
          </cell>
          <cell r="AH35">
            <v>12</v>
          </cell>
          <cell r="AI35">
            <v>24700</v>
          </cell>
          <cell r="AK35">
            <v>6500</v>
          </cell>
          <cell r="AL35">
            <v>1496472</v>
          </cell>
          <cell r="AM35">
            <v>1744436</v>
          </cell>
          <cell r="AN35">
            <v>6081</v>
          </cell>
        </row>
        <row r="36">
          <cell r="B36" t="str">
            <v>Oregon</v>
          </cell>
          <cell r="C36">
            <v>13794</v>
          </cell>
          <cell r="D36">
            <v>1579108</v>
          </cell>
          <cell r="E36">
            <v>2719424</v>
          </cell>
          <cell r="F36">
            <v>1.7</v>
          </cell>
          <cell r="G36">
            <v>1577008</v>
          </cell>
          <cell r="H36">
            <v>2716564</v>
          </cell>
          <cell r="I36">
            <v>1.7</v>
          </cell>
          <cell r="J36">
            <v>1020</v>
          </cell>
          <cell r="K36">
            <v>64333453</v>
          </cell>
          <cell r="L36">
            <v>931860</v>
          </cell>
          <cell r="M36">
            <v>4280</v>
          </cell>
          <cell r="N36">
            <v>435962</v>
          </cell>
          <cell r="O36">
            <v>690098</v>
          </cell>
          <cell r="P36">
            <v>3597</v>
          </cell>
          <cell r="Q36">
            <v>297682</v>
          </cell>
          <cell r="R36">
            <v>1.6</v>
          </cell>
          <cell r="S36">
            <v>656</v>
          </cell>
          <cell r="T36">
            <v>37775643</v>
          </cell>
          <cell r="U36">
            <v>548039</v>
          </cell>
          <cell r="V36">
            <v>623</v>
          </cell>
          <cell r="W36">
            <v>34604423</v>
          </cell>
          <cell r="X36">
            <v>499016</v>
          </cell>
          <cell r="Y36">
            <v>2690</v>
          </cell>
          <cell r="Z36">
            <v>332419</v>
          </cell>
          <cell r="AA36">
            <v>489566</v>
          </cell>
          <cell r="AB36">
            <v>2137</v>
          </cell>
          <cell r="AC36">
            <v>207414</v>
          </cell>
          <cell r="AD36">
            <v>1.5</v>
          </cell>
          <cell r="AE36">
            <v>153</v>
          </cell>
          <cell r="AF36">
            <v>9031010</v>
          </cell>
          <cell r="AG36">
            <v>96267</v>
          </cell>
          <cell r="AH36">
            <v>128</v>
          </cell>
          <cell r="AI36">
            <v>3194520</v>
          </cell>
          <cell r="AJ36">
            <v>29030</v>
          </cell>
          <cell r="AK36">
            <v>7390</v>
          </cell>
          <cell r="AL36">
            <v>814713</v>
          </cell>
          <cell r="AM36">
            <v>1536900</v>
          </cell>
          <cell r="AN36">
            <v>6970</v>
          </cell>
        </row>
        <row r="37">
          <cell r="B37" t="str">
            <v>Washington</v>
          </cell>
          <cell r="C37">
            <v>11259</v>
          </cell>
          <cell r="D37">
            <v>1866110</v>
          </cell>
          <cell r="E37">
            <v>4072575</v>
          </cell>
          <cell r="F37">
            <v>2.2000000000000002</v>
          </cell>
          <cell r="G37">
            <v>1864760</v>
          </cell>
          <cell r="H37">
            <v>4071696</v>
          </cell>
          <cell r="I37">
            <v>2.2000000000000002</v>
          </cell>
          <cell r="J37">
            <v>856</v>
          </cell>
          <cell r="K37">
            <v>29307707</v>
          </cell>
          <cell r="L37">
            <v>286518</v>
          </cell>
          <cell r="M37">
            <v>3809</v>
          </cell>
          <cell r="N37">
            <v>525576</v>
          </cell>
          <cell r="O37">
            <v>1028759</v>
          </cell>
          <cell r="P37">
            <v>3051</v>
          </cell>
          <cell r="Q37">
            <v>326032</v>
          </cell>
          <cell r="R37">
            <v>1.8</v>
          </cell>
          <cell r="S37">
            <v>598</v>
          </cell>
          <cell r="T37">
            <v>16921227</v>
          </cell>
          <cell r="U37">
            <v>145110</v>
          </cell>
          <cell r="V37">
            <v>571</v>
          </cell>
          <cell r="W37">
            <v>10670627</v>
          </cell>
          <cell r="X37">
            <v>90493</v>
          </cell>
          <cell r="Y37">
            <v>1373</v>
          </cell>
          <cell r="Z37">
            <v>115267</v>
          </cell>
          <cell r="AA37">
            <v>218746</v>
          </cell>
          <cell r="AB37">
            <v>1065</v>
          </cell>
          <cell r="AC37">
            <v>76769</v>
          </cell>
          <cell r="AD37">
            <v>1.7</v>
          </cell>
          <cell r="AE37">
            <v>43</v>
          </cell>
          <cell r="AF37">
            <v>2545360</v>
          </cell>
          <cell r="AG37">
            <v>9737</v>
          </cell>
          <cell r="AH37">
            <v>37</v>
          </cell>
          <cell r="AI37">
            <v>1323760</v>
          </cell>
          <cell r="AJ37">
            <v>6199</v>
          </cell>
          <cell r="AK37">
            <v>6671</v>
          </cell>
          <cell r="AL37">
            <v>1236367</v>
          </cell>
          <cell r="AM37">
            <v>2824191</v>
          </cell>
          <cell r="AN37">
            <v>6073</v>
          </cell>
        </row>
        <row r="38">
          <cell r="B38" t="str">
            <v>PNW</v>
          </cell>
          <cell r="C38">
            <v>41905</v>
          </cell>
          <cell r="D38">
            <v>7014019</v>
          </cell>
          <cell r="E38">
            <v>13595585</v>
          </cell>
          <cell r="F38">
            <v>1.9</v>
          </cell>
          <cell r="G38">
            <v>7010052</v>
          </cell>
          <cell r="H38">
            <v>13591647</v>
          </cell>
          <cell r="I38">
            <v>1.9</v>
          </cell>
          <cell r="J38">
            <v>2370</v>
          </cell>
          <cell r="K38">
            <v>97211841</v>
          </cell>
          <cell r="L38">
            <v>1283271</v>
          </cell>
          <cell r="M38">
            <v>11305</v>
          </cell>
          <cell r="N38">
            <v>1936058</v>
          </cell>
          <cell r="O38">
            <v>3448812</v>
          </cell>
          <cell r="P38">
            <v>8628</v>
          </cell>
          <cell r="Q38">
            <v>1067073</v>
          </cell>
          <cell r="R38">
            <v>1.8</v>
          </cell>
          <cell r="S38">
            <v>1591</v>
          </cell>
          <cell r="T38">
            <v>58811011</v>
          </cell>
          <cell r="U38">
            <v>746184</v>
          </cell>
          <cell r="V38">
            <v>1492</v>
          </cell>
          <cell r="W38">
            <v>48981681</v>
          </cell>
          <cell r="X38">
            <v>641000</v>
          </cell>
          <cell r="Y38">
            <v>6794</v>
          </cell>
          <cell r="Z38">
            <v>1047015</v>
          </cell>
          <cell r="AA38">
            <v>1818946</v>
          </cell>
          <cell r="AB38">
            <v>5379</v>
          </cell>
          <cell r="AC38">
            <v>705535</v>
          </cell>
          <cell r="AD38">
            <v>1.8</v>
          </cell>
          <cell r="AE38">
            <v>245</v>
          </cell>
          <cell r="AF38">
            <v>12003990</v>
          </cell>
          <cell r="AG38">
            <v>108680</v>
          </cell>
          <cell r="AH38">
            <v>205</v>
          </cell>
          <cell r="AI38">
            <v>4672540</v>
          </cell>
          <cell r="AJ38">
            <v>35982</v>
          </cell>
          <cell r="AK38">
            <v>26252</v>
          </cell>
          <cell r="AL38">
            <v>4053506</v>
          </cell>
          <cell r="AM38">
            <v>8323889</v>
          </cell>
          <cell r="AN38">
            <v>24061</v>
          </cell>
        </row>
        <row r="39">
          <cell r="B39" t="str">
            <v>OR + WA</v>
          </cell>
          <cell r="C39">
            <v>25053</v>
          </cell>
          <cell r="D39">
            <v>3445218</v>
          </cell>
          <cell r="E39">
            <v>6791999</v>
          </cell>
          <cell r="F39">
            <v>1.9714279328623037</v>
          </cell>
          <cell r="G39">
            <v>3441768</v>
          </cell>
          <cell r="H39">
            <v>6788260</v>
          </cell>
          <cell r="I39">
            <v>1.9723177157786347</v>
          </cell>
          <cell r="J39">
            <v>1876</v>
          </cell>
          <cell r="K39">
            <v>93641160</v>
          </cell>
          <cell r="L39">
            <v>1218378</v>
          </cell>
          <cell r="M39">
            <v>8089</v>
          </cell>
          <cell r="N39">
            <v>961538</v>
          </cell>
          <cell r="O39">
            <v>1718857</v>
          </cell>
          <cell r="P39">
            <v>6648</v>
          </cell>
          <cell r="Q39">
            <v>623714</v>
          </cell>
          <cell r="R39">
            <v>1.7000000000000002</v>
          </cell>
          <cell r="S39">
            <v>1254</v>
          </cell>
          <cell r="T39">
            <v>54696870</v>
          </cell>
          <cell r="U39">
            <v>693149</v>
          </cell>
          <cell r="V39">
            <v>1194</v>
          </cell>
          <cell r="W39">
            <v>45275050</v>
          </cell>
          <cell r="X39">
            <v>589509</v>
          </cell>
          <cell r="Y39">
            <v>4063</v>
          </cell>
          <cell r="Z39">
            <v>447686</v>
          </cell>
          <cell r="AA39">
            <v>708312</v>
          </cell>
          <cell r="AB39">
            <v>3202</v>
          </cell>
          <cell r="AC39">
            <v>284183</v>
          </cell>
          <cell r="AD39">
            <v>1.6</v>
          </cell>
          <cell r="AE39">
            <v>196</v>
          </cell>
          <cell r="AF39">
            <v>11576370</v>
          </cell>
          <cell r="AG39">
            <v>106004</v>
          </cell>
          <cell r="AH39">
            <v>165</v>
          </cell>
          <cell r="AI39">
            <v>4518280</v>
          </cell>
          <cell r="AJ39">
            <v>35229</v>
          </cell>
          <cell r="AK39">
            <v>14061</v>
          </cell>
          <cell r="AL39">
            <v>2051080</v>
          </cell>
          <cell r="AM39">
            <v>4361091</v>
          </cell>
          <cell r="AN39">
            <v>13043</v>
          </cell>
        </row>
        <row r="41">
          <cell r="B41" t="str">
            <v>Summary of water sources</v>
          </cell>
        </row>
        <row r="43">
          <cell r="C43" t="str">
            <v>Acres irrigated (from FRIS)</v>
          </cell>
          <cell r="D43" t="str">
            <v>Ground water from wells</v>
          </cell>
          <cell r="E43" t="str">
            <v>On-farm surface water</v>
          </cell>
          <cell r="F43" t="str">
            <v>Off-farm water from all suppliers</v>
          </cell>
          <cell r="G43" t="str">
            <v>Total (calculated)</v>
          </cell>
          <cell r="H43" t="str">
            <v>% ground water</v>
          </cell>
        </row>
        <row r="44">
          <cell r="B44" t="str">
            <v>Idaho</v>
          </cell>
          <cell r="C44">
            <v>3393162.7914976189</v>
          </cell>
          <cell r="D44">
            <v>1046997</v>
          </cell>
          <cell r="E44">
            <v>472739</v>
          </cell>
          <cell r="F44">
            <v>1885411</v>
          </cell>
          <cell r="G44">
            <v>3405147</v>
          </cell>
          <cell r="H44">
            <v>0.30747483148304611</v>
          </cell>
        </row>
        <row r="45">
          <cell r="B45" t="str">
            <v>Montana</v>
          </cell>
          <cell r="C45">
            <v>2140214.0047509451</v>
          </cell>
          <cell r="D45">
            <v>67696</v>
          </cell>
          <cell r="E45">
            <v>578622</v>
          </cell>
          <cell r="F45">
            <v>1496472</v>
          </cell>
          <cell r="G45">
            <v>2142790</v>
          </cell>
          <cell r="H45">
            <v>3.1592456563638995E-2</v>
          </cell>
        </row>
        <row r="46">
          <cell r="B46" t="str">
            <v>Oregon</v>
          </cell>
          <cell r="C46">
            <v>1580584.8869610117</v>
          </cell>
          <cell r="D46">
            <v>435962</v>
          </cell>
          <cell r="E46">
            <v>332419</v>
          </cell>
          <cell r="F46">
            <v>814713</v>
          </cell>
          <cell r="G46">
            <v>1583094</v>
          </cell>
          <cell r="H46">
            <v>0.27538604782786114</v>
          </cell>
        </row>
        <row r="47">
          <cell r="B47" t="str">
            <v>Washington</v>
          </cell>
          <cell r="C47">
            <v>1866782.8096862056</v>
          </cell>
          <cell r="D47">
            <v>525576</v>
          </cell>
          <cell r="E47">
            <v>115267</v>
          </cell>
          <cell r="F47">
            <v>1236367</v>
          </cell>
          <cell r="G47">
            <v>1877210</v>
          </cell>
          <cell r="H47">
            <v>0.2799772002066897</v>
          </cell>
        </row>
        <row r="48">
          <cell r="B48" t="str">
            <v>PNW</v>
          </cell>
          <cell r="C48">
            <v>7016250.6678762576</v>
          </cell>
          <cell r="D48">
            <v>1936058</v>
          </cell>
          <cell r="E48">
            <v>1047015</v>
          </cell>
          <cell r="F48">
            <v>4053506</v>
          </cell>
          <cell r="G48">
            <v>7036579</v>
          </cell>
          <cell r="H48">
            <v>0.27514194042303797</v>
          </cell>
        </row>
        <row r="49">
          <cell r="B49" t="str">
            <v>OR + WA</v>
          </cell>
          <cell r="C49">
            <v>3447367.6966472175</v>
          </cell>
          <cell r="D49">
            <v>961538</v>
          </cell>
          <cell r="E49">
            <v>447686</v>
          </cell>
          <cell r="F49">
            <v>2051080</v>
          </cell>
          <cell r="G49">
            <v>3460304</v>
          </cell>
          <cell r="H49">
            <v>0.27787674146548974</v>
          </cell>
        </row>
        <row r="50">
          <cell r="C50" t="str">
            <v>assume off-farm water is primarily surface water</v>
          </cell>
        </row>
        <row r="51">
          <cell r="C51" t="str">
            <v>Note discrepancy between total acreage in first section of FRIS table vs adding from individual sources.  Assume the individual source values are correct</v>
          </cell>
        </row>
        <row r="52">
          <cell r="C52" t="str">
            <v>Areas under protection should not be included, since irrigation hardware measures do not apply to these crops. These areas are so small relative to the open areas that the change did not result in any significant changes.</v>
          </cell>
        </row>
        <row r="53">
          <cell r="B53" t="str">
            <v>Summary of hours</v>
          </cell>
        </row>
        <row r="54">
          <cell r="C54" t="str">
            <v>Hours of use</v>
          </cell>
          <cell r="E54" t="str">
            <v>% of water</v>
          </cell>
          <cell r="G54" t="str">
            <v>Average HOU</v>
          </cell>
        </row>
        <row r="55">
          <cell r="C55" t="str">
            <v>Water Source</v>
          </cell>
          <cell r="E55" t="str">
            <v>Water Source</v>
          </cell>
        </row>
        <row r="56">
          <cell r="C56" t="str">
            <v>Well</v>
          </cell>
          <cell r="D56" t="str">
            <v>Surface water</v>
          </cell>
          <cell r="E56" t="str">
            <v>Well</v>
          </cell>
          <cell r="F56" t="str">
            <v>Surface water</v>
          </cell>
        </row>
        <row r="57">
          <cell r="B57" t="str">
            <v>Idaho</v>
          </cell>
          <cell r="C57">
            <v>1208</v>
          </cell>
          <cell r="D57">
            <v>1538</v>
          </cell>
          <cell r="E57">
            <v>0.30747483148304611</v>
          </cell>
          <cell r="F57">
            <v>0.69252516851695389</v>
          </cell>
          <cell r="G57">
            <v>1436.5333056105949</v>
          </cell>
        </row>
        <row r="58">
          <cell r="B58" t="str">
            <v>Montana</v>
          </cell>
          <cell r="C58">
            <v>419</v>
          </cell>
          <cell r="D58">
            <v>1032</v>
          </cell>
          <cell r="E58">
            <v>3.1592456563638995E-2</v>
          </cell>
          <cell r="F58">
            <v>0.96840754343636104</v>
          </cell>
          <cell r="G58">
            <v>1012.6338241264893</v>
          </cell>
        </row>
        <row r="59">
          <cell r="B59" t="str">
            <v>Oregon</v>
          </cell>
          <cell r="C59">
            <v>732</v>
          </cell>
          <cell r="D59">
            <v>984</v>
          </cell>
          <cell r="E59">
            <v>0.27538604782786114</v>
          </cell>
          <cell r="F59">
            <v>0.72461395217213886</v>
          </cell>
          <cell r="G59">
            <v>914.60271594737901</v>
          </cell>
        </row>
        <row r="60">
          <cell r="B60" t="str">
            <v>Washington</v>
          </cell>
          <cell r="C60">
            <v>1117</v>
          </cell>
          <cell r="D60">
            <v>1821</v>
          </cell>
          <cell r="E60">
            <v>0.2799772002066897</v>
          </cell>
          <cell r="F60">
            <v>0.7200227997933103</v>
          </cell>
          <cell r="G60">
            <v>1623.8960510544903</v>
          </cell>
        </row>
        <row r="61">
          <cell r="B61" t="str">
            <v>PNW</v>
          </cell>
          <cell r="C61">
            <v>954.66237929075714</v>
          </cell>
          <cell r="D61">
            <v>1373.598857439626</v>
          </cell>
          <cell r="E61">
            <v>0.27514194042303797</v>
          </cell>
          <cell r="F61">
            <v>0.72485805957696203</v>
          </cell>
          <cell r="G61">
            <v>1258.3318619277525</v>
          </cell>
        </row>
        <row r="62">
          <cell r="B62" t="str">
            <v>OR + WA</v>
          </cell>
          <cell r="C62">
            <v>898.30163060719497</v>
          </cell>
          <cell r="D62">
            <v>1434.7949009788299</v>
          </cell>
          <cell r="E62">
            <v>0.27787674146548974</v>
          </cell>
          <cell r="F62">
            <v>0.72212325853451031</v>
          </cell>
          <cell r="G62">
            <v>1285.7158991897959</v>
          </cell>
        </row>
        <row r="64">
          <cell r="A64" t="str">
            <v>2018, Table 13. On-Farm Energy Expenses for Irrigation Water by Water Source and Type of Energy</v>
          </cell>
        </row>
        <row r="65">
          <cell r="A65">
            <v>2013</v>
          </cell>
        </row>
        <row r="66">
          <cell r="A66" t="str">
            <v>State</v>
          </cell>
          <cell r="B66" t="str">
            <v>Total Energy Expenses for Pumping</v>
          </cell>
        </row>
        <row r="67">
          <cell r="B67" t="str">
            <v>Farms</v>
          </cell>
          <cell r="C67" t="str">
            <v>Pumps Powered</v>
          </cell>
          <cell r="D67" t="str">
            <v>Acres Irrigated</v>
          </cell>
          <cell r="E67" t="str">
            <v>Acres Irrigated w/Wells</v>
          </cell>
          <cell r="F67" t="str">
            <v>Acres Irrigated w/Surface Water</v>
          </cell>
          <cell r="G67" t="str">
            <v>Expenses ($1,000)</v>
          </cell>
          <cell r="H67" t="str">
            <v>Expenses per Acre Irrigated</v>
          </cell>
          <cell r="I67" t="str">
            <v>Farms with Energy Expenses of</v>
          </cell>
          <cell r="P67" t="str">
            <v>Share of Acreage Irrigated w/Wells</v>
          </cell>
          <cell r="Q67" t="str">
            <v>Share of Acreage Irrigated w/Surface Water</v>
          </cell>
          <cell r="R67" t="str">
            <v>% Irrigated by Wells</v>
          </cell>
        </row>
        <row r="68">
          <cell r="I68" t="str">
            <v>&lt;$1000</v>
          </cell>
          <cell r="J68" t="str">
            <v>$1000 to</v>
          </cell>
          <cell r="K68" t="str">
            <v>$2000 to</v>
          </cell>
          <cell r="L68" t="str">
            <v>$5000 to</v>
          </cell>
          <cell r="M68" t="str">
            <v>$10000 to</v>
          </cell>
          <cell r="N68" t="str">
            <v>$20000 to</v>
          </cell>
          <cell r="O68" t="str">
            <v>&gt;$50000</v>
          </cell>
        </row>
        <row r="69">
          <cell r="J69">
            <v>1999</v>
          </cell>
          <cell r="K69">
            <v>4999</v>
          </cell>
          <cell r="L69">
            <v>9999</v>
          </cell>
          <cell r="M69">
            <v>19999</v>
          </cell>
          <cell r="N69">
            <v>49999</v>
          </cell>
        </row>
        <row r="70">
          <cell r="A70" t="str">
            <v>Idaho</v>
          </cell>
          <cell r="B70">
            <v>7496</v>
          </cell>
          <cell r="C70">
            <v>23159</v>
          </cell>
          <cell r="D70">
            <v>2478770</v>
          </cell>
          <cell r="E70">
            <v>1044768</v>
          </cell>
          <cell r="F70">
            <v>1434002</v>
          </cell>
          <cell r="G70">
            <v>145734</v>
          </cell>
          <cell r="H70">
            <v>58.792869043920973</v>
          </cell>
          <cell r="I70">
            <v>2541</v>
          </cell>
          <cell r="J70">
            <v>1044</v>
          </cell>
          <cell r="K70">
            <v>1330</v>
          </cell>
          <cell r="L70">
            <v>740</v>
          </cell>
          <cell r="M70">
            <v>649</v>
          </cell>
          <cell r="N70">
            <v>575</v>
          </cell>
          <cell r="O70">
            <v>617</v>
          </cell>
          <cell r="P70">
            <v>0.53941439115762868</v>
          </cell>
          <cell r="Q70">
            <v>0.43118905779609173</v>
          </cell>
          <cell r="R70">
            <v>0.42148646304417109</v>
          </cell>
        </row>
        <row r="71">
          <cell r="A71" t="str">
            <v>Montana</v>
          </cell>
          <cell r="B71">
            <v>4888</v>
          </cell>
          <cell r="C71">
            <v>1220</v>
          </cell>
          <cell r="D71">
            <v>1170456</v>
          </cell>
          <cell r="E71">
            <v>60103</v>
          </cell>
          <cell r="F71">
            <v>1110353</v>
          </cell>
          <cell r="G71">
            <v>26556</v>
          </cell>
          <cell r="H71">
            <v>22.688593163690047</v>
          </cell>
          <cell r="I71">
            <v>2081</v>
          </cell>
          <cell r="J71">
            <v>952</v>
          </cell>
          <cell r="K71">
            <v>803</v>
          </cell>
          <cell r="L71">
            <v>436</v>
          </cell>
          <cell r="M71">
            <v>260</v>
          </cell>
          <cell r="N71">
            <v>268</v>
          </cell>
          <cell r="O71">
            <v>88</v>
          </cell>
          <cell r="P71">
            <v>3.1031217602134592E-2</v>
          </cell>
          <cell r="Q71">
            <v>0.33387126649130466</v>
          </cell>
          <cell r="R71">
            <v>5.1350072108648254E-2</v>
          </cell>
        </row>
        <row r="72">
          <cell r="A72" t="str">
            <v>Oregon</v>
          </cell>
          <cell r="B72">
            <v>9301</v>
          </cell>
          <cell r="C72">
            <v>19133</v>
          </cell>
          <cell r="D72">
            <v>1025957</v>
          </cell>
          <cell r="E72">
            <v>433629</v>
          </cell>
          <cell r="F72">
            <v>592328</v>
          </cell>
          <cell r="G72">
            <v>54249</v>
          </cell>
          <cell r="H72">
            <v>52.87648507685995</v>
          </cell>
          <cell r="I72">
            <v>5064</v>
          </cell>
          <cell r="J72">
            <v>1424</v>
          </cell>
          <cell r="K72">
            <v>1026</v>
          </cell>
          <cell r="L72">
            <v>659</v>
          </cell>
          <cell r="M72">
            <v>487</v>
          </cell>
          <cell r="N72">
            <v>482</v>
          </cell>
          <cell r="O72">
            <v>159</v>
          </cell>
          <cell r="P72">
            <v>0.22388293192679271</v>
          </cell>
          <cell r="Q72">
            <v>0.17810669178023703</v>
          </cell>
          <cell r="R72">
            <v>0.42265806461674321</v>
          </cell>
        </row>
        <row r="73">
          <cell r="A73" t="str">
            <v>Washington</v>
          </cell>
          <cell r="B73">
            <v>7648</v>
          </cell>
          <cell r="C73">
            <v>20880</v>
          </cell>
          <cell r="D73">
            <v>1655307</v>
          </cell>
          <cell r="E73">
            <v>529088</v>
          </cell>
          <cell r="F73">
            <v>1126219</v>
          </cell>
          <cell r="G73">
            <v>92825</v>
          </cell>
          <cell r="H73">
            <v>56.077211055109409</v>
          </cell>
          <cell r="I73">
            <v>3504</v>
          </cell>
          <cell r="J73">
            <v>1102</v>
          </cell>
          <cell r="K73">
            <v>916</v>
          </cell>
          <cell r="L73">
            <v>461</v>
          </cell>
          <cell r="M73">
            <v>725</v>
          </cell>
          <cell r="N73">
            <v>506</v>
          </cell>
          <cell r="O73">
            <v>441</v>
          </cell>
          <cell r="P73">
            <v>0.27316847509572212</v>
          </cell>
          <cell r="Q73">
            <v>0.33864200292751101</v>
          </cell>
          <cell r="R73">
            <v>0.31963134330973048</v>
          </cell>
        </row>
        <row r="74">
          <cell r="A74" t="str">
            <v>PNW</v>
          </cell>
          <cell r="B74">
            <v>25781</v>
          </cell>
          <cell r="C74">
            <v>64956</v>
          </cell>
          <cell r="D74">
            <v>5262548</v>
          </cell>
          <cell r="E74">
            <v>1936856</v>
          </cell>
          <cell r="F74">
            <v>3325692</v>
          </cell>
          <cell r="G74">
            <v>291190</v>
          </cell>
          <cell r="H74">
            <v>55.332511931482621</v>
          </cell>
          <cell r="I74">
            <v>11972</v>
          </cell>
          <cell r="J74">
            <v>3873</v>
          </cell>
          <cell r="K74">
            <v>3512</v>
          </cell>
          <cell r="L74">
            <v>1868</v>
          </cell>
          <cell r="M74">
            <v>1801</v>
          </cell>
          <cell r="N74">
            <v>1565</v>
          </cell>
          <cell r="O74">
            <v>1197</v>
          </cell>
          <cell r="P74">
            <v>1</v>
          </cell>
          <cell r="Q74">
            <v>1</v>
          </cell>
          <cell r="R74">
            <v>0.36804528908809953</v>
          </cell>
        </row>
        <row r="75">
          <cell r="A75">
            <v>2018</v>
          </cell>
        </row>
        <row r="76">
          <cell r="A76" t="str">
            <v>State</v>
          </cell>
          <cell r="B76" t="str">
            <v>Electricity Expenses for Pumping</v>
          </cell>
        </row>
        <row r="77">
          <cell r="B77" t="str">
            <v>Farms</v>
          </cell>
          <cell r="C77" t="str">
            <v>Pumps Powered</v>
          </cell>
          <cell r="D77" t="str">
            <v>Acres Irrigated</v>
          </cell>
          <cell r="E77" t="str">
            <v>Acres Irrigated w/Wells</v>
          </cell>
          <cell r="F77" t="str">
            <v>Acres Irrigated w/Surface Water</v>
          </cell>
          <cell r="G77" t="str">
            <v>Expenses ($1,000)</v>
          </cell>
          <cell r="H77" t="str">
            <v>Expenses per Acre Irrigated</v>
          </cell>
          <cell r="I77" t="str">
            <v>Farms with Energy Expenses of</v>
          </cell>
          <cell r="P77" t="str">
            <v>Share of Acreage Irrigated w/Wells</v>
          </cell>
          <cell r="Q77" t="str">
            <v>Share of Acreage Irrigated w/Surface Water</v>
          </cell>
          <cell r="R77" t="str">
            <v>% Irrigated by Wells</v>
          </cell>
        </row>
        <row r="78">
          <cell r="I78" t="str">
            <v>&lt;$1000</v>
          </cell>
          <cell r="J78" t="str">
            <v>$1000 to</v>
          </cell>
          <cell r="K78" t="str">
            <v>$2000 to</v>
          </cell>
          <cell r="L78" t="str">
            <v>$5000 to</v>
          </cell>
          <cell r="M78" t="str">
            <v>$10000 to</v>
          </cell>
          <cell r="N78" t="str">
            <v>$20000 to</v>
          </cell>
          <cell r="O78" t="str">
            <v>&gt;$50000</v>
          </cell>
        </row>
        <row r="79">
          <cell r="J79">
            <v>1999</v>
          </cell>
          <cell r="K79">
            <v>4999</v>
          </cell>
          <cell r="L79">
            <v>9999</v>
          </cell>
          <cell r="M79">
            <v>19999</v>
          </cell>
          <cell r="N79">
            <v>49999</v>
          </cell>
        </row>
        <row r="80">
          <cell r="A80" t="str">
            <v>Idaho</v>
          </cell>
          <cell r="B80">
            <v>7426</v>
          </cell>
          <cell r="C80">
            <v>22839</v>
          </cell>
          <cell r="D80">
            <v>2435000</v>
          </cell>
          <cell r="E80">
            <v>1041567</v>
          </cell>
          <cell r="F80">
            <v>1393433</v>
          </cell>
          <cell r="G80">
            <v>145178</v>
          </cell>
          <cell r="H80">
            <v>59.621355236139628</v>
          </cell>
          <cell r="I80">
            <v>2534</v>
          </cell>
          <cell r="J80">
            <v>981</v>
          </cell>
          <cell r="K80">
            <v>1330</v>
          </cell>
          <cell r="L80">
            <v>740</v>
          </cell>
          <cell r="M80">
            <v>658</v>
          </cell>
          <cell r="N80">
            <v>568</v>
          </cell>
          <cell r="O80">
            <v>615</v>
          </cell>
          <cell r="P80">
            <v>0.54194199954628608</v>
          </cell>
          <cell r="Q80">
            <v>0.43194219662854999</v>
          </cell>
          <cell r="R80">
            <v>0.42774825462012322</v>
          </cell>
        </row>
        <row r="81">
          <cell r="A81" t="str">
            <v>Montana</v>
          </cell>
          <cell r="B81">
            <v>5699</v>
          </cell>
          <cell r="C81">
            <v>9532</v>
          </cell>
          <cell r="D81">
            <v>1072410</v>
          </cell>
          <cell r="E81">
            <v>59845</v>
          </cell>
          <cell r="F81">
            <v>1012565</v>
          </cell>
          <cell r="G81">
            <v>23488</v>
          </cell>
          <cell r="H81">
            <v>21.902071036264115</v>
          </cell>
          <cell r="I81">
            <v>1978</v>
          </cell>
          <cell r="J81">
            <v>912</v>
          </cell>
          <cell r="K81">
            <v>692</v>
          </cell>
          <cell r="L81">
            <v>403</v>
          </cell>
          <cell r="M81">
            <v>290</v>
          </cell>
          <cell r="N81">
            <v>254</v>
          </cell>
          <cell r="O81">
            <v>59</v>
          </cell>
          <cell r="P81">
            <v>3.1138197507071069E-2</v>
          </cell>
          <cell r="Q81">
            <v>0.31387913902511833</v>
          </cell>
          <cell r="R81">
            <v>5.580421667086282E-2</v>
          </cell>
        </row>
        <row r="82">
          <cell r="A82" t="str">
            <v>Oregon</v>
          </cell>
          <cell r="B82">
            <v>9054</v>
          </cell>
          <cell r="C82">
            <v>18396</v>
          </cell>
          <cell r="D82">
            <v>1002645</v>
          </cell>
          <cell r="E82">
            <v>429044</v>
          </cell>
          <cell r="F82">
            <v>573601</v>
          </cell>
          <cell r="G82">
            <v>53732</v>
          </cell>
          <cell r="H82">
            <v>53.590253778755191</v>
          </cell>
          <cell r="I82">
            <v>4940</v>
          </cell>
          <cell r="J82">
            <v>1348</v>
          </cell>
          <cell r="K82">
            <v>1002</v>
          </cell>
          <cell r="L82">
            <v>636</v>
          </cell>
          <cell r="M82">
            <v>487</v>
          </cell>
          <cell r="N82">
            <v>495</v>
          </cell>
          <cell r="O82">
            <v>146</v>
          </cell>
          <cell r="P82">
            <v>0.2232376441009909</v>
          </cell>
          <cell r="Q82">
            <v>0.17780724005268492</v>
          </cell>
          <cell r="R82">
            <v>0.42791217230425527</v>
          </cell>
        </row>
        <row r="83">
          <cell r="A83" t="str">
            <v>Washington</v>
          </cell>
          <cell r="B83">
            <v>7457</v>
          </cell>
          <cell r="C83">
            <v>20352</v>
          </cell>
          <cell r="D83">
            <v>1617081</v>
          </cell>
          <cell r="E83">
            <v>521934</v>
          </cell>
          <cell r="F83">
            <v>1095147</v>
          </cell>
          <cell r="G83">
            <v>91600</v>
          </cell>
          <cell r="H83">
            <v>56.645276272493462</v>
          </cell>
          <cell r="I83">
            <v>3408</v>
          </cell>
          <cell r="J83">
            <v>1048</v>
          </cell>
          <cell r="K83">
            <v>916</v>
          </cell>
          <cell r="L83">
            <v>457</v>
          </cell>
          <cell r="M83">
            <v>694</v>
          </cell>
          <cell r="N83">
            <v>512</v>
          </cell>
          <cell r="O83">
            <v>432</v>
          </cell>
          <cell r="P83">
            <v>0.27156962114889516</v>
          </cell>
          <cell r="Q83">
            <v>0.33947825321430353</v>
          </cell>
          <cell r="R83">
            <v>0.32276305268567251</v>
          </cell>
        </row>
        <row r="84">
          <cell r="A84" t="str">
            <v>PNW</v>
          </cell>
          <cell r="B84">
            <v>25247</v>
          </cell>
          <cell r="C84">
            <v>63183</v>
          </cell>
          <cell r="D84">
            <v>5147887</v>
          </cell>
          <cell r="E84">
            <v>1921916</v>
          </cell>
          <cell r="F84">
            <v>3225971</v>
          </cell>
          <cell r="G84">
            <v>287505</v>
          </cell>
          <cell r="H84">
            <v>55.849128001449913</v>
          </cell>
          <cell r="I84">
            <v>11719</v>
          </cell>
          <cell r="J84">
            <v>3680</v>
          </cell>
          <cell r="K84">
            <v>3488</v>
          </cell>
          <cell r="L84">
            <v>1841</v>
          </cell>
          <cell r="M84">
            <v>1779</v>
          </cell>
          <cell r="N84">
            <v>1600</v>
          </cell>
          <cell r="O84">
            <v>1150</v>
          </cell>
          <cell r="P84">
            <v>1</v>
          </cell>
          <cell r="Q84">
            <v>1</v>
          </cell>
          <cell r="R84">
            <v>0.37334075126357669</v>
          </cell>
        </row>
        <row r="85">
          <cell r="A85" t="str">
            <v>Note: 7th Plan used the total energy expenses portion of FRIS Table 12, but the appropriate portion that should be used is the electricity expenses</v>
          </cell>
        </row>
        <row r="86">
          <cell r="A86" t="str">
            <v>This table was originally in the 7th Plan Ag_Master file. Electricity expenses added by AEG.</v>
          </cell>
        </row>
        <row r="88">
          <cell r="A88" t="str">
            <v>2018, Table 15. Expenses for Irrigation Water from Off-Farm Suppliers</v>
          </cell>
        </row>
        <row r="90">
          <cell r="C90" t="str">
            <v>Farms irrigating with off-farm water</v>
          </cell>
          <cell r="D90" t="str">
            <v>Farms reporting cost for off-farm water</v>
          </cell>
          <cell r="Q90" t="str">
            <v>Avg water cost ($/acre-foot) over all regional water use</v>
          </cell>
        </row>
        <row r="91">
          <cell r="D91" t="str">
            <v>Farms reporting cost for off-farm water</v>
          </cell>
          <cell r="E91" t="str">
            <v>Total cost -1000</v>
          </cell>
          <cell r="F91" t="str">
            <v>Average cost per acre (dollars)</v>
          </cell>
          <cell r="G91" t="str">
            <v>Average cost per acre-foot (dollars)</v>
          </cell>
          <cell r="H91" t="str">
            <v>Farms by average cost per acre-foot</v>
          </cell>
          <cell r="S91" t="str">
            <v>By Geographic Measure Identifier</v>
          </cell>
        </row>
        <row r="92">
          <cell r="H92" t="str">
            <v>$1 to $9</v>
          </cell>
          <cell r="I92" t="str">
            <v>$10 to $19</v>
          </cell>
          <cell r="J92" t="str">
            <v>$20 to $29</v>
          </cell>
          <cell r="K92" t="str">
            <v>$30 to $59</v>
          </cell>
          <cell r="L92" t="str">
            <v>$60 or more</v>
          </cell>
          <cell r="N92" t="str">
            <v>acres</v>
          </cell>
          <cell r="O92" t="str">
            <v>acre feet</v>
          </cell>
          <cell r="P92" t="str">
            <v>% Off-farm supply</v>
          </cell>
          <cell r="T92" t="str">
            <v>$/acre-foot</v>
          </cell>
        </row>
        <row r="93">
          <cell r="B93" t="str">
            <v>Idaho</v>
          </cell>
          <cell r="C93">
            <v>11185</v>
          </cell>
          <cell r="D93">
            <v>7970</v>
          </cell>
          <cell r="E93">
            <v>41858</v>
          </cell>
          <cell r="F93">
            <v>35.090000000000003</v>
          </cell>
          <cell r="G93">
            <v>16.78</v>
          </cell>
          <cell r="H93">
            <v>1762</v>
          </cell>
          <cell r="I93">
            <v>1929</v>
          </cell>
          <cell r="J93">
            <v>1132</v>
          </cell>
          <cell r="K93">
            <v>1454</v>
          </cell>
          <cell r="L93">
            <v>1572</v>
          </cell>
          <cell r="N93">
            <v>1192875.4630948987</v>
          </cell>
          <cell r="O93">
            <v>2494517.2824791418</v>
          </cell>
          <cell r="P93">
            <v>0.55369445137023454</v>
          </cell>
          <cell r="Q93">
            <v>9.2909928939925361</v>
          </cell>
          <cell r="S93" t="str">
            <v>Western Idaho</v>
          </cell>
          <cell r="T93">
            <v>9.2909928939925361</v>
          </cell>
        </row>
        <row r="94">
          <cell r="B94" t="str">
            <v>Montana</v>
          </cell>
          <cell r="C94">
            <v>6531</v>
          </cell>
          <cell r="D94">
            <v>3412</v>
          </cell>
          <cell r="E94">
            <v>14196</v>
          </cell>
          <cell r="F94">
            <v>18.14</v>
          </cell>
          <cell r="G94">
            <v>14.81</v>
          </cell>
          <cell r="H94">
            <v>1014</v>
          </cell>
          <cell r="I94">
            <v>773</v>
          </cell>
          <cell r="J94">
            <v>498</v>
          </cell>
          <cell r="K94">
            <v>733</v>
          </cell>
          <cell r="L94">
            <v>355</v>
          </cell>
          <cell r="N94">
            <v>782579.93384785007</v>
          </cell>
          <cell r="O94">
            <v>958541.5259959487</v>
          </cell>
          <cell r="P94">
            <v>0.69837548243178282</v>
          </cell>
          <cell r="Q94">
            <v>10.342940894814705</v>
          </cell>
          <cell r="S94" t="str">
            <v>Eastern and Southern Idaho</v>
          </cell>
          <cell r="T94">
            <v>9.2909928939925361</v>
          </cell>
        </row>
        <row r="95">
          <cell r="B95" t="str">
            <v>Oregon</v>
          </cell>
          <cell r="C95">
            <v>7444</v>
          </cell>
          <cell r="D95">
            <v>5102</v>
          </cell>
          <cell r="E95">
            <v>22388</v>
          </cell>
          <cell r="F95">
            <v>43.15</v>
          </cell>
          <cell r="G95">
            <v>24.22</v>
          </cell>
          <cell r="H95">
            <v>641</v>
          </cell>
          <cell r="I95">
            <v>508</v>
          </cell>
          <cell r="J95">
            <v>434</v>
          </cell>
          <cell r="K95">
            <v>1061</v>
          </cell>
          <cell r="L95">
            <v>2281</v>
          </cell>
          <cell r="N95">
            <v>518841.25144843571</v>
          </cell>
          <cell r="O95">
            <v>924360.03303055326</v>
          </cell>
          <cell r="P95">
            <v>0.51463336984411534</v>
          </cell>
          <cell r="Q95">
            <v>12.464420217624474</v>
          </cell>
          <cell r="S95" t="str">
            <v>Western Washington and Oregon</v>
          </cell>
          <cell r="T95">
            <v>20.249392050511236</v>
          </cell>
        </row>
        <row r="96">
          <cell r="B96" t="str">
            <v>Washington</v>
          </cell>
          <cell r="C96">
            <v>6738</v>
          </cell>
          <cell r="D96">
            <v>4722</v>
          </cell>
          <cell r="E96">
            <v>73419</v>
          </cell>
          <cell r="F96">
            <v>89.94</v>
          </cell>
          <cell r="G96">
            <v>39.049999999999997</v>
          </cell>
          <cell r="H96">
            <v>200</v>
          </cell>
          <cell r="I96">
            <v>232</v>
          </cell>
          <cell r="J96">
            <v>451</v>
          </cell>
          <cell r="K96">
            <v>1348</v>
          </cell>
          <cell r="L96">
            <v>2322</v>
          </cell>
          <cell r="N96">
            <v>816310.87391594402</v>
          </cell>
          <cell r="O96">
            <v>1880128.0409731115</v>
          </cell>
          <cell r="P96">
            <v>0.65861944055273514</v>
          </cell>
          <cell r="Q96">
            <v>25.719089153584306</v>
          </cell>
          <cell r="S96" t="str">
            <v>Eastern Washington and Oregon</v>
          </cell>
          <cell r="T96">
            <v>20.249392050511236</v>
          </cell>
        </row>
        <row r="97">
          <cell r="B97" t="str">
            <v>PNW</v>
          </cell>
          <cell r="C97">
            <v>26408</v>
          </cell>
          <cell r="D97">
            <v>18065</v>
          </cell>
          <cell r="E97">
            <v>136053</v>
          </cell>
          <cell r="F97">
            <v>53.16</v>
          </cell>
          <cell r="G97">
            <v>25.35</v>
          </cell>
          <cell r="H97">
            <v>2641</v>
          </cell>
          <cell r="I97">
            <v>2845</v>
          </cell>
          <cell r="J97">
            <v>2060</v>
          </cell>
          <cell r="K97">
            <v>4007</v>
          </cell>
          <cell r="L97">
            <v>6036</v>
          </cell>
          <cell r="N97">
            <v>3310607.5223071286</v>
          </cell>
          <cell r="O97">
            <v>6257546.882478755</v>
          </cell>
          <cell r="P97">
            <v>0.5760620324166047</v>
          </cell>
          <cell r="Q97">
            <v>14.60317252176093</v>
          </cell>
          <cell r="S97" t="str">
            <v>Montana</v>
          </cell>
          <cell r="T97">
            <v>10.342940894814705</v>
          </cell>
        </row>
        <row r="98">
          <cell r="B98" t="str">
            <v>OR + WA</v>
          </cell>
          <cell r="C98">
            <v>14182</v>
          </cell>
          <cell r="D98">
            <v>9824</v>
          </cell>
          <cell r="E98">
            <v>95807</v>
          </cell>
          <cell r="F98">
            <v>71.757366205632238</v>
          </cell>
          <cell r="G98">
            <v>34.162027960855859</v>
          </cell>
          <cell r="P98">
            <v>0.59274560847833024</v>
          </cell>
          <cell r="Q98">
            <v>20.249392050511236</v>
          </cell>
        </row>
        <row r="101">
          <cell r="A101" t="str">
            <v>2018, Table 28.  Land Irrigated in the Open by Method of Water Distribution:  2018 and 2013</v>
          </cell>
        </row>
        <row r="102">
          <cell r="A102" t="str">
            <v>2018 Irrigation &amp; Water Management Survey: Released November 14, 2019, by the National Agricultural Statistics Service (NASS), Agricultural Statistics Board, U.S. Department of Agriculture.</v>
          </cell>
        </row>
        <row r="104">
          <cell r="A104">
            <v>2018</v>
          </cell>
        </row>
        <row r="105">
          <cell r="A105" t="str">
            <v>State</v>
          </cell>
          <cell r="B105" t="str">
            <v>Water Applied by all methods</v>
          </cell>
          <cell r="D105" t="str">
            <v>Only sprinkler systems</v>
          </cell>
          <cell r="G105" t="str">
            <v>Only gravity flow systems</v>
          </cell>
          <cell r="J105" t="str">
            <v>Only drip or trickle systems</v>
          </cell>
        </row>
        <row r="106">
          <cell r="B106" t="str">
            <v>Acres Irrigated</v>
          </cell>
          <cell r="C106" t="str">
            <v>Share of Acreage</v>
          </cell>
          <cell r="D106" t="str">
            <v>Farms</v>
          </cell>
          <cell r="E106" t="str">
            <v>Acres Irrigated</v>
          </cell>
          <cell r="F106" t="str">
            <v>Share of Acreage</v>
          </cell>
          <cell r="G106" t="str">
            <v>Farms</v>
          </cell>
          <cell r="H106" t="str">
            <v>Acres Irrigated</v>
          </cell>
          <cell r="I106" t="str">
            <v>Share of Acreage</v>
          </cell>
          <cell r="J106" t="str">
            <v>Farms</v>
          </cell>
          <cell r="K106" t="str">
            <v>Acres Irrigated</v>
          </cell>
          <cell r="L106" t="str">
            <v>Share of Acreage</v>
          </cell>
        </row>
        <row r="107">
          <cell r="A107" t="str">
            <v>Idaho</v>
          </cell>
          <cell r="B107">
            <v>3424031</v>
          </cell>
          <cell r="C107">
            <v>0.48437056162710823</v>
          </cell>
          <cell r="D107">
            <v>8038</v>
          </cell>
          <cell r="E107">
            <v>2577358</v>
          </cell>
          <cell r="F107">
            <v>0.5028343666961913</v>
          </cell>
          <cell r="G107">
            <v>8759</v>
          </cell>
          <cell r="H107">
            <v>836989</v>
          </cell>
          <cell r="I107">
            <v>0.52333759970587668</v>
          </cell>
          <cell r="J107">
            <v>654</v>
          </cell>
          <cell r="K107">
            <v>9684</v>
          </cell>
          <cell r="L107">
            <v>2.8147644335155781E-2</v>
          </cell>
        </row>
        <row r="108">
          <cell r="A108" t="str">
            <v>Montana</v>
          </cell>
          <cell r="B108">
            <v>2181886</v>
          </cell>
          <cell r="C108">
            <v>2.5578891140965121E-2</v>
          </cell>
          <cell r="D108">
            <v>4670</v>
          </cell>
          <cell r="E108">
            <v>953595</v>
          </cell>
          <cell r="F108">
            <v>8.1347572800380963E-3</v>
          </cell>
          <cell r="G108">
            <v>5415</v>
          </cell>
          <cell r="H108">
            <v>1226780</v>
          </cell>
          <cell r="I108">
            <v>8.6387478748900182E-2</v>
          </cell>
          <cell r="J108">
            <v>448</v>
          </cell>
          <cell r="K108">
            <v>1511</v>
          </cell>
          <cell r="L108">
            <v>2.7903488808085353E-3</v>
          </cell>
          <cell r="M108" t="str">
            <v>Since PNW doesn't include all of MT, adjusting % to be remainder of PNW-ID-OR-WA</v>
          </cell>
        </row>
        <row r="109">
          <cell r="A109" t="str">
            <v>Oregon</v>
          </cell>
          <cell r="B109">
            <v>1587679</v>
          </cell>
          <cell r="C109">
            <v>0.22459638038135915</v>
          </cell>
          <cell r="D109">
            <v>9209</v>
          </cell>
          <cell r="E109">
            <v>1004474</v>
          </cell>
          <cell r="F109">
            <v>0.19596968975702642</v>
          </cell>
          <cell r="G109">
            <v>3727</v>
          </cell>
          <cell r="H109">
            <v>514953</v>
          </cell>
          <cell r="I109">
            <v>0.32198065563745798</v>
          </cell>
          <cell r="J109">
            <v>2471</v>
          </cell>
          <cell r="K109">
            <v>68252</v>
          </cell>
          <cell r="L109">
            <v>0.19838217897181457</v>
          </cell>
        </row>
        <row r="110">
          <cell r="A110" t="str">
            <v>Washington</v>
          </cell>
          <cell r="B110">
            <v>1876504</v>
          </cell>
          <cell r="C110">
            <v>0.26545416685056739</v>
          </cell>
          <cell r="D110">
            <v>8495</v>
          </cell>
          <cell r="E110">
            <v>1502132</v>
          </cell>
          <cell r="F110">
            <v>0.29306118626674421</v>
          </cell>
          <cell r="G110">
            <v>1420</v>
          </cell>
          <cell r="H110">
            <v>109225</v>
          </cell>
          <cell r="I110">
            <v>6.8294265907765064E-2</v>
          </cell>
          <cell r="J110">
            <v>2734</v>
          </cell>
          <cell r="K110">
            <v>265147</v>
          </cell>
          <cell r="L110">
            <v>0.77067982781222111</v>
          </cell>
        </row>
        <row r="111">
          <cell r="A111" t="str">
            <v>PNW</v>
          </cell>
          <cell r="B111">
            <v>7069032</v>
          </cell>
          <cell r="C111">
            <v>1</v>
          </cell>
          <cell r="D111">
            <v>26752</v>
          </cell>
          <cell r="E111">
            <v>5125660</v>
          </cell>
          <cell r="F111">
            <v>1</v>
          </cell>
          <cell r="G111">
            <v>14792</v>
          </cell>
          <cell r="H111">
            <v>1599329</v>
          </cell>
          <cell r="I111">
            <v>1</v>
          </cell>
          <cell r="J111">
            <v>6193</v>
          </cell>
          <cell r="K111">
            <v>344043</v>
          </cell>
          <cell r="L111">
            <v>1</v>
          </cell>
        </row>
        <row r="114">
          <cell r="A114" t="str">
            <v>2018, Table 30.  Sprinkler Irrigation in Fields in the Open: 2018 and 2013</v>
          </cell>
        </row>
        <row r="115">
          <cell r="A115" t="str">
            <v>2018 Irrigation &amp; Water Management Survey: Released November 14, 2019, by the National Agricultural Statistics Service (NASS), Agricultural Statistics Board, U.S. Department of Agriculture.</v>
          </cell>
        </row>
        <row r="117">
          <cell r="A117" t="str">
            <v>2018 Data</v>
          </cell>
          <cell r="E117" t="str">
            <v>Center Pivot</v>
          </cell>
        </row>
        <row r="118">
          <cell r="A118" t="str">
            <v>State</v>
          </cell>
          <cell r="B118" t="str">
            <v>Total</v>
          </cell>
          <cell r="E118" t="str">
            <v>Total Center Pivot (Manual Addition)</v>
          </cell>
          <cell r="H118" t="str">
            <v>High Pressure</v>
          </cell>
          <cell r="K118" t="str">
            <v>Medium Pressure</v>
          </cell>
          <cell r="N118" t="str">
            <v>Low Pressure</v>
          </cell>
          <cell r="Q118" t="str">
            <v>Linear Move Tower Sprinklers</v>
          </cell>
          <cell r="Z118" t="str">
            <v>All Other Mechanical Move (side roll, wheel move, or other)</v>
          </cell>
          <cell r="AC118" t="str">
            <v>Hand Move</v>
          </cell>
          <cell r="AF118" t="str">
            <v>Solid Set or Permanent</v>
          </cell>
        </row>
        <row r="119">
          <cell r="H119" t="str">
            <v>60 PSI or greater</v>
          </cell>
          <cell r="K119" t="str">
            <v>30 to 59 PSI</v>
          </cell>
          <cell r="N119" t="str">
            <v>Under 30 PSI</v>
          </cell>
          <cell r="Q119" t="str">
            <v>Total Linear Move</v>
          </cell>
          <cell r="T119" t="str">
            <v>Low Pressure under 30 PSI</v>
          </cell>
          <cell r="W119" t="str">
            <v>Med/High Pressure &gt;= 30 PSI</v>
          </cell>
          <cell r="AF119" t="str">
            <v>All Solid Set/Permanent</v>
          </cell>
          <cell r="AI119" t="str">
            <v>Low Pressure under 30 PSI</v>
          </cell>
          <cell r="AL119" t="str">
            <v>Med/High Pressure &gt;= 30 PSI</v>
          </cell>
        </row>
        <row r="120">
          <cell r="B120" t="str">
            <v>Farms</v>
          </cell>
          <cell r="C120" t="str">
            <v>Acres</v>
          </cell>
          <cell r="D120" t="str">
            <v>Share of Acreage</v>
          </cell>
          <cell r="E120" t="str">
            <v>Farms</v>
          </cell>
          <cell r="F120" t="str">
            <v>Acres</v>
          </cell>
          <cell r="G120" t="str">
            <v>Share of Acreage</v>
          </cell>
          <cell r="H120" t="str">
            <v>Farms</v>
          </cell>
          <cell r="I120" t="str">
            <v>Acres</v>
          </cell>
          <cell r="J120" t="str">
            <v>Share of Acreage</v>
          </cell>
          <cell r="K120" t="str">
            <v>Farms</v>
          </cell>
          <cell r="L120" t="str">
            <v>Acres</v>
          </cell>
          <cell r="M120" t="str">
            <v>Share of Acreage</v>
          </cell>
          <cell r="N120" t="str">
            <v>Farms</v>
          </cell>
          <cell r="O120" t="str">
            <v>Acres</v>
          </cell>
          <cell r="P120" t="str">
            <v>Share of Acreage</v>
          </cell>
          <cell r="Q120" t="str">
            <v>Farms</v>
          </cell>
          <cell r="R120" t="str">
            <v>Acres</v>
          </cell>
          <cell r="S120" t="str">
            <v>Share of Acreage</v>
          </cell>
          <cell r="T120" t="str">
            <v>Farms</v>
          </cell>
          <cell r="U120" t="str">
            <v>Acres</v>
          </cell>
          <cell r="V120" t="str">
            <v>Share of Acreage</v>
          </cell>
          <cell r="W120" t="str">
            <v>Farms</v>
          </cell>
          <cell r="X120" t="str">
            <v>Acres</v>
          </cell>
          <cell r="Y120" t="str">
            <v>Share of Acreage</v>
          </cell>
          <cell r="Z120" t="str">
            <v>Farms</v>
          </cell>
          <cell r="AA120" t="str">
            <v>Acres</v>
          </cell>
          <cell r="AB120" t="str">
            <v>Share of Acreage</v>
          </cell>
          <cell r="AC120" t="str">
            <v>Farms</v>
          </cell>
          <cell r="AD120" t="str">
            <v>Acres</v>
          </cell>
          <cell r="AE120" t="str">
            <v>Share of Acreage</v>
          </cell>
          <cell r="AF120" t="str">
            <v>Farms</v>
          </cell>
          <cell r="AG120" t="str">
            <v>Acres</v>
          </cell>
          <cell r="AH120" t="str">
            <v>Share of Acreage</v>
          </cell>
          <cell r="AI120" t="str">
            <v>Farms</v>
          </cell>
          <cell r="AJ120" t="str">
            <v>Acres</v>
          </cell>
          <cell r="AK120" t="str">
            <v>Share of Acreage</v>
          </cell>
          <cell r="AL120" t="str">
            <v>Farms</v>
          </cell>
          <cell r="AM120" t="str">
            <v>Acres</v>
          </cell>
          <cell r="AN120" t="str">
            <v>Share of Acreage</v>
          </cell>
        </row>
        <row r="121">
          <cell r="A121" t="str">
            <v>Idaho</v>
          </cell>
          <cell r="B121">
            <v>8038</v>
          </cell>
          <cell r="C121">
            <v>2577358</v>
          </cell>
          <cell r="D121">
            <v>0.5028343666961913</v>
          </cell>
          <cell r="E121">
            <v>3029</v>
          </cell>
          <cell r="F121">
            <v>1951957</v>
          </cell>
          <cell r="G121">
            <v>0.47538026388082499</v>
          </cell>
          <cell r="H121">
            <v>451</v>
          </cell>
          <cell r="I121">
            <v>241729</v>
          </cell>
          <cell r="J121">
            <v>0.68048205116656157</v>
          </cell>
          <cell r="K121">
            <v>1504</v>
          </cell>
          <cell r="L121">
            <v>1107863</v>
          </cell>
          <cell r="M121">
            <v>0.60416148594114694</v>
          </cell>
          <cell r="N121">
            <v>1074</v>
          </cell>
          <cell r="O121">
            <v>602365</v>
          </cell>
          <cell r="P121">
            <v>0.49107510445327629</v>
          </cell>
          <cell r="Q121">
            <v>456</v>
          </cell>
          <cell r="R121">
            <v>52040</v>
          </cell>
          <cell r="S121">
            <v>0.39673403419963255</v>
          </cell>
          <cell r="T121">
            <v>18</v>
          </cell>
          <cell r="U121">
            <v>6450</v>
          </cell>
          <cell r="V121">
            <v>0.14595732162657554</v>
          </cell>
          <cell r="W121">
            <v>438</v>
          </cell>
          <cell r="X121">
            <v>45590</v>
          </cell>
          <cell r="Y121">
            <v>0.52414348126005983</v>
          </cell>
          <cell r="Z121">
            <v>3100</v>
          </cell>
          <cell r="AA121">
            <v>406429</v>
          </cell>
          <cell r="AB121">
            <v>0.57457733267548172</v>
          </cell>
          <cell r="AC121">
            <v>2774</v>
          </cell>
          <cell r="AD121">
            <v>73733</v>
          </cell>
          <cell r="AE121">
            <v>0.30429579005146362</v>
          </cell>
          <cell r="AF121">
            <v>1288</v>
          </cell>
          <cell r="AG121">
            <v>46463</v>
          </cell>
          <cell r="AH121">
            <v>0.11921782147732288</v>
          </cell>
          <cell r="AI121">
            <v>183</v>
          </cell>
          <cell r="AJ121">
            <v>14395</v>
          </cell>
          <cell r="AK121">
            <v>0.12114148180563504</v>
          </cell>
          <cell r="AL121">
            <v>1125</v>
          </cell>
          <cell r="AM121">
            <v>32068</v>
          </cell>
          <cell r="AN121">
            <v>0.11837403655907627</v>
          </cell>
        </row>
        <row r="122">
          <cell r="A122" t="str">
            <v>Montana</v>
          </cell>
          <cell r="B122">
            <v>4670</v>
          </cell>
          <cell r="C122">
            <v>953595</v>
          </cell>
          <cell r="D122">
            <v>8.1347572800380963E-3</v>
          </cell>
          <cell r="E122">
            <v>1980</v>
          </cell>
          <cell r="F122">
            <v>693761</v>
          </cell>
          <cell r="G122">
            <v>0.16895878713015966</v>
          </cell>
          <cell r="H122">
            <v>178</v>
          </cell>
          <cell r="I122">
            <v>75675</v>
          </cell>
          <cell r="J122">
            <v>2.3365012161067344E-3</v>
          </cell>
          <cell r="K122">
            <v>1080</v>
          </cell>
          <cell r="L122">
            <v>363940</v>
          </cell>
          <cell r="M122">
            <v>-1.7832602578371493E-4</v>
          </cell>
          <cell r="N122">
            <v>722</v>
          </cell>
          <cell r="O122">
            <v>254146</v>
          </cell>
          <cell r="P122">
            <v>2.2329562824823235E-3</v>
          </cell>
          <cell r="Q122">
            <v>234</v>
          </cell>
          <cell r="R122">
            <v>18046</v>
          </cell>
          <cell r="S122">
            <v>4.9370668821614561E-2</v>
          </cell>
          <cell r="T122">
            <v>59</v>
          </cell>
          <cell r="U122">
            <v>3650</v>
          </cell>
          <cell r="V122">
            <v>6.0080106809078715E-2</v>
          </cell>
          <cell r="W122">
            <v>175</v>
          </cell>
          <cell r="X122">
            <v>14396</v>
          </cell>
          <cell r="Y122">
            <v>4.392963899747071E-2</v>
          </cell>
          <cell r="Z122">
            <v>1931</v>
          </cell>
          <cell r="AA122">
            <v>198603</v>
          </cell>
          <cell r="AB122">
            <v>3.1661702148714999E-2</v>
          </cell>
          <cell r="AC122">
            <v>1467</v>
          </cell>
          <cell r="AD122">
            <v>33825</v>
          </cell>
          <cell r="AE122">
            <v>3.6069944326825087E-2</v>
          </cell>
          <cell r="AF122">
            <v>151</v>
          </cell>
          <cell r="AG122">
            <v>1527</v>
          </cell>
          <cell r="AH122">
            <v>2.2246056264305647E-3</v>
          </cell>
          <cell r="AI122">
            <v>95</v>
          </cell>
          <cell r="AJ122">
            <v>971</v>
          </cell>
          <cell r="AK122">
            <v>8.1714747365941864E-3</v>
          </cell>
          <cell r="AL122">
            <v>79</v>
          </cell>
          <cell r="AM122">
            <v>556</v>
          </cell>
          <cell r="AN122">
            <v>-3.8389983167474995E-4</v>
          </cell>
        </row>
        <row r="123">
          <cell r="A123" t="str">
            <v>Oregon</v>
          </cell>
          <cell r="B123">
            <v>9209</v>
          </cell>
          <cell r="C123">
            <v>1004474</v>
          </cell>
          <cell r="D123">
            <v>0.19596968975702642</v>
          </cell>
          <cell r="E123">
            <v>1130</v>
          </cell>
          <cell r="F123">
            <v>424481</v>
          </cell>
          <cell r="G123">
            <v>0.1033782454185192</v>
          </cell>
          <cell r="H123">
            <v>113</v>
          </cell>
          <cell r="I123">
            <v>22814</v>
          </cell>
          <cell r="J123">
            <v>6.4222817764165385E-2</v>
          </cell>
          <cell r="K123">
            <v>608</v>
          </cell>
          <cell r="L123">
            <v>168408</v>
          </cell>
          <cell r="M123">
            <v>9.1839539297166414E-2</v>
          </cell>
          <cell r="N123">
            <v>409</v>
          </cell>
          <cell r="O123">
            <v>233259</v>
          </cell>
          <cell r="P123">
            <v>0.19016325282788138</v>
          </cell>
          <cell r="Q123">
            <v>484</v>
          </cell>
          <cell r="R123">
            <v>57307</v>
          </cell>
          <cell r="S123">
            <v>0.43688772670788512</v>
          </cell>
          <cell r="T123">
            <v>98</v>
          </cell>
          <cell r="U123">
            <v>27168</v>
          </cell>
          <cell r="V123">
            <v>0.61478581611640382</v>
          </cell>
          <cell r="W123">
            <v>386</v>
          </cell>
          <cell r="X123">
            <v>30139</v>
          </cell>
          <cell r="Y123">
            <v>0.3465049436652104</v>
          </cell>
          <cell r="Z123">
            <v>1989</v>
          </cell>
          <cell r="AA123">
            <v>196155</v>
          </cell>
          <cell r="AB123">
            <v>0.2773085008475259</v>
          </cell>
          <cell r="AC123">
            <v>3930</v>
          </cell>
          <cell r="AD123">
            <v>115405</v>
          </cell>
          <cell r="AE123">
            <v>0.47627596396307165</v>
          </cell>
          <cell r="AF123">
            <v>1961</v>
          </cell>
          <cell r="AG123">
            <v>88463</v>
          </cell>
          <cell r="AH123">
            <v>0.22698418400336642</v>
          </cell>
          <cell r="AI123">
            <v>274</v>
          </cell>
          <cell r="AJ123">
            <v>23613</v>
          </cell>
          <cell r="AK123">
            <v>0.19871579089103578</v>
          </cell>
          <cell r="AL123">
            <v>1687</v>
          </cell>
          <cell r="AM123">
            <v>64850</v>
          </cell>
          <cell r="AN123">
            <v>0.23938369311638072</v>
          </cell>
        </row>
        <row r="124">
          <cell r="A124" t="str">
            <v>Washington</v>
          </cell>
          <cell r="B124">
            <v>8495</v>
          </cell>
          <cell r="C124">
            <v>1502132</v>
          </cell>
          <cell r="D124">
            <v>0.29306118626674421</v>
          </cell>
          <cell r="E124">
            <v>1810</v>
          </cell>
          <cell r="F124">
            <v>1035897</v>
          </cell>
          <cell r="G124">
            <v>0.25228270357049615</v>
          </cell>
          <cell r="H124">
            <v>224</v>
          </cell>
          <cell r="I124">
            <v>89859</v>
          </cell>
          <cell r="J124">
            <v>0.25295862985316636</v>
          </cell>
          <cell r="K124">
            <v>909</v>
          </cell>
          <cell r="L124">
            <v>557776</v>
          </cell>
          <cell r="M124">
            <v>0.30417730078747029</v>
          </cell>
          <cell r="N124">
            <v>677</v>
          </cell>
          <cell r="O124">
            <v>388262</v>
          </cell>
          <cell r="P124">
            <v>0.31652868643635995</v>
          </cell>
          <cell r="Q124">
            <v>198</v>
          </cell>
          <cell r="R124">
            <v>15348</v>
          </cell>
          <cell r="S124">
            <v>0.11700757027086779</v>
          </cell>
          <cell r="T124">
            <v>88</v>
          </cell>
          <cell r="U124">
            <v>7918</v>
          </cell>
          <cell r="V124">
            <v>0.1791767554479419</v>
          </cell>
          <cell r="W124">
            <v>113</v>
          </cell>
          <cell r="X124">
            <v>7430</v>
          </cell>
          <cell r="Y124">
            <v>8.5421936077259134E-2</v>
          </cell>
          <cell r="Z124">
            <v>1461</v>
          </cell>
          <cell r="AA124">
            <v>82373</v>
          </cell>
          <cell r="AB124">
            <v>0.1164524643282774</v>
          </cell>
          <cell r="AC124">
            <v>2858</v>
          </cell>
          <cell r="AD124">
            <v>44429</v>
          </cell>
          <cell r="AE124">
            <v>0.18335830165863967</v>
          </cell>
          <cell r="AF124">
            <v>3052</v>
          </cell>
          <cell r="AG124">
            <v>253939</v>
          </cell>
          <cell r="AH124">
            <v>0.65157338889288019</v>
          </cell>
          <cell r="AI124">
            <v>568</v>
          </cell>
          <cell r="AJ124">
            <v>79849</v>
          </cell>
          <cell r="AK124">
            <v>0.67197125256673507</v>
          </cell>
          <cell r="AL124">
            <v>2578</v>
          </cell>
          <cell r="AM124">
            <v>174090</v>
          </cell>
          <cell r="AN124">
            <v>0.6426261701562177</v>
          </cell>
        </row>
        <row r="125">
          <cell r="A125" t="str">
            <v>PNW</v>
          </cell>
          <cell r="B125">
            <v>26752</v>
          </cell>
          <cell r="C125">
            <v>5125660</v>
          </cell>
          <cell r="D125">
            <v>1</v>
          </cell>
          <cell r="E125">
            <v>7949</v>
          </cell>
          <cell r="F125">
            <v>4106096</v>
          </cell>
          <cell r="G125">
            <v>1</v>
          </cell>
          <cell r="H125">
            <v>804</v>
          </cell>
          <cell r="I125">
            <v>355232</v>
          </cell>
          <cell r="J125">
            <v>1</v>
          </cell>
          <cell r="K125">
            <v>3232</v>
          </cell>
          <cell r="L125">
            <v>1833720</v>
          </cell>
          <cell r="M125">
            <v>1</v>
          </cell>
          <cell r="N125">
            <v>2287</v>
          </cell>
          <cell r="O125">
            <v>1226625</v>
          </cell>
          <cell r="P125">
            <v>1</v>
          </cell>
          <cell r="Q125">
            <v>1285</v>
          </cell>
          <cell r="R125">
            <v>131171</v>
          </cell>
          <cell r="S125">
            <v>1</v>
          </cell>
          <cell r="T125">
            <v>250</v>
          </cell>
          <cell r="U125">
            <v>44191</v>
          </cell>
          <cell r="V125">
            <v>1</v>
          </cell>
          <cell r="W125">
            <v>1038</v>
          </cell>
          <cell r="X125">
            <v>86980</v>
          </cell>
          <cell r="Y125">
            <v>1</v>
          </cell>
          <cell r="Z125">
            <v>6993</v>
          </cell>
          <cell r="AA125">
            <v>707353</v>
          </cell>
          <cell r="AB125">
            <v>1</v>
          </cell>
          <cell r="AC125">
            <v>10022</v>
          </cell>
          <cell r="AD125">
            <v>242307</v>
          </cell>
          <cell r="AE125">
            <v>1</v>
          </cell>
          <cell r="AF125">
            <v>6365</v>
          </cell>
          <cell r="AG125">
            <v>389732</v>
          </cell>
          <cell r="AH125">
            <v>1</v>
          </cell>
          <cell r="AI125">
            <v>1120</v>
          </cell>
          <cell r="AJ125">
            <v>118828</v>
          </cell>
          <cell r="AK125">
            <v>1</v>
          </cell>
          <cell r="AL125">
            <v>5382</v>
          </cell>
          <cell r="AM125">
            <v>270904</v>
          </cell>
          <cell r="AN125">
            <v>1</v>
          </cell>
        </row>
      </sheetData>
      <sheetData sheetId="16">
        <row r="4">
          <cell r="O4" t="str">
            <v>annualized of 2x lifetime (assumption that typical maintenance practice is to leave components in place twice as long as their well-functioning lifetime).</v>
          </cell>
        </row>
        <row r="5">
          <cell r="E5" t="str">
            <v>2006$</v>
          </cell>
          <cell r="H5" t="str">
            <v>2016$</v>
          </cell>
          <cell r="J5" t="str">
            <v>2016$</v>
          </cell>
          <cell r="Y5" t="str">
            <v>Savings Mechanism</v>
          </cell>
          <cell r="Z5" t="str">
            <v>Hardware</v>
          </cell>
          <cell r="AA5" t="str">
            <v>System Type</v>
          </cell>
          <cell r="AB5" t="str">
            <v>Measure Cost (2016$)</v>
          </cell>
          <cell r="AE5" t="str">
            <v>Source</v>
          </cell>
          <cell r="AG5" t="str">
            <v>Savings Mechanism</v>
          </cell>
          <cell r="AH5" t="str">
            <v>Hardware</v>
          </cell>
          <cell r="AI5" t="str">
            <v>System Type</v>
          </cell>
          <cell r="AJ5" t="str">
            <v>Well-functioning lifetime (years)</v>
          </cell>
          <cell r="AK5" t="str">
            <v>Typical maintenance replacement period (years)</v>
          </cell>
          <cell r="AL5" t="str">
            <v>Annualized cost (2016$/yr)</v>
          </cell>
        </row>
        <row r="6">
          <cell r="E6" t="str">
            <v>Material Cost</v>
          </cell>
          <cell r="F6" t="str">
            <v>Installation Cost</v>
          </cell>
          <cell r="G6" t="str">
            <v>Total Cost</v>
          </cell>
          <cell r="H6" t="str">
            <v>Material Cost - Previous subcommittee estimate</v>
          </cell>
          <cell r="I6" t="str">
            <v>Material Cost - ETO Program 2014-18</v>
          </cell>
          <cell r="J6" t="str">
            <v>Material Cost</v>
          </cell>
          <cell r="K6" t="str">
            <v>Installation Cost</v>
          </cell>
          <cell r="L6" t="str">
            <v>Total Cost</v>
          </cell>
          <cell r="M6" t="str">
            <v>Source</v>
          </cell>
          <cell r="P6" t="str">
            <v>Capital Cost</v>
          </cell>
          <cell r="Q6" t="str">
            <v>Well-functioning lifetime (years)</v>
          </cell>
          <cell r="R6" t="str">
            <v>Typical maintenance replacement period (years)</v>
          </cell>
          <cell r="S6" t="str">
            <v>Annualized cost (2016$/yr)</v>
          </cell>
          <cell r="AB6" t="str">
            <v>Material</v>
          </cell>
          <cell r="AC6" t="str">
            <v>Install</v>
          </cell>
          <cell r="AD6" t="str">
            <v>Total</v>
          </cell>
        </row>
        <row r="7">
          <cell r="B7" t="str">
            <v>Leak reduction</v>
          </cell>
          <cell r="C7" t="str">
            <v>Rebuilt or new impact sprinkler</v>
          </cell>
          <cell r="D7" t="str">
            <v>Wheel Line
Handline</v>
          </cell>
          <cell r="E7">
            <v>9</v>
          </cell>
          <cell r="F7">
            <v>3.333333333333333</v>
          </cell>
          <cell r="G7">
            <v>12.333333333333332</v>
          </cell>
          <cell r="H7">
            <v>10.585626847649582</v>
          </cell>
          <cell r="I7">
            <v>11.745459807960712</v>
          </cell>
          <cell r="J7">
            <v>11.745459807960712</v>
          </cell>
          <cell r="K7">
            <v>3.9206025361665113</v>
          </cell>
          <cell r="L7">
            <v>15.666062344127223</v>
          </cell>
          <cell r="M7" t="str">
            <v>Previous RTF Irrigation Subcommittee.  ETO average per unit cost where available.  ETO data is used in measure where available.
Thunderbird hub gasket costs updated from full hub replacement (v3.3) to gasket only using online gasket cost.</v>
          </cell>
          <cell r="O7" t="str">
            <v>Rebuilt or new impact sprinkler</v>
          </cell>
          <cell r="P7">
            <v>15.666062344127223</v>
          </cell>
          <cell r="Q7">
            <v>4</v>
          </cell>
          <cell r="R7">
            <v>8</v>
          </cell>
          <cell r="S7">
            <v>2.3268462766818621</v>
          </cell>
          <cell r="Y7" t="str">
            <v>Leak reduction</v>
          </cell>
          <cell r="Z7" t="str">
            <v>Rebuilt or new impact sprinkler</v>
          </cell>
          <cell r="AA7" t="str">
            <v>Wheel Line
Handline</v>
          </cell>
          <cell r="AB7">
            <v>11.745459807960712</v>
          </cell>
          <cell r="AC7">
            <v>3.9206025361665113</v>
          </cell>
          <cell r="AD7">
            <v>15.666062344127223</v>
          </cell>
          <cell r="AE7" t="str">
            <v>Previous RTF Irrigation Subcommittee.  ETO average per unit cost where available.  ETO data is used in measure where available.
Thunderbird hub gasket costs updated from full hub replacement (v3.3) to gasket only using online gasket cost.</v>
          </cell>
          <cell r="AG7" t="str">
            <v>Leak reduction</v>
          </cell>
          <cell r="AH7" t="str">
            <v>Rebuilt or new impact sprinkler</v>
          </cell>
          <cell r="AI7" t="str">
            <v>Wheel Line
Handline</v>
          </cell>
          <cell r="AJ7">
            <v>4</v>
          </cell>
          <cell r="AK7">
            <v>8</v>
          </cell>
          <cell r="AL7">
            <v>2.3268462766818621</v>
          </cell>
        </row>
        <row r="8">
          <cell r="C8" t="str">
            <v>Gaskets</v>
          </cell>
          <cell r="D8" t="str">
            <v>Wheel Line (excluding Thunderbird)
Handline</v>
          </cell>
          <cell r="E8">
            <v>2.25</v>
          </cell>
          <cell r="F8">
            <v>1.6666666666666665</v>
          </cell>
          <cell r="G8">
            <v>3.9166666666666665</v>
          </cell>
          <cell r="H8">
            <v>2.6464067119123955</v>
          </cell>
          <cell r="I8">
            <v>2.3755366321983074</v>
          </cell>
          <cell r="J8">
            <v>2.3755366321983074</v>
          </cell>
          <cell r="K8">
            <v>1.9603012680832557</v>
          </cell>
          <cell r="L8">
            <v>4.3358379002815628</v>
          </cell>
          <cell r="O8" t="str">
            <v>Gaskets</v>
          </cell>
          <cell r="P8">
            <v>4.3358379002815628</v>
          </cell>
          <cell r="Q8">
            <v>5</v>
          </cell>
          <cell r="R8">
            <v>10</v>
          </cell>
          <cell r="S8">
            <v>0.53456954918811017</v>
          </cell>
          <cell r="Z8" t="str">
            <v>Gaskets</v>
          </cell>
          <cell r="AA8" t="str">
            <v>Wheel Line (except T.bird)
Handline</v>
          </cell>
          <cell r="AB8">
            <v>2.3755366321983074</v>
          </cell>
          <cell r="AC8">
            <v>1.9603012680832557</v>
          </cell>
          <cell r="AD8">
            <v>4.3358379002815628</v>
          </cell>
          <cell r="AG8">
            <v>0</v>
          </cell>
          <cell r="AH8" t="str">
            <v>Gaskets</v>
          </cell>
          <cell r="AI8" t="str">
            <v>Wheel Line (except T.bird)
Handline</v>
          </cell>
          <cell r="AJ8">
            <v>5</v>
          </cell>
          <cell r="AK8">
            <v>10</v>
          </cell>
          <cell r="AL8">
            <v>0.53456954918811017</v>
          </cell>
        </row>
        <row r="9">
          <cell r="C9" t="str">
            <v>Drains</v>
          </cell>
          <cell r="D9" t="str">
            <v>Wheel Line
Handline</v>
          </cell>
          <cell r="E9">
            <v>12</v>
          </cell>
          <cell r="F9">
            <v>1.6666666666666665</v>
          </cell>
          <cell r="G9">
            <v>13.666666666666666</v>
          </cell>
          <cell r="H9">
            <v>14.114169130199443</v>
          </cell>
          <cell r="I9">
            <v>4.288698612877738</v>
          </cell>
          <cell r="J9">
            <v>4.288698612877738</v>
          </cell>
          <cell r="K9">
            <v>1.9603012680832557</v>
          </cell>
          <cell r="L9">
            <v>6.2489998809609935</v>
          </cell>
          <cell r="O9" t="str">
            <v>Drains</v>
          </cell>
          <cell r="P9">
            <v>6.2489998809609935</v>
          </cell>
          <cell r="Q9">
            <v>5</v>
          </cell>
          <cell r="R9">
            <v>10</v>
          </cell>
          <cell r="S9">
            <v>0.77044509644259163</v>
          </cell>
          <cell r="Z9" t="str">
            <v>Drains</v>
          </cell>
          <cell r="AA9" t="str">
            <v>Wheel Line
Handline</v>
          </cell>
          <cell r="AB9">
            <v>4.288698612877738</v>
          </cell>
          <cell r="AC9">
            <v>1.9603012680832557</v>
          </cell>
          <cell r="AD9">
            <v>6.2489998809609935</v>
          </cell>
          <cell r="AG9">
            <v>0</v>
          </cell>
          <cell r="AH9" t="str">
            <v>Drains</v>
          </cell>
          <cell r="AI9" t="str">
            <v>Wheel Line
Handline</v>
          </cell>
          <cell r="AJ9">
            <v>5</v>
          </cell>
          <cell r="AK9">
            <v>10</v>
          </cell>
          <cell r="AL9">
            <v>0.77044509644259163</v>
          </cell>
        </row>
        <row r="10">
          <cell r="C10" t="str">
            <v>Cut and press repair</v>
          </cell>
          <cell r="D10" t="str">
            <v>Wheel Line
Handline</v>
          </cell>
          <cell r="E10">
            <v>18</v>
          </cell>
          <cell r="G10">
            <v>18</v>
          </cell>
          <cell r="H10">
            <v>21.171253695299164</v>
          </cell>
          <cell r="I10">
            <v>18.992792972486871</v>
          </cell>
          <cell r="J10">
            <v>18.992792972486871</v>
          </cell>
          <cell r="K10">
            <v>0</v>
          </cell>
          <cell r="L10">
            <v>18.992792972486871</v>
          </cell>
          <cell r="O10" t="str">
            <v>Cut and press repair</v>
          </cell>
          <cell r="P10">
            <v>18.992792972486871</v>
          </cell>
          <cell r="Q10">
            <v>8</v>
          </cell>
          <cell r="R10">
            <v>16</v>
          </cell>
          <cell r="S10">
            <v>1.6299614781215486</v>
          </cell>
          <cell r="Z10" t="str">
            <v>Cut and press repair</v>
          </cell>
          <cell r="AA10" t="str">
            <v>Wheel Line
Handline</v>
          </cell>
          <cell r="AB10">
            <v>18.992792972486871</v>
          </cell>
          <cell r="AC10">
            <v>0</v>
          </cell>
          <cell r="AD10">
            <v>18.992792972486871</v>
          </cell>
          <cell r="AG10">
            <v>0</v>
          </cell>
          <cell r="AH10" t="str">
            <v>Cut and press repair</v>
          </cell>
          <cell r="AI10" t="str">
            <v>Wheel Line
Handline</v>
          </cell>
          <cell r="AJ10">
            <v>8</v>
          </cell>
          <cell r="AK10">
            <v>16</v>
          </cell>
          <cell r="AL10">
            <v>1.6299614781215486</v>
          </cell>
        </row>
        <row r="11">
          <cell r="C11" t="str">
            <v>Hub gasket</v>
          </cell>
          <cell r="D11" t="str">
            <v>Wheel Line (Thunderbird)</v>
          </cell>
          <cell r="E11">
            <v>45</v>
          </cell>
          <cell r="F11">
            <v>5</v>
          </cell>
          <cell r="G11">
            <v>50</v>
          </cell>
          <cell r="H11">
            <v>52.928134238247907</v>
          </cell>
          <cell r="J11">
            <v>3.0133691571512955</v>
          </cell>
          <cell r="K11">
            <v>5.8809038042497672</v>
          </cell>
          <cell r="L11">
            <v>8.8942729614010627</v>
          </cell>
          <cell r="N11" t="str">
            <v>Cost for just the gasket, which was the leaking issue in the ID study http://www.thunderbirdirrigation.com/CartWheelAssemblyParts.html</v>
          </cell>
          <cell r="O11" t="str">
            <v>Hub gasket</v>
          </cell>
          <cell r="P11">
            <v>8.8942729614010627</v>
          </cell>
          <cell r="Q11">
            <v>10</v>
          </cell>
          <cell r="R11">
            <v>20</v>
          </cell>
          <cell r="S11">
            <v>0.65445617240048781</v>
          </cell>
          <cell r="Z11" t="str">
            <v>Hub gasket</v>
          </cell>
          <cell r="AA11" t="str">
            <v>Wheel Line (Thunderbird)</v>
          </cell>
          <cell r="AB11">
            <v>3.0133691571512955</v>
          </cell>
          <cell r="AC11">
            <v>5.8809038042497672</v>
          </cell>
          <cell r="AD11">
            <v>8.8942729614010627</v>
          </cell>
          <cell r="AG11">
            <v>0</v>
          </cell>
          <cell r="AH11" t="str">
            <v>Hub gasket</v>
          </cell>
          <cell r="AI11" t="str">
            <v>Wheel Line (Thunderbird)</v>
          </cell>
          <cell r="AJ11">
            <v>10</v>
          </cell>
          <cell r="AK11">
            <v>20</v>
          </cell>
          <cell r="AL11">
            <v>0.65445617240048781</v>
          </cell>
        </row>
        <row r="12">
          <cell r="C12" t="str">
            <v>Levelers</v>
          </cell>
          <cell r="D12" t="str">
            <v>Wheel Line</v>
          </cell>
          <cell r="E12">
            <v>0.75</v>
          </cell>
          <cell r="F12">
            <v>2.5</v>
          </cell>
          <cell r="G12">
            <v>3.25</v>
          </cell>
          <cell r="H12">
            <v>0.88213557063746517</v>
          </cell>
          <cell r="I12">
            <v>5.0879928638182061</v>
          </cell>
          <cell r="J12">
            <v>5.0879928638182061</v>
          </cell>
          <cell r="K12">
            <v>2.9404519021248836</v>
          </cell>
          <cell r="L12">
            <v>8.0284447659430889</v>
          </cell>
          <cell r="O12" t="str">
            <v>Levelers</v>
          </cell>
          <cell r="P12">
            <v>8.0284447659430889</v>
          </cell>
          <cell r="Q12">
            <v>5</v>
          </cell>
          <cell r="R12">
            <v>10</v>
          </cell>
          <cell r="S12">
            <v>0.98983453669546539</v>
          </cell>
          <cell r="Z12" t="str">
            <v>Levelers</v>
          </cell>
          <cell r="AA12" t="str">
            <v>Wheel Line</v>
          </cell>
          <cell r="AB12">
            <v>5.0879928638182061</v>
          </cell>
          <cell r="AC12">
            <v>2.9404519021248836</v>
          </cell>
          <cell r="AD12">
            <v>8.0284447659430889</v>
          </cell>
          <cell r="AG12">
            <v>0</v>
          </cell>
          <cell r="AH12" t="str">
            <v>Levelers</v>
          </cell>
          <cell r="AI12" t="str">
            <v>Wheel Line</v>
          </cell>
          <cell r="AJ12">
            <v>5</v>
          </cell>
          <cell r="AK12">
            <v>10</v>
          </cell>
          <cell r="AL12">
            <v>0.98983453669546539</v>
          </cell>
        </row>
        <row r="13">
          <cell r="C13" t="str">
            <v>Base boot gasket</v>
          </cell>
          <cell r="D13" t="str">
            <v>Center Pivot</v>
          </cell>
          <cell r="E13">
            <v>25</v>
          </cell>
          <cell r="F13">
            <v>225</v>
          </cell>
          <cell r="G13">
            <v>250</v>
          </cell>
          <cell r="H13">
            <v>29.404519021248838</v>
          </cell>
          <cell r="J13">
            <v>29.404519021248838</v>
          </cell>
          <cell r="K13">
            <v>264.64067119123956</v>
          </cell>
          <cell r="L13">
            <v>294.04519021248842</v>
          </cell>
          <cell r="O13" t="str">
            <v>Base boot gasket</v>
          </cell>
          <cell r="S13">
            <v>0</v>
          </cell>
          <cell r="T13" t="str">
            <v>assume this is not addressed in the baseline</v>
          </cell>
          <cell r="Z13" t="str">
            <v>Base boot gasket</v>
          </cell>
          <cell r="AA13" t="str">
            <v>Center Pivot</v>
          </cell>
          <cell r="AB13">
            <v>29.404519021248838</v>
          </cell>
          <cell r="AC13">
            <v>264.64067119123956</v>
          </cell>
          <cell r="AD13">
            <v>294.04519021248842</v>
          </cell>
          <cell r="AG13">
            <v>0</v>
          </cell>
          <cell r="AH13" t="str">
            <v>Base boot gasket</v>
          </cell>
          <cell r="AI13" t="str">
            <v>Center Pivot</v>
          </cell>
          <cell r="AJ13">
            <v>8</v>
          </cell>
          <cell r="AK13" t="str">
            <v>assume this is not addressed in the baseline</v>
          </cell>
          <cell r="AL13">
            <v>0</v>
          </cell>
        </row>
        <row r="14">
          <cell r="C14" t="str">
            <v>Tower gasket</v>
          </cell>
          <cell r="D14" t="str">
            <v>Center Pivot</v>
          </cell>
          <cell r="E14">
            <v>26.847828921632544</v>
          </cell>
          <cell r="F14">
            <v>26.847828921632544</v>
          </cell>
          <cell r="G14">
            <v>53.695657843265089</v>
          </cell>
          <cell r="H14">
            <v>31.577899848215154</v>
          </cell>
          <cell r="J14">
            <v>31.577899848215154</v>
          </cell>
          <cell r="K14">
            <v>31.577899848215154</v>
          </cell>
          <cell r="L14">
            <v>63.155799696430307</v>
          </cell>
          <cell r="O14" t="str">
            <v>Tower gasket</v>
          </cell>
          <cell r="P14">
            <v>63.155799696430307</v>
          </cell>
          <cell r="Q14">
            <v>8</v>
          </cell>
          <cell r="R14">
            <v>16</v>
          </cell>
          <cell r="S14">
            <v>5.4200306808095036</v>
          </cell>
          <cell r="Z14" t="str">
            <v>Tower gasket</v>
          </cell>
          <cell r="AA14" t="str">
            <v>Center Pivot</v>
          </cell>
          <cell r="AB14">
            <v>31.577899848215154</v>
          </cell>
          <cell r="AC14">
            <v>31.577899848215154</v>
          </cell>
          <cell r="AD14">
            <v>63.155799696430307</v>
          </cell>
          <cell r="AG14">
            <v>0</v>
          </cell>
          <cell r="AH14" t="str">
            <v>Tower gasket</v>
          </cell>
          <cell r="AI14" t="str">
            <v>Center Pivot</v>
          </cell>
          <cell r="AJ14">
            <v>8</v>
          </cell>
          <cell r="AK14">
            <v>16</v>
          </cell>
          <cell r="AL14">
            <v>5.4200306808095036</v>
          </cell>
        </row>
        <row r="15">
          <cell r="B15" t="str">
            <v>Uniformity improvement</v>
          </cell>
          <cell r="C15" t="str">
            <v>Nozzle replacement</v>
          </cell>
          <cell r="D15" t="str">
            <v>Wheel Line
Handline</v>
          </cell>
          <cell r="E15">
            <v>0.45</v>
          </cell>
          <cell r="F15">
            <v>1.67</v>
          </cell>
          <cell r="G15">
            <v>2.12</v>
          </cell>
          <cell r="H15">
            <v>0.52928134238247904</v>
          </cell>
          <cell r="I15">
            <v>1.1250623547791971</v>
          </cell>
          <cell r="J15">
            <v>1.1250623547791971</v>
          </cell>
          <cell r="K15">
            <v>1.9642218706194223</v>
          </cell>
          <cell r="L15">
            <v>3.0892842253986195</v>
          </cell>
          <cell r="O15" t="str">
            <v>Nozzle replacement</v>
          </cell>
          <cell r="P15">
            <v>3.0892842253986195</v>
          </cell>
          <cell r="Q15">
            <v>4</v>
          </cell>
          <cell r="R15">
            <v>8</v>
          </cell>
          <cell r="S15">
            <v>0.45884468857456584</v>
          </cell>
          <cell r="Y15" t="str">
            <v>Uniformity improvement</v>
          </cell>
          <cell r="Z15" t="str">
            <v>Nozzle replacement</v>
          </cell>
          <cell r="AA15" t="str">
            <v>Wheel Line
Handline</v>
          </cell>
          <cell r="AB15">
            <v>1.1250623547791971</v>
          </cell>
          <cell r="AC15">
            <v>1.9642218706194223</v>
          </cell>
          <cell r="AD15">
            <v>3.0892842253986195</v>
          </cell>
          <cell r="AG15" t="str">
            <v>Uniformity improvement</v>
          </cell>
          <cell r="AH15" t="str">
            <v>Nozzle replacement</v>
          </cell>
          <cell r="AI15" t="str">
            <v>Wheel Line
Handline</v>
          </cell>
          <cell r="AJ15">
            <v>4</v>
          </cell>
          <cell r="AK15">
            <v>8</v>
          </cell>
          <cell r="AL15">
            <v>0.45884468857456584</v>
          </cell>
        </row>
        <row r="16">
          <cell r="C16" t="str">
            <v>Sprinkler package replacement, high pressure</v>
          </cell>
          <cell r="D16" t="str">
            <v>Center Pivot
Linear Move</v>
          </cell>
          <cell r="E16">
            <v>9</v>
          </cell>
          <cell r="F16">
            <v>3.333333333333333</v>
          </cell>
          <cell r="G16">
            <v>12.333333333333332</v>
          </cell>
          <cell r="H16">
            <v>10.585626847649582</v>
          </cell>
          <cell r="I16">
            <v>11.745459807960712</v>
          </cell>
          <cell r="J16">
            <v>11.745459807960712</v>
          </cell>
          <cell r="K16">
            <v>3.9206025361665113</v>
          </cell>
          <cell r="L16">
            <v>15.666062344127223</v>
          </cell>
          <cell r="M16" t="str">
            <v>Assume same cost as for hand and wheel line impact sprinkler</v>
          </cell>
          <cell r="O16" t="str">
            <v>Sprinkler package replacement, high pressure</v>
          </cell>
          <cell r="P16">
            <v>15.666062344127223</v>
          </cell>
          <cell r="Q16">
            <v>4</v>
          </cell>
          <cell r="R16">
            <v>8</v>
          </cell>
          <cell r="S16">
            <v>2.3268462766818621</v>
          </cell>
          <cell r="Z16" t="str">
            <v>Sprinkler package replacement, high pressure</v>
          </cell>
          <cell r="AA16" t="str">
            <v>Center Pivot
Linear Move</v>
          </cell>
          <cell r="AB16">
            <v>11.745459807960712</v>
          </cell>
          <cell r="AC16">
            <v>3.9206025361665113</v>
          </cell>
          <cell r="AD16">
            <v>15.666062344127223</v>
          </cell>
          <cell r="AE16" t="str">
            <v>Assume same cost as for hand and wheel line impact sprinkler</v>
          </cell>
          <cell r="AG16">
            <v>0</v>
          </cell>
          <cell r="AH16" t="str">
            <v>Sprinkler package replacement, high pressure</v>
          </cell>
          <cell r="AI16" t="str">
            <v>Center Pivot
Linear Move</v>
          </cell>
          <cell r="AJ16">
            <v>4</v>
          </cell>
          <cell r="AK16">
            <v>8</v>
          </cell>
          <cell r="AL16">
            <v>2.3268462766818621</v>
          </cell>
        </row>
        <row r="17">
          <cell r="C17" t="str">
            <v>Sprinkler package replacement, MESA</v>
          </cell>
          <cell r="D17" t="str">
            <v>Center Pivot
Linear Move</v>
          </cell>
          <cell r="E17">
            <v>21.7</v>
          </cell>
          <cell r="F17">
            <v>3.83</v>
          </cell>
          <cell r="G17">
            <v>25.53</v>
          </cell>
          <cell r="H17">
            <v>25.52312251044399</v>
          </cell>
          <cell r="I17">
            <v>21.16234802264211</v>
          </cell>
          <cell r="J17">
            <v>21.16234802264211</v>
          </cell>
          <cell r="K17">
            <v>4.5047723140553222</v>
          </cell>
          <cell r="L17">
            <v>25.667120336697433</v>
          </cell>
          <cell r="M17" t="str">
            <v>Material costs for pressure regulator, nozzle, and sprinkler head from ETO program data. Labor cost from previous RTF Irrigation Subcommittee</v>
          </cell>
          <cell r="O17" t="str">
            <v>Sprinkler package replacement, MESA</v>
          </cell>
          <cell r="P17">
            <v>25.667120336697433</v>
          </cell>
          <cell r="Q17">
            <v>5</v>
          </cell>
          <cell r="R17">
            <v>10</v>
          </cell>
          <cell r="S17">
            <v>3.1645235045466786</v>
          </cell>
          <cell r="Z17" t="str">
            <v>Sprinkler package replacement, MESA</v>
          </cell>
          <cell r="AA17" t="str">
            <v>Center Pivot
Linear Move</v>
          </cell>
          <cell r="AB17">
            <v>21.16234802264211</v>
          </cell>
          <cell r="AC17">
            <v>4.5047723140553222</v>
          </cell>
          <cell r="AD17">
            <v>25.667120336697433</v>
          </cell>
          <cell r="AE17" t="str">
            <v>Material costs for pressure regulator, nozzle, and sprinkler head from ETO program data. Labor cost from previous RTF Irrigation Subcommittee</v>
          </cell>
          <cell r="AG17">
            <v>0</v>
          </cell>
          <cell r="AH17" t="str">
            <v>Sprinkler package replacement, MESA</v>
          </cell>
          <cell r="AI17" t="str">
            <v>Center Pivot
Linear Move</v>
          </cell>
          <cell r="AJ17">
            <v>5</v>
          </cell>
          <cell r="AK17">
            <v>10</v>
          </cell>
          <cell r="AL17">
            <v>3.1645235045466786</v>
          </cell>
        </row>
        <row r="18">
          <cell r="C18" t="str">
            <v>Sprinkler package replacement, LESA/LEPA/MDI</v>
          </cell>
          <cell r="D18" t="str">
            <v>Center Pivot
Linear Move</v>
          </cell>
          <cell r="F18">
            <v>3.83</v>
          </cell>
          <cell r="I18">
            <v>13.157010141374595</v>
          </cell>
          <cell r="J18">
            <v>13.157010141374595</v>
          </cell>
          <cell r="K18">
            <v>4.5047723140553222</v>
          </cell>
          <cell r="L18">
            <v>17.661782455429918</v>
          </cell>
          <cell r="O18" t="str">
            <v>Sprinkler package replacement, LESA/LEPA/MDI</v>
          </cell>
          <cell r="P18">
            <v>17.661782455429918</v>
          </cell>
          <cell r="Q18">
            <v>5</v>
          </cell>
          <cell r="R18">
            <v>10</v>
          </cell>
          <cell r="S18">
            <v>2.177537837483392</v>
          </cell>
          <cell r="Z18" t="str">
            <v>Sprinkler package replacement, LESA/LEPA/MDI</v>
          </cell>
          <cell r="AA18" t="str">
            <v>Center Pivot
Linear Move</v>
          </cell>
          <cell r="AB18">
            <v>13.157010141374595</v>
          </cell>
          <cell r="AC18">
            <v>4.5047723140553222</v>
          </cell>
          <cell r="AD18">
            <v>17.661782455429918</v>
          </cell>
          <cell r="AG18">
            <v>0</v>
          </cell>
          <cell r="AH18" t="str">
            <v>Sprinkler package replacement, LESA/LEPA/MDI</v>
          </cell>
          <cell r="AI18" t="str">
            <v>Center Pivot
Linear Move</v>
          </cell>
          <cell r="AJ18">
            <v>5</v>
          </cell>
          <cell r="AK18">
            <v>10</v>
          </cell>
          <cell r="AL18">
            <v>2.177537837483392</v>
          </cell>
        </row>
        <row r="19">
          <cell r="B19" t="str">
            <v>Application efficiency improvement</v>
          </cell>
          <cell r="C19" t="str">
            <v>Upgrade from high pressure to MESA</v>
          </cell>
          <cell r="D19" t="str">
            <v>Center Pivot
Linear Move</v>
          </cell>
          <cell r="E19">
            <v>12.221998196341151</v>
          </cell>
          <cell r="F19">
            <v>9.4544289845114378</v>
          </cell>
          <cell r="G19">
            <v>21.676427180852588</v>
          </cell>
          <cell r="H19">
            <v>14.375279137679295</v>
          </cell>
          <cell r="I19">
            <v>16.776628602216078</v>
          </cell>
          <cell r="J19">
            <v>16.776628602216078</v>
          </cell>
          <cell r="K19">
            <v>11.120117476404516</v>
          </cell>
          <cell r="L19">
            <v>27.896746078620595</v>
          </cell>
          <cell r="M19" t="str">
            <v>Material and labor costs per drop, excluding regulator/nozzle/sprinkler (see sprinkler replacement measure application) from Peters/Neibling/Stroh paper on LEPA/LESA.  Gooseneck and drop tube costs replaced with ETO program data.</v>
          </cell>
          <cell r="O19" t="str">
            <v>Upgrade from high pressure to MESA</v>
          </cell>
          <cell r="S19">
            <v>0</v>
          </cell>
          <cell r="T19" t="str">
            <v>baseline is no retrofit</v>
          </cell>
          <cell r="Y19" t="str">
            <v>Application efficiency improvement</v>
          </cell>
          <cell r="Z19" t="str">
            <v>Upgrade from high pressure to MESA</v>
          </cell>
          <cell r="AA19" t="str">
            <v>Center Pivot
Linear Move</v>
          </cell>
          <cell r="AB19">
            <v>16.776628602216078</v>
          </cell>
          <cell r="AC19">
            <v>11.120117476404516</v>
          </cell>
          <cell r="AD19">
            <v>27.896746078620595</v>
          </cell>
          <cell r="AE19" t="str">
            <v>Material and labor costs per drop, excluding regulator/nozzle/sprinkler (see sprinkler replacement measure application) from Peters/Neibling/Stroh paper on LEPA/LESA.  Gooseneck and drop tube costs replaced with ETO program data.</v>
          </cell>
          <cell r="AG19" t="str">
            <v>Application efficiency improvement</v>
          </cell>
          <cell r="AH19" t="str">
            <v>Upgrade from high pressure to MESA</v>
          </cell>
          <cell r="AI19" t="str">
            <v>Center Pivot
Linear Move</v>
          </cell>
          <cell r="AJ19">
            <v>10</v>
          </cell>
          <cell r="AK19" t="str">
            <v>baseline is no retrofit</v>
          </cell>
          <cell r="AL19">
            <v>0</v>
          </cell>
        </row>
        <row r="20">
          <cell r="C20" t="str">
            <v>Upgrade from high pressure to LESA/LEPA/MDI</v>
          </cell>
          <cell r="D20" t="str">
            <v>Center Pivot
Linear Move</v>
          </cell>
          <cell r="E20">
            <v>13.640162544017866</v>
          </cell>
          <cell r="F20">
            <v>9.4544289845114378</v>
          </cell>
          <cell r="G20">
            <v>23.094591528529303</v>
          </cell>
          <cell r="H20">
            <v>16.04329675913997</v>
          </cell>
          <cell r="I20">
            <v>19.799278716256943</v>
          </cell>
          <cell r="J20">
            <v>19.799278716256943</v>
          </cell>
          <cell r="K20">
            <v>11.120117476404516</v>
          </cell>
          <cell r="L20">
            <v>30.919396192661459</v>
          </cell>
          <cell r="O20" t="str">
            <v>Upgrade from high pressure to LESA/LEPA/MDI</v>
          </cell>
          <cell r="S20">
            <v>0</v>
          </cell>
          <cell r="T20" t="str">
            <v>baseline is no retrofit</v>
          </cell>
          <cell r="Z20" t="str">
            <v>Upgrade from high pressure to LESA/LEPA/MDI</v>
          </cell>
          <cell r="AA20" t="str">
            <v>Center Pivot
Linear Move</v>
          </cell>
          <cell r="AB20">
            <v>19.799278716256943</v>
          </cell>
          <cell r="AC20">
            <v>11.120117476404516</v>
          </cell>
          <cell r="AD20">
            <v>30.919396192661459</v>
          </cell>
          <cell r="AG20">
            <v>0</v>
          </cell>
          <cell r="AH20" t="str">
            <v>Upgrade from high pressure to LESA/LEPA/MDI</v>
          </cell>
          <cell r="AI20" t="str">
            <v>Center Pivot
Linear Move</v>
          </cell>
          <cell r="AJ20">
            <v>10</v>
          </cell>
          <cell r="AL20">
            <v>0</v>
          </cell>
        </row>
        <row r="21">
          <cell r="C21" t="str">
            <v>Upgrade from MESA to LESA/LEPA/MDI</v>
          </cell>
          <cell r="D21" t="str">
            <v>Center Pivot
Linear Move</v>
          </cell>
          <cell r="E21">
            <v>13.640162544017866</v>
          </cell>
          <cell r="F21">
            <v>9.4544289845114378</v>
          </cell>
          <cell r="G21">
            <v>23.094591528529303</v>
          </cell>
          <cell r="H21">
            <v>16.04329675913997</v>
          </cell>
          <cell r="I21">
            <v>19.799278716256943</v>
          </cell>
          <cell r="J21">
            <v>19.799278716256943</v>
          </cell>
          <cell r="K21">
            <v>11.120117476404516</v>
          </cell>
          <cell r="L21">
            <v>30.919396192661459</v>
          </cell>
          <cell r="O21" t="str">
            <v>Upgrade from MESA to LESA/LEPA/MDI</v>
          </cell>
          <cell r="S21">
            <v>0</v>
          </cell>
          <cell r="T21" t="str">
            <v>baseline is no retrofit</v>
          </cell>
          <cell r="Z21" t="str">
            <v>Upgrade from MESA to LESA/LEPA/MDI</v>
          </cell>
          <cell r="AA21" t="str">
            <v>Center Pivot
Linear Move</v>
          </cell>
          <cell r="AB21">
            <v>19.799278716256943</v>
          </cell>
          <cell r="AC21">
            <v>11.120117476404516</v>
          </cell>
          <cell r="AD21">
            <v>30.919396192661459</v>
          </cell>
          <cell r="AG21">
            <v>0</v>
          </cell>
          <cell r="AH21" t="str">
            <v>Upgrade from MESA to LESA/LEPA/MDI</v>
          </cell>
          <cell r="AI21" t="str">
            <v>Center Pivot
Linear Move</v>
          </cell>
          <cell r="AJ21">
            <v>10</v>
          </cell>
          <cell r="AL21">
            <v>0</v>
          </cell>
        </row>
        <row r="23">
          <cell r="A23" t="str">
            <v>MESA and LESA Costs</v>
          </cell>
        </row>
        <row r="24">
          <cell r="B24" t="str">
            <v>Tables 2-5, Low Energy Precision Application (LEPA) and Low Elevation Spray Application (LESA) Trials in the Pacific Northwest
R. Troy Peters, Howard Neibling, and Richard Stroh</v>
          </cell>
        </row>
        <row r="26">
          <cell r="B26" t="str">
            <v>MESA</v>
          </cell>
        </row>
        <row r="27">
          <cell r="B27" t="str">
            <v>Component</v>
          </cell>
          <cell r="C27" t="str">
            <v>Cost (2015$)</v>
          </cell>
          <cell r="D27" t="str">
            <v>Cost (2016$)</v>
          </cell>
        </row>
        <row r="28">
          <cell r="B28" t="str">
            <v>Gooseneck</v>
          </cell>
          <cell r="C28">
            <v>5</v>
          </cell>
          <cell r="D28">
            <v>5.0545988529111439</v>
          </cell>
        </row>
        <row r="29">
          <cell r="B29" t="str">
            <v>Pinch Clamp</v>
          </cell>
          <cell r="C29">
            <v>0.21</v>
          </cell>
          <cell r="D29">
            <v>0.21229315182226804</v>
          </cell>
        </row>
        <row r="30">
          <cell r="B30" t="str">
            <v>Drop Hose</v>
          </cell>
          <cell r="C30">
            <v>2.34</v>
          </cell>
          <cell r="D30">
            <v>2.3655522631624151</v>
          </cell>
        </row>
        <row r="31">
          <cell r="B31" t="str">
            <v>Hose Barb</v>
          </cell>
          <cell r="C31">
            <v>0.92</v>
          </cell>
          <cell r="D31">
            <v>0.9300461889356505</v>
          </cell>
        </row>
        <row r="32">
          <cell r="B32" t="str">
            <v>Pinch Clamp</v>
          </cell>
          <cell r="C32">
            <v>0.21</v>
          </cell>
          <cell r="D32">
            <v>0.21229315182226804</v>
          </cell>
        </row>
        <row r="33">
          <cell r="B33" t="str">
            <v>Pressure Regulator</v>
          </cell>
          <cell r="C33">
            <v>6.92</v>
          </cell>
          <cell r="D33">
            <v>6.9955648124290235</v>
          </cell>
        </row>
        <row r="34">
          <cell r="B34" t="str">
            <v>Weight</v>
          </cell>
          <cell r="C34">
            <v>5.54</v>
          </cell>
          <cell r="D34">
            <v>5.6004955290255474</v>
          </cell>
        </row>
        <row r="35">
          <cell r="B35" t="str">
            <v>Nozzle</v>
          </cell>
          <cell r="C35">
            <v>1.05</v>
          </cell>
          <cell r="D35">
            <v>1.0614657591113403</v>
          </cell>
        </row>
        <row r="36">
          <cell r="B36" t="str">
            <v>Nelson Rotator R3000</v>
          </cell>
          <cell r="C36">
            <v>17.059999999999999</v>
          </cell>
          <cell r="D36">
            <v>17.246291286132823</v>
          </cell>
        </row>
        <row r="38">
          <cell r="B38" t="str">
            <v>Total/Drop</v>
          </cell>
          <cell r="C38">
            <v>39.25</v>
          </cell>
          <cell r="D38">
            <v>39.678600995352483</v>
          </cell>
        </row>
        <row r="39">
          <cell r="B39" t="str">
            <v>Drops per 1/4 mile pivot</v>
          </cell>
          <cell r="C39">
            <v>115</v>
          </cell>
          <cell r="D39">
            <v>115</v>
          </cell>
        </row>
        <row r="40">
          <cell r="B40" t="str">
            <v>Total Equipment Costs</v>
          </cell>
          <cell r="C40">
            <v>4513.75</v>
          </cell>
          <cell r="D40">
            <v>4563.039114465535</v>
          </cell>
        </row>
        <row r="42">
          <cell r="B42" t="str">
            <v>Sprinkler package replacement</v>
          </cell>
          <cell r="D42">
            <v>25.30332185767319</v>
          </cell>
        </row>
        <row r="43">
          <cell r="B43" t="str">
            <v>Upgrade to MESA, excluding Sprinkler package</v>
          </cell>
          <cell r="D43">
            <v>14.375279137679293</v>
          </cell>
        </row>
        <row r="45">
          <cell r="B45" t="str">
            <v>Installation labor cost/drop</v>
          </cell>
          <cell r="C45">
            <v>11</v>
          </cell>
          <cell r="D45">
            <v>11.120117476404516</v>
          </cell>
        </row>
        <row r="47">
          <cell r="B47" t="str">
            <v>LESA</v>
          </cell>
        </row>
        <row r="48">
          <cell r="B48" t="str">
            <v>Component</v>
          </cell>
          <cell r="C48" t="str">
            <v>Cost (2015$)</v>
          </cell>
          <cell r="D48" t="str">
            <v>Cost (2016$)</v>
          </cell>
        </row>
        <row r="49">
          <cell r="B49" t="str">
            <v>Double Gooseneck</v>
          </cell>
          <cell r="C49">
            <v>2.1</v>
          </cell>
          <cell r="D49">
            <v>2.1229315182226807</v>
          </cell>
        </row>
        <row r="50">
          <cell r="B50" t="str">
            <v>Pinch Clamp</v>
          </cell>
          <cell r="C50">
            <v>0.21</v>
          </cell>
          <cell r="D50">
            <v>0.21229315182226804</v>
          </cell>
        </row>
        <row r="51">
          <cell r="B51" t="str">
            <v>Drop Hose</v>
          </cell>
          <cell r="C51">
            <v>3.9</v>
          </cell>
          <cell r="D51">
            <v>3.9425871052706922</v>
          </cell>
        </row>
        <row r="52">
          <cell r="B52" t="str">
            <v>Truss Rod Hose Clamp</v>
          </cell>
          <cell r="C52">
            <v>2.99</v>
          </cell>
          <cell r="D52">
            <v>3.0226501140408644</v>
          </cell>
        </row>
        <row r="53">
          <cell r="B53" t="str">
            <v>Hose Barb</v>
          </cell>
          <cell r="C53">
            <v>0.92</v>
          </cell>
          <cell r="D53">
            <v>0.9300461889356505</v>
          </cell>
        </row>
        <row r="54">
          <cell r="B54" t="str">
            <v>Pinch Clamp</v>
          </cell>
          <cell r="C54">
            <v>0.21</v>
          </cell>
          <cell r="D54">
            <v>0.21229315182226804</v>
          </cell>
        </row>
        <row r="55">
          <cell r="B55" t="str">
            <v>Pressure Regulator</v>
          </cell>
          <cell r="C55">
            <v>6.92</v>
          </cell>
          <cell r="D55">
            <v>6.9955648124290235</v>
          </cell>
        </row>
        <row r="56">
          <cell r="B56" t="str">
            <v>Weight</v>
          </cell>
          <cell r="C56">
            <v>5.54</v>
          </cell>
          <cell r="D56">
            <v>5.6004955290255474</v>
          </cell>
        </row>
        <row r="57">
          <cell r="B57" t="str">
            <v>Nozzle</v>
          </cell>
          <cell r="C57">
            <v>1.05</v>
          </cell>
          <cell r="D57">
            <v>1.0614657591113403</v>
          </cell>
        </row>
        <row r="58">
          <cell r="B58" t="str">
            <v>Nelson D3000 Spray</v>
          </cell>
          <cell r="C58">
            <v>1.82</v>
          </cell>
          <cell r="D58">
            <v>1.8398739824596566</v>
          </cell>
        </row>
        <row r="59">
          <cell r="B59" t="str">
            <v>Total/Drop</v>
          </cell>
          <cell r="C59">
            <v>25.66</v>
          </cell>
          <cell r="D59">
            <v>25.94020131313999</v>
          </cell>
        </row>
        <row r="60">
          <cell r="B60" t="str">
            <v>Drops per 1/4 mile pivot</v>
          </cell>
          <cell r="C60">
            <v>250</v>
          </cell>
          <cell r="D60">
            <v>250</v>
          </cell>
        </row>
        <row r="61">
          <cell r="B61" t="str">
            <v>Total Equipment Costs</v>
          </cell>
          <cell r="C61">
            <v>6415</v>
          </cell>
          <cell r="D61">
            <v>6485.0503282849977</v>
          </cell>
        </row>
        <row r="63">
          <cell r="B63" t="str">
            <v>Sprinkler package replacement</v>
          </cell>
          <cell r="D63">
            <v>9.8969045540000202</v>
          </cell>
        </row>
        <row r="64">
          <cell r="B64" t="str">
            <v>Upgrade to LESA, excluding Sprinkler package</v>
          </cell>
          <cell r="D64">
            <v>16.04329675913997</v>
          </cell>
        </row>
        <row r="66">
          <cell r="B66" t="str">
            <v>Installation labor cost/drop</v>
          </cell>
          <cell r="C66">
            <v>11</v>
          </cell>
          <cell r="D66">
            <v>11.120117476404516</v>
          </cell>
        </row>
        <row r="70">
          <cell r="A70" t="str">
            <v>Costs from ETO program 2008-2018, provided by Cascade Energy in March, 2018</v>
          </cell>
        </row>
        <row r="72">
          <cell r="A72" t="str">
            <v>ETO DATA PROVIDED BY CASCADE ENERGY</v>
          </cell>
          <cell r="Q72" t="str">
            <v>RTF ANALYSIS</v>
          </cell>
        </row>
        <row r="73">
          <cell r="A73" t="str">
            <v>Measure Name</v>
          </cell>
          <cell r="B73" t="str">
            <v>ProjectID</v>
          </cell>
          <cell r="C73" t="str">
            <v>Project:PE#</v>
          </cell>
          <cell r="D73" t="str">
            <v>Project:Cascade #</v>
          </cell>
          <cell r="E73" t="str">
            <v>MeasureID</v>
          </cell>
          <cell r="F73" t="str">
            <v>MeasureID:Measure Description</v>
          </cell>
          <cell r="G73" t="str">
            <v>Quantity</v>
          </cell>
          <cell r="J73" t="str">
            <v>Cost</v>
          </cell>
          <cell r="K73" t="str">
            <v>Category</v>
          </cell>
          <cell r="L73" t="str">
            <v>Completion Year</v>
          </cell>
          <cell r="M73" t="str">
            <v>Cost/Unit</v>
          </cell>
          <cell r="N73" t="str">
            <v>Include?</v>
          </cell>
          <cell r="O73" t="str">
            <v>Notes on why excluded</v>
          </cell>
          <cell r="Q73" t="str">
            <v>Cut-off year for analysis</v>
          </cell>
          <cell r="R73">
            <v>2014</v>
          </cell>
          <cell r="T73" t="str">
            <v>IsNewEnough?</v>
          </cell>
          <cell r="U73" t="str">
            <v>HasCost</v>
          </cell>
          <cell r="V73" t="str">
            <v>CascadeInclude?</v>
          </cell>
          <cell r="W73" t="str">
            <v>Measure</v>
          </cell>
          <cell r="X73" t="str">
            <v>Total Cost</v>
          </cell>
          <cell r="Y73" t="str">
            <v>Number of Units</v>
          </cell>
          <cell r="Z73" t="str">
            <v>avg. cost/unit</v>
          </cell>
          <cell r="AB73" t="str">
            <v>Unique consolidated measure</v>
          </cell>
          <cell r="AC73" t="str">
            <v>Total Cost</v>
          </cell>
          <cell r="AD73" t="str">
            <v>Total Units</v>
          </cell>
          <cell r="AE73" t="str">
            <v>Avg. Cost/Unit (2016$)</v>
          </cell>
        </row>
        <row r="74">
          <cell r="A74" t="str">
            <v>01. pressure regulator</v>
          </cell>
          <cell r="B74" t="str">
            <v>2707</v>
          </cell>
          <cell r="C74" t="str">
            <v>PE1972</v>
          </cell>
          <cell r="D74" t="str">
            <v>R0010</v>
          </cell>
          <cell r="E74" t="str">
            <v>23</v>
          </cell>
          <cell r="F74" t="str">
            <v>1. New low-pressure regulators installed on center pivot or lateral move systems</v>
          </cell>
          <cell r="G74">
            <v>92</v>
          </cell>
          <cell r="K74" t="str">
            <v>Irrigation</v>
          </cell>
          <cell r="L74">
            <v>2008</v>
          </cell>
          <cell r="M74" t="str">
            <v/>
          </cell>
          <cell r="T74">
            <v>0</v>
          </cell>
          <cell r="U74">
            <v>0</v>
          </cell>
          <cell r="V74">
            <v>1</v>
          </cell>
          <cell r="W74" t="str">
            <v/>
          </cell>
          <cell r="X74">
            <v>0</v>
          </cell>
          <cell r="Y74">
            <v>92</v>
          </cell>
          <cell r="Z74">
            <v>0</v>
          </cell>
          <cell r="AB74" t="str">
            <v>Adjustable nozzle</v>
          </cell>
          <cell r="AC74">
            <v>80210.981806904878</v>
          </cell>
          <cell r="AD74">
            <v>20905</v>
          </cell>
          <cell r="AE74">
            <v>3.8369280940877721</v>
          </cell>
        </row>
        <row r="75">
          <cell r="A75" t="str">
            <v>01. pressure regulator</v>
          </cell>
          <cell r="B75" t="str">
            <v>2234</v>
          </cell>
          <cell r="C75" t="str">
            <v>PE1994</v>
          </cell>
          <cell r="D75" t="str">
            <v>R0014</v>
          </cell>
          <cell r="E75" t="str">
            <v>23</v>
          </cell>
          <cell r="F75" t="str">
            <v>1. New low-pressure regulators installed on center pivot or lateral move systems</v>
          </cell>
          <cell r="G75">
            <v>168</v>
          </cell>
          <cell r="K75" t="str">
            <v>Irrigation</v>
          </cell>
          <cell r="L75">
            <v>2008</v>
          </cell>
          <cell r="M75" t="str">
            <v/>
          </cell>
          <cell r="Q75" t="str">
            <v>Cost adjustment to 2016$</v>
          </cell>
          <cell r="T75">
            <v>0</v>
          </cell>
          <cell r="U75">
            <v>0</v>
          </cell>
          <cell r="V75">
            <v>1</v>
          </cell>
          <cell r="W75" t="str">
            <v/>
          </cell>
          <cell r="X75">
            <v>0</v>
          </cell>
          <cell r="Y75">
            <v>168</v>
          </cell>
          <cell r="Z75">
            <v>0</v>
          </cell>
          <cell r="AB75" t="str">
            <v>Base boot gasket</v>
          </cell>
          <cell r="AC75">
            <v>0</v>
          </cell>
          <cell r="AD75">
            <v>0</v>
          </cell>
          <cell r="AE75" t="str">
            <v>[NO DATA]</v>
          </cell>
        </row>
        <row r="76">
          <cell r="A76" t="str">
            <v>01. pressure regulator</v>
          </cell>
          <cell r="B76" t="str">
            <v>2231</v>
          </cell>
          <cell r="C76" t="str">
            <v>PE2132</v>
          </cell>
          <cell r="D76" t="str">
            <v>R0036</v>
          </cell>
          <cell r="E76" t="str">
            <v>23</v>
          </cell>
          <cell r="F76" t="str">
            <v>1. New low-pressure regulators installed on center pivot or lateral move systems</v>
          </cell>
          <cell r="G76">
            <v>73</v>
          </cell>
          <cell r="K76" t="str">
            <v>Irrigation</v>
          </cell>
          <cell r="L76">
            <v>2009</v>
          </cell>
          <cell r="M76" t="str">
            <v/>
          </cell>
          <cell r="Q76">
            <v>2008</v>
          </cell>
          <cell r="R76">
            <v>1.1234770850180962</v>
          </cell>
          <cell r="T76">
            <v>0</v>
          </cell>
          <cell r="U76">
            <v>0</v>
          </cell>
          <cell r="V76">
            <v>1</v>
          </cell>
          <cell r="W76" t="str">
            <v/>
          </cell>
          <cell r="X76">
            <v>0</v>
          </cell>
          <cell r="Y76">
            <v>73</v>
          </cell>
          <cell r="Z76">
            <v>0</v>
          </cell>
          <cell r="AB76" t="str">
            <v>Cut and press pipe repair</v>
          </cell>
          <cell r="AC76">
            <v>267627.44577531249</v>
          </cell>
          <cell r="AD76">
            <v>14091</v>
          </cell>
          <cell r="AE76">
            <v>18.992792972486871</v>
          </cell>
        </row>
        <row r="77">
          <cell r="A77" t="str">
            <v>01. pressure regulator</v>
          </cell>
          <cell r="B77" t="str">
            <v>2417</v>
          </cell>
          <cell r="C77" t="str">
            <v>PE2144</v>
          </cell>
          <cell r="D77" t="str">
            <v>R0040</v>
          </cell>
          <cell r="E77" t="str">
            <v>23</v>
          </cell>
          <cell r="F77" t="str">
            <v>1. New low-pressure regulators installed on center pivot or lateral move systems</v>
          </cell>
          <cell r="G77">
            <v>83</v>
          </cell>
          <cell r="K77" t="str">
            <v>Irrigation</v>
          </cell>
          <cell r="L77">
            <v>2009</v>
          </cell>
          <cell r="M77" t="str">
            <v/>
          </cell>
          <cell r="Q77">
            <v>2009</v>
          </cell>
          <cell r="R77">
            <v>1.115033512187805</v>
          </cell>
          <cell r="T77">
            <v>0</v>
          </cell>
          <cell r="U77">
            <v>0</v>
          </cell>
          <cell r="V77">
            <v>1</v>
          </cell>
          <cell r="W77" t="str">
            <v/>
          </cell>
          <cell r="X77">
            <v>0</v>
          </cell>
          <cell r="Y77">
            <v>83</v>
          </cell>
          <cell r="Z77">
            <v>0</v>
          </cell>
          <cell r="AB77" t="str">
            <v>Drain valve</v>
          </cell>
          <cell r="AC77">
            <v>28781.456391022501</v>
          </cell>
          <cell r="AD77">
            <v>6711</v>
          </cell>
          <cell r="AE77">
            <v>4.288698612877738</v>
          </cell>
        </row>
        <row r="78">
          <cell r="A78" t="str">
            <v>01. pressure regulator</v>
          </cell>
          <cell r="B78" t="str">
            <v>2375</v>
          </cell>
          <cell r="C78" t="str">
            <v>PE2193</v>
          </cell>
          <cell r="D78" t="str">
            <v>R0056</v>
          </cell>
          <cell r="E78" t="str">
            <v>23</v>
          </cell>
          <cell r="F78" t="str">
            <v>1. New low-pressure regulators installed on center pivot or lateral move systems</v>
          </cell>
          <cell r="G78">
            <v>329</v>
          </cell>
          <cell r="K78" t="str">
            <v>Irrigation</v>
          </cell>
          <cell r="L78">
            <v>2009</v>
          </cell>
          <cell r="M78" t="str">
            <v/>
          </cell>
          <cell r="Q78">
            <v>2010</v>
          </cell>
          <cell r="R78">
            <v>1.1022248697411992</v>
          </cell>
          <cell r="T78">
            <v>0</v>
          </cell>
          <cell r="U78">
            <v>0</v>
          </cell>
          <cell r="V78">
            <v>1</v>
          </cell>
          <cell r="W78" t="str">
            <v/>
          </cell>
          <cell r="X78">
            <v>0</v>
          </cell>
          <cell r="Y78">
            <v>329</v>
          </cell>
          <cell r="Z78">
            <v>0</v>
          </cell>
          <cell r="AB78" t="str">
            <v>Drop tube</v>
          </cell>
          <cell r="AC78">
            <v>75179.858879629479</v>
          </cell>
          <cell r="AD78">
            <v>13601</v>
          </cell>
          <cell r="AE78">
            <v>5.5275243643577294</v>
          </cell>
        </row>
        <row r="79">
          <cell r="A79" t="str">
            <v>01. pressure regulator</v>
          </cell>
          <cell r="B79" t="str">
            <v>2402</v>
          </cell>
          <cell r="C79" t="str">
            <v>PE2272</v>
          </cell>
          <cell r="D79" t="str">
            <v>R0068</v>
          </cell>
          <cell r="E79" t="str">
            <v>23</v>
          </cell>
          <cell r="F79" t="str">
            <v>1. New low-pressure regulators installed on center pivot or lateral move systems</v>
          </cell>
          <cell r="G79">
            <v>1</v>
          </cell>
          <cell r="K79" t="str">
            <v>Irrigation</v>
          </cell>
          <cell r="L79">
            <v>2009</v>
          </cell>
          <cell r="M79" t="str">
            <v/>
          </cell>
          <cell r="Q79">
            <v>2011</v>
          </cell>
          <cell r="R79">
            <v>1.079661418586815</v>
          </cell>
          <cell r="T79">
            <v>0</v>
          </cell>
          <cell r="U79">
            <v>0</v>
          </cell>
          <cell r="V79">
            <v>1</v>
          </cell>
          <cell r="W79" t="str">
            <v/>
          </cell>
          <cell r="X79">
            <v>0</v>
          </cell>
          <cell r="Y79">
            <v>1</v>
          </cell>
          <cell r="Z79">
            <v>0</v>
          </cell>
          <cell r="AB79" t="str">
            <v>Gasket for wheel or hand line</v>
          </cell>
          <cell r="AC79">
            <v>344274.64642133971</v>
          </cell>
          <cell r="AD79">
            <v>144925</v>
          </cell>
          <cell r="AE79">
            <v>2.3755366321983074</v>
          </cell>
        </row>
        <row r="80">
          <cell r="A80" t="str">
            <v>01. pressure regulator</v>
          </cell>
          <cell r="B80" t="str">
            <v>2404</v>
          </cell>
          <cell r="C80" t="str">
            <v>PE2383</v>
          </cell>
          <cell r="D80" t="str">
            <v>R0103</v>
          </cell>
          <cell r="E80" t="str">
            <v>23</v>
          </cell>
          <cell r="F80" t="str">
            <v>1. New low-pressure regulators installed on center pivot or lateral move systems</v>
          </cell>
          <cell r="G80">
            <v>170</v>
          </cell>
          <cell r="K80" t="str">
            <v>Irrigation</v>
          </cell>
          <cell r="L80">
            <v>2009</v>
          </cell>
          <cell r="M80" t="str">
            <v/>
          </cell>
          <cell r="Q80">
            <v>2012</v>
          </cell>
          <cell r="R80">
            <v>1.0593257415717696</v>
          </cell>
          <cell r="T80">
            <v>0</v>
          </cell>
          <cell r="U80">
            <v>0</v>
          </cell>
          <cell r="V80">
            <v>1</v>
          </cell>
          <cell r="W80" t="str">
            <v/>
          </cell>
          <cell r="X80">
            <v>0</v>
          </cell>
          <cell r="Y80">
            <v>170</v>
          </cell>
          <cell r="Z80">
            <v>0</v>
          </cell>
          <cell r="AB80" t="str">
            <v>Goose neck</v>
          </cell>
          <cell r="AC80">
            <v>26158.90310941093</v>
          </cell>
          <cell r="AD80">
            <v>6092</v>
          </cell>
          <cell r="AE80">
            <v>4.2939762162526147</v>
          </cell>
        </row>
        <row r="81">
          <cell r="A81" t="str">
            <v>01. pressure regulator</v>
          </cell>
          <cell r="B81" t="str">
            <v>2534</v>
          </cell>
          <cell r="C81" t="str">
            <v>PE2488</v>
          </cell>
          <cell r="D81" t="str">
            <v>R0127</v>
          </cell>
          <cell r="E81" t="str">
            <v>23</v>
          </cell>
          <cell r="F81" t="str">
            <v>1. New low-pressure regulators installed on center pivot or lateral move systems</v>
          </cell>
          <cell r="G81">
            <v>200</v>
          </cell>
          <cell r="K81" t="str">
            <v>Irrigation</v>
          </cell>
          <cell r="L81">
            <v>2009</v>
          </cell>
          <cell r="M81" t="str">
            <v/>
          </cell>
          <cell r="Q81">
            <v>2013</v>
          </cell>
          <cell r="R81">
            <v>1.0410805764056954</v>
          </cell>
          <cell r="T81">
            <v>0</v>
          </cell>
          <cell r="U81">
            <v>0</v>
          </cell>
          <cell r="V81">
            <v>1</v>
          </cell>
          <cell r="W81" t="str">
            <v/>
          </cell>
          <cell r="X81">
            <v>0</v>
          </cell>
          <cell r="Y81">
            <v>200</v>
          </cell>
          <cell r="Z81">
            <v>0</v>
          </cell>
          <cell r="AB81" t="str">
            <v>Impact sprinkler</v>
          </cell>
          <cell r="AC81">
            <v>477100.57739936415</v>
          </cell>
          <cell r="AD81">
            <v>40620</v>
          </cell>
          <cell r="AE81">
            <v>11.745459807960712</v>
          </cell>
        </row>
        <row r="82">
          <cell r="A82" t="str">
            <v>01. pressure regulator</v>
          </cell>
          <cell r="B82" t="str">
            <v>2271</v>
          </cell>
          <cell r="C82" t="str">
            <v>PE2521</v>
          </cell>
          <cell r="D82" t="str">
            <v>R0130</v>
          </cell>
          <cell r="E82" t="str">
            <v>23</v>
          </cell>
          <cell r="F82" t="str">
            <v>1. New low-pressure regulators installed on center pivot or lateral move systems</v>
          </cell>
          <cell r="G82">
            <v>32</v>
          </cell>
          <cell r="K82" t="str">
            <v>Irrigation</v>
          </cell>
          <cell r="L82">
            <v>2009</v>
          </cell>
          <cell r="M82" t="str">
            <v/>
          </cell>
          <cell r="Q82">
            <v>2014</v>
          </cell>
          <cell r="R82">
            <v>1.0217725755734322</v>
          </cell>
          <cell r="T82">
            <v>0</v>
          </cell>
          <cell r="U82">
            <v>0</v>
          </cell>
          <cell r="V82">
            <v>1</v>
          </cell>
          <cell r="W82" t="str">
            <v/>
          </cell>
          <cell r="X82">
            <v>0</v>
          </cell>
          <cell r="Y82">
            <v>32</v>
          </cell>
          <cell r="Z82">
            <v>0</v>
          </cell>
          <cell r="AB82" t="str">
            <v>Leveler</v>
          </cell>
          <cell r="AC82">
            <v>12730.158145273152</v>
          </cell>
          <cell r="AD82">
            <v>2502</v>
          </cell>
          <cell r="AE82">
            <v>5.0879928638182061</v>
          </cell>
        </row>
        <row r="83">
          <cell r="A83" t="str">
            <v>01. pressure regulator</v>
          </cell>
          <cell r="B83" t="str">
            <v>2313</v>
          </cell>
          <cell r="C83" t="str">
            <v>PE2715</v>
          </cell>
          <cell r="D83" t="str">
            <v>R0148</v>
          </cell>
          <cell r="E83" t="str">
            <v>23</v>
          </cell>
          <cell r="F83" t="str">
            <v>1. New low-pressure regulators installed on center pivot or lateral move systems</v>
          </cell>
          <cell r="G83">
            <v>44</v>
          </cell>
          <cell r="K83" t="str">
            <v>Irrigation</v>
          </cell>
          <cell r="L83">
            <v>2009</v>
          </cell>
          <cell r="M83" t="str">
            <v/>
          </cell>
          <cell r="Q83">
            <v>2015</v>
          </cell>
          <cell r="R83">
            <v>1.0109197705822288</v>
          </cell>
          <cell r="T83">
            <v>0</v>
          </cell>
          <cell r="U83">
            <v>0</v>
          </cell>
          <cell r="V83">
            <v>1</v>
          </cell>
          <cell r="W83" t="str">
            <v/>
          </cell>
          <cell r="X83">
            <v>0</v>
          </cell>
          <cell r="Y83">
            <v>44</v>
          </cell>
          <cell r="Z83">
            <v>0</v>
          </cell>
          <cell r="AB83" t="str">
            <v>Low-pressure regulator on pivot or linear move</v>
          </cell>
          <cell r="AC83">
            <v>411985.52057511063</v>
          </cell>
          <cell r="AD83">
            <v>59314</v>
          </cell>
          <cell r="AE83">
            <v>6.9458394405218096</v>
          </cell>
        </row>
        <row r="84">
          <cell r="A84" t="str">
            <v>01. pressure regulator</v>
          </cell>
          <cell r="B84" t="str">
            <v>2371</v>
          </cell>
          <cell r="C84" t="str">
            <v>PE2840</v>
          </cell>
          <cell r="D84" t="str">
            <v>R0168</v>
          </cell>
          <cell r="E84" t="str">
            <v>23</v>
          </cell>
          <cell r="F84" t="str">
            <v>1. New low-pressure regulators installed on center pivot or lateral move systems</v>
          </cell>
          <cell r="G84">
            <v>70</v>
          </cell>
          <cell r="K84" t="str">
            <v>Irrigation</v>
          </cell>
          <cell r="L84">
            <v>2010</v>
          </cell>
          <cell r="M84" t="str">
            <v/>
          </cell>
          <cell r="Q84">
            <v>2016</v>
          </cell>
          <cell r="R84">
            <v>1</v>
          </cell>
          <cell r="T84">
            <v>0</v>
          </cell>
          <cell r="U84">
            <v>0</v>
          </cell>
          <cell r="V84">
            <v>1</v>
          </cell>
          <cell r="W84" t="str">
            <v/>
          </cell>
          <cell r="X84">
            <v>0</v>
          </cell>
          <cell r="Y84">
            <v>70</v>
          </cell>
          <cell r="Z84">
            <v>0</v>
          </cell>
          <cell r="AB84" t="str">
            <v>Nozzle</v>
          </cell>
          <cell r="AC84">
            <v>102866.70122217156</v>
          </cell>
          <cell r="AD84">
            <v>91432</v>
          </cell>
          <cell r="AE84">
            <v>1.1250623547791971</v>
          </cell>
        </row>
        <row r="85">
          <cell r="A85" t="str">
            <v>01. pressure regulator</v>
          </cell>
          <cell r="B85" t="str">
            <v>2272</v>
          </cell>
          <cell r="C85" t="str">
            <v>PE3059</v>
          </cell>
          <cell r="D85" t="str">
            <v>R0194</v>
          </cell>
          <cell r="E85" t="str">
            <v>23</v>
          </cell>
          <cell r="F85" t="str">
            <v>1. New low-pressure regulators installed on center pivot or lateral move systems</v>
          </cell>
          <cell r="G85">
            <v>96</v>
          </cell>
          <cell r="K85" t="str">
            <v>Irrigation</v>
          </cell>
          <cell r="L85">
            <v>2010</v>
          </cell>
          <cell r="M85" t="str">
            <v/>
          </cell>
          <cell r="Q85">
            <v>2017</v>
          </cell>
          <cell r="R85">
            <v>0.98135375750389098</v>
          </cell>
          <cell r="T85">
            <v>0</v>
          </cell>
          <cell r="U85">
            <v>0</v>
          </cell>
          <cell r="V85">
            <v>1</v>
          </cell>
          <cell r="W85" t="str">
            <v/>
          </cell>
          <cell r="X85">
            <v>0</v>
          </cell>
          <cell r="Y85">
            <v>96</v>
          </cell>
          <cell r="Z85">
            <v>0</v>
          </cell>
          <cell r="AB85" t="str">
            <v>Rotating sprinkler to replace impact sprinkler</v>
          </cell>
          <cell r="AC85">
            <v>257243.04167705087</v>
          </cell>
          <cell r="AD85">
            <v>24979</v>
          </cell>
          <cell r="AE85">
            <v>10.298372299813879</v>
          </cell>
        </row>
        <row r="86">
          <cell r="A86" t="str">
            <v>01. pressure regulator</v>
          </cell>
          <cell r="B86" t="str">
            <v>2457</v>
          </cell>
          <cell r="C86" t="str">
            <v>PE3235</v>
          </cell>
          <cell r="D86" t="str">
            <v>R0221</v>
          </cell>
          <cell r="E86" t="str">
            <v>23</v>
          </cell>
          <cell r="F86" t="str">
            <v>1. New low-pressure regulators installed on center pivot or lateral move systems</v>
          </cell>
          <cell r="G86">
            <v>198</v>
          </cell>
          <cell r="K86" t="str">
            <v>Irrigation</v>
          </cell>
          <cell r="L86">
            <v>2010</v>
          </cell>
          <cell r="M86" t="str">
            <v/>
          </cell>
          <cell r="Q86">
            <v>2018</v>
          </cell>
          <cell r="R86">
            <v>0.95967170609913865</v>
          </cell>
          <cell r="T86">
            <v>0</v>
          </cell>
          <cell r="U86">
            <v>0</v>
          </cell>
          <cell r="V86">
            <v>1</v>
          </cell>
          <cell r="W86" t="str">
            <v/>
          </cell>
          <cell r="X86">
            <v>0</v>
          </cell>
          <cell r="Y86">
            <v>198</v>
          </cell>
          <cell r="Z86">
            <v>0</v>
          </cell>
          <cell r="AB86" t="str">
            <v>Rotating sprinkler to replace low pressure sprinkler</v>
          </cell>
          <cell r="AC86">
            <v>614787.40628216555</v>
          </cell>
          <cell r="AD86">
            <v>46961</v>
          </cell>
          <cell r="AE86">
            <v>13.091446227341104</v>
          </cell>
        </row>
        <row r="87">
          <cell r="A87" t="str">
            <v>01. pressure regulator</v>
          </cell>
          <cell r="B87" t="str">
            <v>2562</v>
          </cell>
          <cell r="C87" t="str">
            <v>PE3244</v>
          </cell>
          <cell r="D87" t="str">
            <v>R0224</v>
          </cell>
          <cell r="E87" t="str">
            <v>23</v>
          </cell>
          <cell r="F87" t="str">
            <v>1. New low-pressure regulators installed on center pivot or lateral move systems</v>
          </cell>
          <cell r="G87">
            <v>80</v>
          </cell>
          <cell r="K87" t="str">
            <v>Irrigation</v>
          </cell>
          <cell r="L87">
            <v>2010</v>
          </cell>
          <cell r="M87" t="str">
            <v/>
          </cell>
          <cell r="T87">
            <v>0</v>
          </cell>
          <cell r="U87">
            <v>0</v>
          </cell>
          <cell r="V87">
            <v>1</v>
          </cell>
          <cell r="W87" t="str">
            <v/>
          </cell>
          <cell r="X87">
            <v>0</v>
          </cell>
          <cell r="Y87">
            <v>80</v>
          </cell>
          <cell r="Z87">
            <v>0</v>
          </cell>
          <cell r="AB87" t="str">
            <v>Spray sprinkler to replace impact sprinkler</v>
          </cell>
          <cell r="AC87">
            <v>4776.8705650994179</v>
          </cell>
          <cell r="AD87">
            <v>336</v>
          </cell>
          <cell r="AE87">
            <v>14.216876681843505</v>
          </cell>
        </row>
        <row r="88">
          <cell r="A88" t="str">
            <v>01. pressure regulator</v>
          </cell>
          <cell r="B88" t="str">
            <v>2563</v>
          </cell>
          <cell r="C88" t="str">
            <v>PE3245</v>
          </cell>
          <cell r="D88" t="str">
            <v>R0225</v>
          </cell>
          <cell r="E88" t="str">
            <v>23</v>
          </cell>
          <cell r="F88" t="str">
            <v>1. New low-pressure regulators installed on center pivot or lateral move systems</v>
          </cell>
          <cell r="G88">
            <v>65</v>
          </cell>
          <cell r="K88" t="str">
            <v>Irrigation</v>
          </cell>
          <cell r="L88">
            <v>2010</v>
          </cell>
          <cell r="M88" t="str">
            <v/>
          </cell>
          <cell r="Q88" t="str">
            <v>Measure Map (consolidate measures with name changes)</v>
          </cell>
          <cell r="T88">
            <v>0</v>
          </cell>
          <cell r="U88">
            <v>0</v>
          </cell>
          <cell r="V88">
            <v>1</v>
          </cell>
          <cell r="W88" t="str">
            <v/>
          </cell>
          <cell r="X88">
            <v>0</v>
          </cell>
          <cell r="Y88">
            <v>65</v>
          </cell>
          <cell r="Z88">
            <v>0</v>
          </cell>
          <cell r="AB88" t="str">
            <v>Spray sprinkler to replace low pressure sprinkler</v>
          </cell>
          <cell r="AC88">
            <v>3107.6121994509622</v>
          </cell>
          <cell r="AD88">
            <v>611</v>
          </cell>
          <cell r="AE88">
            <v>5.0861083460735879</v>
          </cell>
        </row>
        <row r="89">
          <cell r="A89" t="str">
            <v>01. pressure regulator</v>
          </cell>
          <cell r="B89" t="str">
            <v>2564</v>
          </cell>
          <cell r="C89" t="str">
            <v>PE3243</v>
          </cell>
          <cell r="D89" t="str">
            <v>R0226</v>
          </cell>
          <cell r="E89" t="str">
            <v>23</v>
          </cell>
          <cell r="F89" t="str">
            <v>1. New low-pressure regulators installed on center pivot or lateral move systems</v>
          </cell>
          <cell r="G89">
            <v>63</v>
          </cell>
          <cell r="K89" t="str">
            <v>Irrigation</v>
          </cell>
          <cell r="L89">
            <v>2010</v>
          </cell>
          <cell r="M89" t="str">
            <v/>
          </cell>
          <cell r="Q89" t="str">
            <v>01. pressure regulator</v>
          </cell>
          <cell r="R89" t="str">
            <v>Low-pressure regulator on pivot or linear move</v>
          </cell>
          <cell r="T89">
            <v>0</v>
          </cell>
          <cell r="U89">
            <v>0</v>
          </cell>
          <cell r="V89">
            <v>1</v>
          </cell>
          <cell r="W89" t="str">
            <v/>
          </cell>
          <cell r="X89">
            <v>0</v>
          </cell>
          <cell r="Y89">
            <v>63</v>
          </cell>
          <cell r="Z89">
            <v>0</v>
          </cell>
        </row>
        <row r="90">
          <cell r="A90" t="str">
            <v>01. pressure regulator</v>
          </cell>
          <cell r="B90" t="str">
            <v>2273</v>
          </cell>
          <cell r="C90" t="str">
            <v>PE3300</v>
          </cell>
          <cell r="D90" t="str">
            <v>R0254</v>
          </cell>
          <cell r="E90" t="str">
            <v>23</v>
          </cell>
          <cell r="F90" t="str">
            <v>1. New low-pressure regulators installed on center pivot or lateral move systems</v>
          </cell>
          <cell r="G90">
            <v>78</v>
          </cell>
          <cell r="K90" t="str">
            <v>Irrigation</v>
          </cell>
          <cell r="L90">
            <v>2010</v>
          </cell>
          <cell r="M90" t="str">
            <v/>
          </cell>
          <cell r="Q90" t="str">
            <v>1. New low-pressure regulators installed on center pivot or lateral move systems</v>
          </cell>
          <cell r="R90" t="str">
            <v>Low-pressure regulator on pivot or linear move</v>
          </cell>
          <cell r="T90">
            <v>0</v>
          </cell>
          <cell r="U90">
            <v>0</v>
          </cell>
          <cell r="V90">
            <v>1</v>
          </cell>
          <cell r="W90" t="str">
            <v/>
          </cell>
          <cell r="X90">
            <v>0</v>
          </cell>
          <cell r="Y90">
            <v>78</v>
          </cell>
          <cell r="Z90">
            <v>0</v>
          </cell>
        </row>
        <row r="91">
          <cell r="A91" t="str">
            <v>01. pressure regulator</v>
          </cell>
          <cell r="B91" t="str">
            <v>2370</v>
          </cell>
          <cell r="C91" t="str">
            <v>PE3414</v>
          </cell>
          <cell r="D91" t="str">
            <v>R0284</v>
          </cell>
          <cell r="E91" t="str">
            <v>23</v>
          </cell>
          <cell r="F91" t="str">
            <v>1. New low-pressure regulators installed on center pivot or lateral move systems</v>
          </cell>
          <cell r="G91">
            <v>278</v>
          </cell>
          <cell r="K91" t="str">
            <v>Irrigation</v>
          </cell>
          <cell r="L91">
            <v>2010</v>
          </cell>
          <cell r="M91" t="str">
            <v/>
          </cell>
          <cell r="Q91" t="str">
            <v>02. drop tube or hose extension</v>
          </cell>
          <cell r="R91" t="str">
            <v>Drop tube</v>
          </cell>
          <cell r="T91">
            <v>0</v>
          </cell>
          <cell r="U91">
            <v>0</v>
          </cell>
          <cell r="V91">
            <v>1</v>
          </cell>
          <cell r="W91" t="str">
            <v/>
          </cell>
          <cell r="X91">
            <v>0</v>
          </cell>
          <cell r="Y91">
            <v>278</v>
          </cell>
          <cell r="Z91">
            <v>0</v>
          </cell>
        </row>
        <row r="92">
          <cell r="A92" t="str">
            <v>01. pressure regulator</v>
          </cell>
          <cell r="B92" t="str">
            <v>2616</v>
          </cell>
          <cell r="C92" t="str">
            <v>PE3631</v>
          </cell>
          <cell r="D92" t="str">
            <v>R0338</v>
          </cell>
          <cell r="E92" t="str">
            <v>23</v>
          </cell>
          <cell r="F92" t="str">
            <v>1. New low-pressure regulators installed on center pivot or lateral move systems</v>
          </cell>
          <cell r="G92">
            <v>97</v>
          </cell>
          <cell r="K92" t="str">
            <v>Irrigation</v>
          </cell>
          <cell r="L92">
            <v>2010</v>
          </cell>
          <cell r="M92" t="str">
            <v/>
          </cell>
          <cell r="Q92" t="str">
            <v>2. New drop tube or hose extensions for low-pressure sprinklers installed on center pivot or lateral move systems</v>
          </cell>
          <cell r="R92" t="str">
            <v>Drop tube</v>
          </cell>
          <cell r="T92">
            <v>0</v>
          </cell>
          <cell r="U92">
            <v>0</v>
          </cell>
          <cell r="V92">
            <v>1</v>
          </cell>
          <cell r="W92" t="str">
            <v/>
          </cell>
          <cell r="X92">
            <v>0</v>
          </cell>
          <cell r="Y92">
            <v>97</v>
          </cell>
          <cell r="Z92">
            <v>0</v>
          </cell>
        </row>
        <row r="93">
          <cell r="A93" t="str">
            <v>01. pressure regulator</v>
          </cell>
          <cell r="B93" t="str">
            <v>2394</v>
          </cell>
          <cell r="C93" t="str">
            <v>PE3783</v>
          </cell>
          <cell r="D93" t="str">
            <v>R0359</v>
          </cell>
          <cell r="E93" t="str">
            <v>23</v>
          </cell>
          <cell r="F93" t="str">
            <v>1. New low-pressure regulators installed on center pivot or lateral move systems</v>
          </cell>
          <cell r="G93">
            <v>44</v>
          </cell>
          <cell r="K93" t="str">
            <v>Irrigation</v>
          </cell>
          <cell r="L93">
            <v>2010</v>
          </cell>
          <cell r="M93" t="str">
            <v/>
          </cell>
          <cell r="Q93" t="str">
            <v>03. gooseneck elbow for drop tube</v>
          </cell>
          <cell r="R93" t="str">
            <v>Goose neck</v>
          </cell>
          <cell r="T93">
            <v>0</v>
          </cell>
          <cell r="U93">
            <v>0</v>
          </cell>
          <cell r="V93">
            <v>1</v>
          </cell>
          <cell r="W93" t="str">
            <v/>
          </cell>
          <cell r="X93">
            <v>0</v>
          </cell>
          <cell r="Y93">
            <v>44</v>
          </cell>
          <cell r="Z93">
            <v>0</v>
          </cell>
        </row>
        <row r="94">
          <cell r="A94" t="str">
            <v>01. pressure regulator</v>
          </cell>
          <cell r="B94" t="str">
            <v>2325</v>
          </cell>
          <cell r="C94" t="str">
            <v>PE3855</v>
          </cell>
          <cell r="D94" t="str">
            <v>R0367</v>
          </cell>
          <cell r="E94" t="str">
            <v>23</v>
          </cell>
          <cell r="F94" t="str">
            <v>1. New low-pressure regulators installed on center pivot or lateral move systems</v>
          </cell>
          <cell r="G94">
            <v>108</v>
          </cell>
          <cell r="K94" t="str">
            <v>Irrigation</v>
          </cell>
          <cell r="L94">
            <v>2010</v>
          </cell>
          <cell r="M94" t="str">
            <v/>
          </cell>
          <cell r="Q94" t="str">
            <v>3. New "goose neck" elbow for new drop tubes on center pivot systems</v>
          </cell>
          <cell r="R94" t="str">
            <v>Goose neck</v>
          </cell>
          <cell r="T94">
            <v>0</v>
          </cell>
          <cell r="U94">
            <v>0</v>
          </cell>
          <cell r="V94">
            <v>1</v>
          </cell>
          <cell r="W94" t="str">
            <v/>
          </cell>
          <cell r="X94">
            <v>0</v>
          </cell>
          <cell r="Y94">
            <v>108</v>
          </cell>
          <cell r="Z94">
            <v>0</v>
          </cell>
        </row>
        <row r="95">
          <cell r="A95" t="str">
            <v>01. pressure regulator</v>
          </cell>
          <cell r="B95" t="str">
            <v>2507</v>
          </cell>
          <cell r="C95" t="str">
            <v>PE3912</v>
          </cell>
          <cell r="D95" t="str">
            <v>R0391</v>
          </cell>
          <cell r="E95" t="str">
            <v>23</v>
          </cell>
          <cell r="F95" t="str">
            <v>1. New low-pressure regulators installed on center pivot or lateral move systems</v>
          </cell>
          <cell r="G95">
            <v>97</v>
          </cell>
          <cell r="J95">
            <v>599.46</v>
          </cell>
          <cell r="K95" t="str">
            <v>Irrigation</v>
          </cell>
          <cell r="L95">
            <v>2011</v>
          </cell>
          <cell r="M95">
            <v>6.1800000000000006</v>
          </cell>
          <cell r="Q95" t="str">
            <v>04. rotating sprinkler replacing low-pressure sprinkler</v>
          </cell>
          <cell r="R95" t="str">
            <v>Rotating sprinkler to replace low pressure sprinkler</v>
          </cell>
          <cell r="T95">
            <v>0</v>
          </cell>
          <cell r="U95">
            <v>1</v>
          </cell>
          <cell r="V95">
            <v>1</v>
          </cell>
          <cell r="W95" t="str">
            <v/>
          </cell>
          <cell r="X95">
            <v>647.21383398605212</v>
          </cell>
          <cell r="Y95">
            <v>97</v>
          </cell>
          <cell r="Z95">
            <v>6.6723075668665164</v>
          </cell>
        </row>
        <row r="96">
          <cell r="A96" t="str">
            <v>01. pressure regulator</v>
          </cell>
          <cell r="B96" t="str">
            <v>2233</v>
          </cell>
          <cell r="C96" t="str">
            <v>PE3914</v>
          </cell>
          <cell r="D96" t="str">
            <v>R0394</v>
          </cell>
          <cell r="E96" t="str">
            <v>23</v>
          </cell>
          <cell r="F96" t="str">
            <v>1. New low-pressure regulators installed on center pivot or lateral move systems</v>
          </cell>
          <cell r="G96">
            <v>104</v>
          </cell>
          <cell r="J96">
            <v>692.8</v>
          </cell>
          <cell r="K96" t="str">
            <v>Irrigation</v>
          </cell>
          <cell r="L96">
            <v>2011</v>
          </cell>
          <cell r="M96">
            <v>6.661538461538461</v>
          </cell>
          <cell r="Q96" t="str">
            <v>4. New rotating type sprinklers that replace low pressure sprinklers on center pivot or lateral move systems</v>
          </cell>
          <cell r="R96" t="str">
            <v>Rotating sprinkler to replace low pressure sprinkler</v>
          </cell>
          <cell r="T96">
            <v>0</v>
          </cell>
          <cell r="U96">
            <v>1</v>
          </cell>
          <cell r="V96">
            <v>1</v>
          </cell>
          <cell r="W96" t="str">
            <v/>
          </cell>
          <cell r="X96">
            <v>747.98943079694538</v>
          </cell>
          <cell r="Y96">
            <v>104</v>
          </cell>
          <cell r="Z96">
            <v>7.1922060653552444</v>
          </cell>
        </row>
        <row r="97">
          <cell r="A97" t="str">
            <v>01. pressure regulator</v>
          </cell>
          <cell r="B97" t="str">
            <v>2338</v>
          </cell>
          <cell r="C97" t="str">
            <v>PE4904</v>
          </cell>
          <cell r="D97" t="str">
            <v>R0538</v>
          </cell>
          <cell r="E97" t="str">
            <v>23</v>
          </cell>
          <cell r="F97" t="str">
            <v>1. New low-pressure regulators installed on center pivot or lateral move systems</v>
          </cell>
          <cell r="G97">
            <v>104</v>
          </cell>
          <cell r="J97">
            <v>621.91999999999996</v>
          </cell>
          <cell r="K97" t="str">
            <v>Irrigation</v>
          </cell>
          <cell r="L97">
            <v>2011</v>
          </cell>
          <cell r="M97">
            <v>5.9799999999999995</v>
          </cell>
          <cell r="Q97" t="str">
            <v>05. rotating sprinkler replacing impact sprinkler</v>
          </cell>
          <cell r="R97" t="str">
            <v>Rotating sprinkler to replace impact sprinkler</v>
          </cell>
          <cell r="T97">
            <v>0</v>
          </cell>
          <cell r="U97">
            <v>1</v>
          </cell>
          <cell r="V97">
            <v>1</v>
          </cell>
          <cell r="W97" t="str">
            <v/>
          </cell>
          <cell r="X97">
            <v>671.46302944751187</v>
          </cell>
          <cell r="Y97">
            <v>104</v>
          </cell>
          <cell r="Z97">
            <v>6.4563752831491525</v>
          </cell>
        </row>
        <row r="98">
          <cell r="A98" t="str">
            <v>01. pressure regulator</v>
          </cell>
          <cell r="B98" t="str">
            <v>2339</v>
          </cell>
          <cell r="C98" t="str">
            <v>PE4955</v>
          </cell>
          <cell r="D98" t="str">
            <v>R0550</v>
          </cell>
          <cell r="E98" t="str">
            <v>23</v>
          </cell>
          <cell r="F98" t="str">
            <v>1. New low-pressure regulators installed on center pivot or lateral move systems</v>
          </cell>
          <cell r="G98">
            <v>118</v>
          </cell>
          <cell r="J98">
            <v>767</v>
          </cell>
          <cell r="K98" t="str">
            <v>Irrigation</v>
          </cell>
          <cell r="L98">
            <v>2011</v>
          </cell>
          <cell r="M98">
            <v>6.5</v>
          </cell>
          <cell r="Q98" t="str">
            <v>5. New rotating type sprinklers that replace impact sprinklers installed on wheel-lines, hand-lines, center pivots or lateral move systems</v>
          </cell>
          <cell r="R98" t="str">
            <v>Rotating sprinkler to replace impact sprinkler</v>
          </cell>
          <cell r="T98">
            <v>0</v>
          </cell>
          <cell r="U98">
            <v>1</v>
          </cell>
          <cell r="V98">
            <v>1</v>
          </cell>
          <cell r="W98" t="str">
            <v/>
          </cell>
          <cell r="X98">
            <v>828.1003080560871</v>
          </cell>
          <cell r="Y98">
            <v>118</v>
          </cell>
          <cell r="Z98">
            <v>7.0177992208142976</v>
          </cell>
        </row>
        <row r="99">
          <cell r="A99" t="str">
            <v>01. pressure regulator</v>
          </cell>
          <cell r="B99" t="str">
            <v>2340</v>
          </cell>
          <cell r="C99" t="str">
            <v>PE4997</v>
          </cell>
          <cell r="D99" t="str">
            <v>R0553</v>
          </cell>
          <cell r="E99" t="str">
            <v>23</v>
          </cell>
          <cell r="F99" t="str">
            <v>1. New low-pressure regulators installed on center pivot or lateral move systems</v>
          </cell>
          <cell r="G99">
            <v>140</v>
          </cell>
          <cell r="J99">
            <v>772.8</v>
          </cell>
          <cell r="K99" t="str">
            <v>Irrigation</v>
          </cell>
          <cell r="L99">
            <v>2011</v>
          </cell>
          <cell r="M99">
            <v>5.52</v>
          </cell>
          <cell r="Q99" t="str">
            <v>06. spray sprinkler replacing low-pressure sprinkler</v>
          </cell>
          <cell r="R99" t="str">
            <v>Spray sprinkler to replace low pressure sprinkler</v>
          </cell>
          <cell r="T99">
            <v>0</v>
          </cell>
          <cell r="U99">
            <v>1</v>
          </cell>
          <cell r="V99">
            <v>1</v>
          </cell>
          <cell r="W99" t="str">
            <v/>
          </cell>
          <cell r="X99">
            <v>834.36234428389059</v>
          </cell>
          <cell r="Y99">
            <v>140</v>
          </cell>
          <cell r="Z99">
            <v>5.9597310305992188</v>
          </cell>
        </row>
        <row r="100">
          <cell r="A100" t="str">
            <v>10. new nozzle for impact sprinkler</v>
          </cell>
          <cell r="B100" t="str">
            <v>2722</v>
          </cell>
          <cell r="C100" t="str">
            <v>PE1966</v>
          </cell>
          <cell r="D100" t="str">
            <v>R0009</v>
          </cell>
          <cell r="E100" t="str">
            <v>32</v>
          </cell>
          <cell r="F100" t="str">
            <v>10. New nozzle for impact sprinkler that replaces existing worn nozzle on wheel-line or hand-line systems</v>
          </cell>
          <cell r="G100">
            <v>398</v>
          </cell>
          <cell r="K100" t="str">
            <v>Irrigation</v>
          </cell>
          <cell r="L100">
            <v>2008</v>
          </cell>
          <cell r="M100" t="str">
            <v/>
          </cell>
          <cell r="Q100" t="str">
            <v>6. New multi-trajectory sprays that replace low pressure sprinklers on center pivot or lateral move systems</v>
          </cell>
          <cell r="R100" t="str">
            <v>Spray sprinkler to replace low pressure sprinkler</v>
          </cell>
          <cell r="T100">
            <v>0</v>
          </cell>
          <cell r="U100">
            <v>0</v>
          </cell>
          <cell r="V100">
            <v>1</v>
          </cell>
          <cell r="W100" t="str">
            <v/>
          </cell>
          <cell r="X100">
            <v>0</v>
          </cell>
          <cell r="Y100">
            <v>398</v>
          </cell>
          <cell r="Z100">
            <v>0</v>
          </cell>
        </row>
        <row r="101">
          <cell r="A101" t="str">
            <v>10. new nozzle for impact sprinkler</v>
          </cell>
          <cell r="B101" t="str">
            <v>2510</v>
          </cell>
          <cell r="C101" t="str">
            <v>PE2073</v>
          </cell>
          <cell r="D101" t="str">
            <v>R0024</v>
          </cell>
          <cell r="E101" t="str">
            <v>32</v>
          </cell>
          <cell r="F101" t="str">
            <v>10. New nozzle for impact sprinkler that replaces existing worn nozzle on wheel-line or hand-line systems</v>
          </cell>
          <cell r="G101">
            <v>90</v>
          </cell>
          <cell r="K101" t="str">
            <v>Irrigation</v>
          </cell>
          <cell r="L101">
            <v>2009</v>
          </cell>
          <cell r="M101" t="str">
            <v/>
          </cell>
          <cell r="Q101" t="str">
            <v>07. multi-trajectory spray replacing impact sprinkler</v>
          </cell>
          <cell r="R101" t="str">
            <v>Spray sprinkler to replace impact sprinkler</v>
          </cell>
          <cell r="T101">
            <v>0</v>
          </cell>
          <cell r="U101">
            <v>0</v>
          </cell>
          <cell r="V101">
            <v>1</v>
          </cell>
          <cell r="W101" t="str">
            <v/>
          </cell>
          <cell r="X101">
            <v>0</v>
          </cell>
          <cell r="Y101">
            <v>90</v>
          </cell>
          <cell r="Z101">
            <v>0</v>
          </cell>
        </row>
        <row r="102">
          <cell r="A102" t="str">
            <v>10. new nozzle for impact sprinkler</v>
          </cell>
          <cell r="B102" t="str">
            <v>2724</v>
          </cell>
          <cell r="C102" t="str">
            <v>PE2083</v>
          </cell>
          <cell r="D102" t="str">
            <v>R0027</v>
          </cell>
          <cell r="E102" t="str">
            <v>32</v>
          </cell>
          <cell r="F102" t="str">
            <v>10. New nozzle for impact sprinkler that replaces existing worn nozzle on wheel-line or hand-line systems</v>
          </cell>
          <cell r="G102">
            <v>120</v>
          </cell>
          <cell r="K102" t="str">
            <v>Irrigation</v>
          </cell>
          <cell r="L102">
            <v>2009</v>
          </cell>
          <cell r="M102" t="str">
            <v/>
          </cell>
          <cell r="Q102" t="str">
            <v>08. multiple configuration nozzle</v>
          </cell>
          <cell r="R102" t="str">
            <v>Adjustable nozzle</v>
          </cell>
          <cell r="T102">
            <v>0</v>
          </cell>
          <cell r="U102">
            <v>0</v>
          </cell>
          <cell r="V102">
            <v>1</v>
          </cell>
          <cell r="W102" t="str">
            <v/>
          </cell>
          <cell r="X102">
            <v>0</v>
          </cell>
          <cell r="Y102">
            <v>120</v>
          </cell>
          <cell r="Z102">
            <v>0</v>
          </cell>
        </row>
        <row r="103">
          <cell r="A103" t="str">
            <v>10. new nozzle for impact sprinkler</v>
          </cell>
          <cell r="B103" t="str">
            <v>2511</v>
          </cell>
          <cell r="C103" t="str">
            <v>PE2107</v>
          </cell>
          <cell r="D103" t="str">
            <v>R0033</v>
          </cell>
          <cell r="E103" t="str">
            <v>32</v>
          </cell>
          <cell r="F103" t="str">
            <v>10. New nozzle for impact sprinkler that replaces existing worn nozzle on wheel-line or hand-line systems</v>
          </cell>
          <cell r="G103">
            <v>2010</v>
          </cell>
          <cell r="K103" t="str">
            <v>Irrigation</v>
          </cell>
          <cell r="L103">
            <v>2009</v>
          </cell>
          <cell r="M103" t="str">
            <v/>
          </cell>
          <cell r="Q103" t="str">
            <v>8. New multiple configuration nozzles for low-pressure center pivots or lateral move systems</v>
          </cell>
          <cell r="R103" t="str">
            <v>Adjustable nozzle</v>
          </cell>
          <cell r="T103">
            <v>0</v>
          </cell>
          <cell r="U103">
            <v>0</v>
          </cell>
          <cell r="V103">
            <v>1</v>
          </cell>
          <cell r="W103" t="str">
            <v/>
          </cell>
          <cell r="X103">
            <v>0</v>
          </cell>
          <cell r="Y103">
            <v>2010</v>
          </cell>
          <cell r="Z103">
            <v>0</v>
          </cell>
        </row>
        <row r="104">
          <cell r="A104" t="str">
            <v>10. new nozzle for impact sprinkler</v>
          </cell>
          <cell r="B104" t="str">
            <v>2230</v>
          </cell>
          <cell r="C104" t="str">
            <v>PE2132</v>
          </cell>
          <cell r="D104" t="str">
            <v>R0035</v>
          </cell>
          <cell r="E104" t="str">
            <v>32</v>
          </cell>
          <cell r="F104" t="str">
            <v>10. New nozzle for impact sprinkler that replaces existing worn nozzle on wheel-line or hand-line systems</v>
          </cell>
          <cell r="G104">
            <v>100</v>
          </cell>
          <cell r="K104" t="str">
            <v>Irrigation</v>
          </cell>
          <cell r="L104">
            <v>2009</v>
          </cell>
          <cell r="M104" t="str">
            <v/>
          </cell>
          <cell r="Q104" t="str">
            <v>09. new or rebuilt impact sprinkler</v>
          </cell>
          <cell r="R104" t="str">
            <v>Impact sprinkler</v>
          </cell>
          <cell r="T104">
            <v>0</v>
          </cell>
          <cell r="U104">
            <v>0</v>
          </cell>
          <cell r="V104">
            <v>1</v>
          </cell>
          <cell r="W104" t="str">
            <v/>
          </cell>
          <cell r="X104">
            <v>0</v>
          </cell>
          <cell r="Y104">
            <v>100</v>
          </cell>
          <cell r="Z104">
            <v>0</v>
          </cell>
        </row>
        <row r="105">
          <cell r="A105" t="str">
            <v>10. new nozzle for impact sprinkler</v>
          </cell>
          <cell r="B105" t="str">
            <v>2720</v>
          </cell>
          <cell r="C105" t="str">
            <v>PE2149</v>
          </cell>
          <cell r="D105" t="str">
            <v>R0046</v>
          </cell>
          <cell r="E105" t="str">
            <v>32</v>
          </cell>
          <cell r="F105" t="str">
            <v>10. New nozzle for impact sprinkler that replaces existing worn nozzle on wheel-line or hand-line systems</v>
          </cell>
          <cell r="G105">
            <v>24</v>
          </cell>
          <cell r="K105" t="str">
            <v>Irrigation</v>
          </cell>
          <cell r="L105">
            <v>2009</v>
          </cell>
          <cell r="M105" t="str">
            <v/>
          </cell>
          <cell r="Q105" t="str">
            <v>9. Rebuilt or new impact sprinklers for existing systems</v>
          </cell>
          <cell r="R105" t="str">
            <v>Impact sprinkler</v>
          </cell>
          <cell r="T105">
            <v>0</v>
          </cell>
          <cell r="U105">
            <v>0</v>
          </cell>
          <cell r="V105">
            <v>1</v>
          </cell>
          <cell r="W105" t="str">
            <v/>
          </cell>
          <cell r="X105">
            <v>0</v>
          </cell>
          <cell r="Y105">
            <v>24</v>
          </cell>
          <cell r="Z105">
            <v>0</v>
          </cell>
        </row>
        <row r="106">
          <cell r="A106" t="str">
            <v>10. new nozzle for impact sprinkler</v>
          </cell>
          <cell r="B106" t="str">
            <v>2400</v>
          </cell>
          <cell r="C106" t="str">
            <v>PE2180</v>
          </cell>
          <cell r="D106" t="str">
            <v>R0052</v>
          </cell>
          <cell r="E106" t="str">
            <v>32</v>
          </cell>
          <cell r="F106" t="str">
            <v>10. New nozzle for impact sprinkler that replaces existing worn nozzle on wheel-line or hand-line systems</v>
          </cell>
          <cell r="G106">
            <v>90</v>
          </cell>
          <cell r="K106" t="str">
            <v>Irrigation</v>
          </cell>
          <cell r="L106">
            <v>2009</v>
          </cell>
          <cell r="M106" t="str">
            <v/>
          </cell>
          <cell r="Q106" t="str">
            <v>10. new nozzle for impact sprinkler</v>
          </cell>
          <cell r="R106" t="str">
            <v>Nozzle</v>
          </cell>
          <cell r="T106">
            <v>0</v>
          </cell>
          <cell r="U106">
            <v>0</v>
          </cell>
          <cell r="V106">
            <v>1</v>
          </cell>
          <cell r="W106" t="str">
            <v/>
          </cell>
          <cell r="X106">
            <v>0</v>
          </cell>
          <cell r="Y106">
            <v>90</v>
          </cell>
          <cell r="Z106">
            <v>0</v>
          </cell>
        </row>
        <row r="107">
          <cell r="A107" t="str">
            <v>10. new nozzle for impact sprinkler</v>
          </cell>
          <cell r="B107" t="str">
            <v>2516</v>
          </cell>
          <cell r="C107" t="str">
            <v>PE2181</v>
          </cell>
          <cell r="D107" t="str">
            <v>R0053</v>
          </cell>
          <cell r="E107" t="str">
            <v>32</v>
          </cell>
          <cell r="F107" t="str">
            <v>10. New nozzle for impact sprinkler that replaces existing worn nozzle on wheel-line or hand-line systems</v>
          </cell>
          <cell r="G107">
            <v>150</v>
          </cell>
          <cell r="K107" t="str">
            <v>Irrigation</v>
          </cell>
          <cell r="L107">
            <v>2009</v>
          </cell>
          <cell r="M107" t="str">
            <v/>
          </cell>
          <cell r="Q107" t="str">
            <v>10. New nozzle for impact sprinkler that replaces existing worn nozzle on wheel-line or hand-line systems</v>
          </cell>
          <cell r="R107" t="str">
            <v>Nozzle</v>
          </cell>
          <cell r="T107">
            <v>0</v>
          </cell>
          <cell r="U107">
            <v>0</v>
          </cell>
          <cell r="V107">
            <v>1</v>
          </cell>
          <cell r="W107" t="str">
            <v/>
          </cell>
          <cell r="X107">
            <v>0</v>
          </cell>
          <cell r="Y107">
            <v>150</v>
          </cell>
          <cell r="Z107">
            <v>0</v>
          </cell>
        </row>
        <row r="108">
          <cell r="A108" t="str">
            <v>10. new nozzle for impact sprinkler</v>
          </cell>
          <cell r="B108" t="str">
            <v>2302</v>
          </cell>
          <cell r="C108" t="str">
            <v>PE2209</v>
          </cell>
          <cell r="D108" t="str">
            <v>R0058</v>
          </cell>
          <cell r="E108" t="str">
            <v>32</v>
          </cell>
          <cell r="F108" t="str">
            <v>10. New nozzle for impact sprinkler that replaces existing worn nozzle on wheel-line or hand-line systems</v>
          </cell>
          <cell r="G108">
            <v>30</v>
          </cell>
          <cell r="K108" t="str">
            <v>Irrigation</v>
          </cell>
          <cell r="L108">
            <v>2009</v>
          </cell>
          <cell r="M108" t="str">
            <v/>
          </cell>
          <cell r="Q108" t="str">
            <v>11. New flow controlling type nozzle for impact sprinklers installed on wheel-line or hand-line systems</v>
          </cell>
          <cell r="R108" t="str">
            <v>Adjustable nozzle</v>
          </cell>
          <cell r="T108">
            <v>0</v>
          </cell>
          <cell r="U108">
            <v>0</v>
          </cell>
          <cell r="V108">
            <v>1</v>
          </cell>
          <cell r="W108" t="str">
            <v/>
          </cell>
          <cell r="X108">
            <v>0</v>
          </cell>
          <cell r="Y108">
            <v>30</v>
          </cell>
          <cell r="Z108">
            <v>0</v>
          </cell>
        </row>
        <row r="109">
          <cell r="A109" t="str">
            <v>10. new nozzle for impact sprinkler</v>
          </cell>
          <cell r="B109" t="str">
            <v>2303</v>
          </cell>
          <cell r="C109" t="str">
            <v>PE2211</v>
          </cell>
          <cell r="D109" t="str">
            <v>R0059</v>
          </cell>
          <cell r="E109" t="str">
            <v>32</v>
          </cell>
          <cell r="F109" t="str">
            <v>10. New nozzle for impact sprinkler that replaces existing worn nozzle on wheel-line or hand-line systems</v>
          </cell>
          <cell r="G109">
            <v>10</v>
          </cell>
          <cell r="K109" t="str">
            <v>Irrigation</v>
          </cell>
          <cell r="L109">
            <v>2009</v>
          </cell>
          <cell r="M109" t="str">
            <v/>
          </cell>
          <cell r="Q109" t="str">
            <v>11. new flow-controlling nozzle for impact sprinkler</v>
          </cell>
          <cell r="R109" t="str">
            <v>Adjustable nozzle</v>
          </cell>
          <cell r="T109">
            <v>0</v>
          </cell>
          <cell r="U109">
            <v>0</v>
          </cell>
          <cell r="V109">
            <v>1</v>
          </cell>
          <cell r="W109" t="str">
            <v/>
          </cell>
          <cell r="X109">
            <v>0</v>
          </cell>
          <cell r="Y109">
            <v>10</v>
          </cell>
          <cell r="Z109">
            <v>0</v>
          </cell>
        </row>
        <row r="110">
          <cell r="A110" t="str">
            <v>10. new nozzle for impact sprinkler</v>
          </cell>
          <cell r="B110" t="str">
            <v>2738</v>
          </cell>
          <cell r="C110" t="str">
            <v>PE2250</v>
          </cell>
          <cell r="D110" t="str">
            <v>R0061</v>
          </cell>
          <cell r="E110" t="str">
            <v>32</v>
          </cell>
          <cell r="F110" t="str">
            <v>10. New nozzle for impact sprinkler that replaces existing worn nozzle on wheel-line or hand-line systems</v>
          </cell>
          <cell r="G110">
            <v>60</v>
          </cell>
          <cell r="K110" t="str">
            <v>Irrigation</v>
          </cell>
          <cell r="L110">
            <v>2009</v>
          </cell>
          <cell r="M110" t="str">
            <v/>
          </cell>
          <cell r="Q110" t="str">
            <v>12. drain for wheel line, hand line, or pivot</v>
          </cell>
          <cell r="R110" t="str">
            <v>Drain valve</v>
          </cell>
          <cell r="T110">
            <v>0</v>
          </cell>
          <cell r="U110">
            <v>0</v>
          </cell>
          <cell r="V110">
            <v>1</v>
          </cell>
          <cell r="W110" t="str">
            <v/>
          </cell>
          <cell r="X110">
            <v>0</v>
          </cell>
          <cell r="Y110">
            <v>60</v>
          </cell>
          <cell r="Z110">
            <v>0</v>
          </cell>
        </row>
        <row r="111">
          <cell r="A111" t="str">
            <v>10. new nozzle for impact sprinkler</v>
          </cell>
          <cell r="B111" t="str">
            <v>2283</v>
          </cell>
          <cell r="C111" t="str">
            <v>PE2271</v>
          </cell>
          <cell r="D111" t="str">
            <v>R0063</v>
          </cell>
          <cell r="E111" t="str">
            <v>32</v>
          </cell>
          <cell r="F111" t="str">
            <v>10. New nozzle for impact sprinkler that replaces existing worn nozzle on wheel-line or hand-line systems</v>
          </cell>
          <cell r="G111">
            <v>215</v>
          </cell>
          <cell r="K111" t="str">
            <v>Irrigation</v>
          </cell>
          <cell r="L111">
            <v>2009</v>
          </cell>
          <cell r="M111" t="str">
            <v/>
          </cell>
          <cell r="Q111" t="str">
            <v>12. New drains for wheel-lines, hand-lines or center pivot systems</v>
          </cell>
          <cell r="R111" t="str">
            <v>Drain valve</v>
          </cell>
          <cell r="T111">
            <v>0</v>
          </cell>
          <cell r="U111">
            <v>0</v>
          </cell>
          <cell r="V111">
            <v>1</v>
          </cell>
          <cell r="W111" t="str">
            <v/>
          </cell>
          <cell r="X111">
            <v>0</v>
          </cell>
          <cell r="Y111">
            <v>215</v>
          </cell>
          <cell r="Z111">
            <v>0</v>
          </cell>
        </row>
        <row r="112">
          <cell r="A112" t="str">
            <v>10. new nozzle for impact sprinkler</v>
          </cell>
          <cell r="B112" t="str">
            <v>2253</v>
          </cell>
          <cell r="C112" t="str">
            <v>PE2256</v>
          </cell>
          <cell r="D112" t="str">
            <v>R0069</v>
          </cell>
          <cell r="E112" t="str">
            <v>32</v>
          </cell>
          <cell r="F112" t="str">
            <v>10. New nozzle for impact sprinkler that replaces existing worn nozzle on wheel-line or hand-line systems</v>
          </cell>
          <cell r="G112">
            <v>100</v>
          </cell>
          <cell r="K112" t="str">
            <v>Irrigation</v>
          </cell>
          <cell r="L112">
            <v>2009</v>
          </cell>
          <cell r="M112" t="str">
            <v/>
          </cell>
          <cell r="Q112" t="str">
            <v>13. gasket for wheel line or hand line</v>
          </cell>
          <cell r="R112" t="str">
            <v>Gasket for wheel or hand line</v>
          </cell>
          <cell r="T112">
            <v>0</v>
          </cell>
          <cell r="U112">
            <v>0</v>
          </cell>
          <cell r="V112">
            <v>1</v>
          </cell>
          <cell r="W112" t="str">
            <v/>
          </cell>
          <cell r="X112">
            <v>0</v>
          </cell>
          <cell r="Y112">
            <v>100</v>
          </cell>
          <cell r="Z112">
            <v>0</v>
          </cell>
        </row>
        <row r="113">
          <cell r="A113" t="str">
            <v>10. new nozzle for impact sprinkler</v>
          </cell>
          <cell r="B113" t="str">
            <v>2304</v>
          </cell>
          <cell r="C113" t="str">
            <v>PE2273</v>
          </cell>
          <cell r="D113" t="str">
            <v>R0071</v>
          </cell>
          <cell r="E113" t="str">
            <v>32</v>
          </cell>
          <cell r="F113" t="str">
            <v>10. New nozzle for impact sprinkler that replaces existing worn nozzle on wheel-line or hand-line systems</v>
          </cell>
          <cell r="G113">
            <v>90</v>
          </cell>
          <cell r="K113" t="str">
            <v>Irrigation</v>
          </cell>
          <cell r="L113">
            <v>2009</v>
          </cell>
          <cell r="M113" t="str">
            <v/>
          </cell>
          <cell r="Q113" t="str">
            <v>13. New gasket for wheel-lines, hand-lines or portable main-line, including leaking mainline riser cap gaskets or portable mainline section gaskets .</v>
          </cell>
          <cell r="R113" t="str">
            <v>Gasket for wheel or hand line</v>
          </cell>
          <cell r="T113">
            <v>0</v>
          </cell>
          <cell r="U113">
            <v>0</v>
          </cell>
          <cell r="V113">
            <v>1</v>
          </cell>
          <cell r="W113" t="str">
            <v/>
          </cell>
          <cell r="X113">
            <v>0</v>
          </cell>
          <cell r="Y113">
            <v>90</v>
          </cell>
          <cell r="Z113">
            <v>0</v>
          </cell>
        </row>
        <row r="114">
          <cell r="A114" t="str">
            <v>10. new nozzle for impact sprinkler</v>
          </cell>
          <cell r="B114" t="str">
            <v>2519</v>
          </cell>
          <cell r="C114" t="str">
            <v>PE2296</v>
          </cell>
          <cell r="D114" t="str">
            <v>R0076</v>
          </cell>
          <cell r="E114" t="str">
            <v>32</v>
          </cell>
          <cell r="F114" t="str">
            <v>10. New nozzle for impact sprinkler that replaces existing worn nozzle on wheel-line or hand-line systems</v>
          </cell>
          <cell r="G114">
            <v>30</v>
          </cell>
          <cell r="K114" t="str">
            <v>Irrigation</v>
          </cell>
          <cell r="L114">
            <v>2009</v>
          </cell>
          <cell r="M114" t="str">
            <v/>
          </cell>
          <cell r="Q114" t="str">
            <v>14. Cut and pipe press repair of leaking hand-lines, wheel-lines, and portable main-lines</v>
          </cell>
          <cell r="R114" t="str">
            <v>Cut and press pipe repair</v>
          </cell>
          <cell r="T114">
            <v>0</v>
          </cell>
          <cell r="U114">
            <v>0</v>
          </cell>
          <cell r="V114">
            <v>1</v>
          </cell>
          <cell r="W114" t="str">
            <v/>
          </cell>
          <cell r="X114">
            <v>0</v>
          </cell>
          <cell r="Y114">
            <v>30</v>
          </cell>
          <cell r="Z114">
            <v>0</v>
          </cell>
        </row>
        <row r="115">
          <cell r="A115" t="str">
            <v>10. new nozzle for impact sprinkler</v>
          </cell>
          <cell r="B115" t="str">
            <v>2351</v>
          </cell>
          <cell r="C115" t="str">
            <v>PE2329</v>
          </cell>
          <cell r="D115" t="str">
            <v>R0086</v>
          </cell>
          <cell r="E115" t="str">
            <v>32</v>
          </cell>
          <cell r="F115" t="str">
            <v>10. New nozzle for impact sprinkler that replaces existing worn nozzle on wheel-line or hand-line systems</v>
          </cell>
          <cell r="G115">
            <v>30</v>
          </cell>
          <cell r="K115" t="str">
            <v>Irrigation</v>
          </cell>
          <cell r="L115">
            <v>2009</v>
          </cell>
          <cell r="M115" t="str">
            <v/>
          </cell>
          <cell r="Q115" t="str">
            <v>14. cut and press pipe repair</v>
          </cell>
          <cell r="R115" t="str">
            <v>Cut and press pipe repair</v>
          </cell>
          <cell r="T115">
            <v>0</v>
          </cell>
          <cell r="U115">
            <v>0</v>
          </cell>
          <cell r="V115">
            <v>1</v>
          </cell>
          <cell r="W115" t="str">
            <v/>
          </cell>
          <cell r="X115">
            <v>0</v>
          </cell>
          <cell r="Y115">
            <v>30</v>
          </cell>
          <cell r="Z115">
            <v>0</v>
          </cell>
        </row>
        <row r="116">
          <cell r="A116" t="str">
            <v>10. new nozzle for impact sprinkler</v>
          </cell>
          <cell r="B116" t="str">
            <v>2305</v>
          </cell>
          <cell r="C116" t="str">
            <v>PE2351</v>
          </cell>
          <cell r="D116" t="str">
            <v>R0087</v>
          </cell>
          <cell r="E116" t="str">
            <v>32</v>
          </cell>
          <cell r="F116" t="str">
            <v>10. New nozzle for impact sprinkler that replaces existing worn nozzle on wheel-line or hand-line systems</v>
          </cell>
          <cell r="G116">
            <v>50</v>
          </cell>
          <cell r="K116" t="str">
            <v>Irrigation</v>
          </cell>
          <cell r="L116">
            <v>2009</v>
          </cell>
          <cell r="M116" t="str">
            <v/>
          </cell>
          <cell r="Q116" t="str">
            <v>15. rebuilt or new wheel line sprinkler levelers</v>
          </cell>
          <cell r="R116" t="str">
            <v>Leveler</v>
          </cell>
          <cell r="T116">
            <v>0</v>
          </cell>
          <cell r="U116">
            <v>0</v>
          </cell>
          <cell r="V116">
            <v>1</v>
          </cell>
          <cell r="W116" t="str">
            <v/>
          </cell>
          <cell r="X116">
            <v>0</v>
          </cell>
          <cell r="Y116">
            <v>50</v>
          </cell>
          <cell r="Z116">
            <v>0</v>
          </cell>
        </row>
        <row r="117">
          <cell r="A117" t="str">
            <v>10. new nozzle for impact sprinkler</v>
          </cell>
          <cell r="B117" t="str">
            <v>2781</v>
          </cell>
          <cell r="C117" t="str">
            <v>PE2349</v>
          </cell>
          <cell r="D117" t="str">
            <v>R0089</v>
          </cell>
          <cell r="E117" t="str">
            <v>32</v>
          </cell>
          <cell r="F117" t="str">
            <v>10. New nozzle for impact sprinkler that replaces existing worn nozzle on wheel-line or hand-line systems</v>
          </cell>
          <cell r="G117">
            <v>1800</v>
          </cell>
          <cell r="K117" t="str">
            <v>Irrigation</v>
          </cell>
          <cell r="L117">
            <v>2009</v>
          </cell>
          <cell r="M117" t="str">
            <v/>
          </cell>
          <cell r="Q117" t="str">
            <v>16. new base boot gasket</v>
          </cell>
          <cell r="R117" t="str">
            <v>Base boot gasket</v>
          </cell>
          <cell r="T117">
            <v>0</v>
          </cell>
          <cell r="U117">
            <v>0</v>
          </cell>
          <cell r="V117">
            <v>1</v>
          </cell>
          <cell r="W117" t="str">
            <v/>
          </cell>
          <cell r="X117">
            <v>0</v>
          </cell>
          <cell r="Y117">
            <v>1800</v>
          </cell>
          <cell r="Z117">
            <v>0</v>
          </cell>
        </row>
        <row r="118">
          <cell r="A118" t="str">
            <v>10. new nozzle for impact sprinkler</v>
          </cell>
          <cell r="B118" t="str">
            <v>2377</v>
          </cell>
          <cell r="C118" t="str">
            <v>PE2350</v>
          </cell>
          <cell r="D118" t="str">
            <v>R0092</v>
          </cell>
          <cell r="E118" t="str">
            <v>32</v>
          </cell>
          <cell r="F118" t="str">
            <v>10. New nozzle for impact sprinkler that replaces existing worn nozzle on wheel-line or hand-line systems</v>
          </cell>
          <cell r="G118">
            <v>60</v>
          </cell>
          <cell r="K118" t="str">
            <v>Irrigation</v>
          </cell>
          <cell r="L118">
            <v>2009</v>
          </cell>
          <cell r="M118" t="str">
            <v/>
          </cell>
          <cell r="T118">
            <v>0</v>
          </cell>
          <cell r="U118">
            <v>0</v>
          </cell>
          <cell r="V118">
            <v>1</v>
          </cell>
          <cell r="W118" t="str">
            <v/>
          </cell>
          <cell r="X118">
            <v>0</v>
          </cell>
          <cell r="Y118">
            <v>60</v>
          </cell>
          <cell r="Z118">
            <v>0</v>
          </cell>
        </row>
        <row r="119">
          <cell r="A119" t="str">
            <v>10. new nozzle for impact sprinkler</v>
          </cell>
          <cell r="B119" t="str">
            <v>2307</v>
          </cell>
          <cell r="C119" t="str">
            <v>PE2355</v>
          </cell>
          <cell r="D119" t="str">
            <v>R0095</v>
          </cell>
          <cell r="E119" t="str">
            <v>32</v>
          </cell>
          <cell r="F119" t="str">
            <v>10. New nozzle for impact sprinkler that replaces existing worn nozzle on wheel-line or hand-line systems</v>
          </cell>
          <cell r="G119">
            <v>28</v>
          </cell>
          <cell r="K119" t="str">
            <v>Irrigation</v>
          </cell>
          <cell r="L119">
            <v>2009</v>
          </cell>
          <cell r="M119" t="str">
            <v/>
          </cell>
          <cell r="T119">
            <v>0</v>
          </cell>
          <cell r="U119">
            <v>0</v>
          </cell>
          <cell r="V119">
            <v>1</v>
          </cell>
          <cell r="W119" t="str">
            <v/>
          </cell>
          <cell r="X119">
            <v>0</v>
          </cell>
          <cell r="Y119">
            <v>28</v>
          </cell>
          <cell r="Z119">
            <v>0</v>
          </cell>
        </row>
        <row r="120">
          <cell r="A120" t="str">
            <v>10. new nozzle for impact sprinkler</v>
          </cell>
          <cell r="B120" t="str">
            <v>2525</v>
          </cell>
          <cell r="C120" t="str">
            <v>PE2356</v>
          </cell>
          <cell r="D120" t="str">
            <v>R0096</v>
          </cell>
          <cell r="E120" t="str">
            <v>32</v>
          </cell>
          <cell r="F120" t="str">
            <v>10. New nozzle for impact sprinkler that replaces existing worn nozzle on wheel-line or hand-line systems</v>
          </cell>
          <cell r="G120">
            <v>75</v>
          </cell>
          <cell r="K120" t="str">
            <v>Irrigation</v>
          </cell>
          <cell r="L120">
            <v>2009</v>
          </cell>
          <cell r="M120" t="str">
            <v/>
          </cell>
          <cell r="T120">
            <v>0</v>
          </cell>
          <cell r="U120">
            <v>0</v>
          </cell>
          <cell r="V120">
            <v>1</v>
          </cell>
          <cell r="W120" t="str">
            <v/>
          </cell>
          <cell r="X120">
            <v>0</v>
          </cell>
          <cell r="Y120">
            <v>75</v>
          </cell>
          <cell r="Z120">
            <v>0</v>
          </cell>
        </row>
        <row r="121">
          <cell r="A121" t="str">
            <v>10. new nozzle for impact sprinkler</v>
          </cell>
          <cell r="B121" t="str">
            <v>2526</v>
          </cell>
          <cell r="C121" t="str">
            <v>PE2366</v>
          </cell>
          <cell r="D121" t="str">
            <v>R0097</v>
          </cell>
          <cell r="E121" t="str">
            <v>32</v>
          </cell>
          <cell r="F121" t="str">
            <v>10. New nozzle for impact sprinkler that replaces existing worn nozzle on wheel-line or hand-line systems</v>
          </cell>
          <cell r="G121">
            <v>128</v>
          </cell>
          <cell r="K121" t="str">
            <v>Irrigation</v>
          </cell>
          <cell r="L121">
            <v>2009</v>
          </cell>
          <cell r="M121" t="str">
            <v/>
          </cell>
          <cell r="T121">
            <v>0</v>
          </cell>
          <cell r="U121">
            <v>0</v>
          </cell>
          <cell r="V121">
            <v>1</v>
          </cell>
          <cell r="W121" t="str">
            <v/>
          </cell>
          <cell r="X121">
            <v>0</v>
          </cell>
          <cell r="Y121">
            <v>128</v>
          </cell>
          <cell r="Z121">
            <v>0</v>
          </cell>
        </row>
        <row r="122">
          <cell r="A122" t="str">
            <v>10. new nozzle for impact sprinkler</v>
          </cell>
          <cell r="B122" t="str">
            <v>2527</v>
          </cell>
          <cell r="C122" t="str">
            <v>PE2368</v>
          </cell>
          <cell r="D122" t="str">
            <v>R0098</v>
          </cell>
          <cell r="E122" t="str">
            <v>32</v>
          </cell>
          <cell r="F122" t="str">
            <v>10. New nozzle for impact sprinkler that replaces existing worn nozzle on wheel-line or hand-line systems</v>
          </cell>
          <cell r="G122">
            <v>30</v>
          </cell>
          <cell r="K122" t="str">
            <v>Irrigation</v>
          </cell>
          <cell r="L122">
            <v>2009</v>
          </cell>
          <cell r="M122" t="str">
            <v/>
          </cell>
          <cell r="T122">
            <v>0</v>
          </cell>
          <cell r="U122">
            <v>0</v>
          </cell>
          <cell r="V122">
            <v>1</v>
          </cell>
          <cell r="W122" t="str">
            <v/>
          </cell>
          <cell r="X122">
            <v>0</v>
          </cell>
          <cell r="Y122">
            <v>30</v>
          </cell>
          <cell r="Z122">
            <v>0</v>
          </cell>
        </row>
        <row r="123">
          <cell r="A123" t="str">
            <v>10. new nozzle for impact sprinkler</v>
          </cell>
          <cell r="B123" t="str">
            <v>2528</v>
          </cell>
          <cell r="C123" t="str">
            <v>PE2371</v>
          </cell>
          <cell r="D123" t="str">
            <v>R0099</v>
          </cell>
          <cell r="E123" t="str">
            <v>32</v>
          </cell>
          <cell r="F123" t="str">
            <v>10. New nozzle for impact sprinkler that replaces existing worn nozzle on wheel-line or hand-line systems</v>
          </cell>
          <cell r="G123">
            <v>30</v>
          </cell>
          <cell r="K123" t="str">
            <v>Irrigation</v>
          </cell>
          <cell r="L123">
            <v>2009</v>
          </cell>
          <cell r="M123" t="str">
            <v/>
          </cell>
          <cell r="T123">
            <v>0</v>
          </cell>
          <cell r="U123">
            <v>0</v>
          </cell>
          <cell r="V123">
            <v>1</v>
          </cell>
          <cell r="W123" t="str">
            <v/>
          </cell>
          <cell r="X123">
            <v>0</v>
          </cell>
          <cell r="Y123">
            <v>30</v>
          </cell>
          <cell r="Z123">
            <v>0</v>
          </cell>
        </row>
        <row r="124">
          <cell r="A124" t="str">
            <v>10. new nozzle for impact sprinkler</v>
          </cell>
          <cell r="B124" t="str">
            <v>2530</v>
          </cell>
          <cell r="C124" t="str">
            <v>PE2381</v>
          </cell>
          <cell r="D124" t="str">
            <v>R0101</v>
          </cell>
          <cell r="E124" t="str">
            <v>32</v>
          </cell>
          <cell r="F124" t="str">
            <v>10. New nozzle for impact sprinkler that replaces existing worn nozzle on wheel-line or hand-line systems</v>
          </cell>
          <cell r="G124">
            <v>30</v>
          </cell>
          <cell r="K124" t="str">
            <v>Irrigation</v>
          </cell>
          <cell r="L124">
            <v>2009</v>
          </cell>
          <cell r="M124" t="str">
            <v/>
          </cell>
          <cell r="T124">
            <v>0</v>
          </cell>
          <cell r="U124">
            <v>0</v>
          </cell>
          <cell r="V124">
            <v>1</v>
          </cell>
          <cell r="W124" t="str">
            <v/>
          </cell>
          <cell r="X124">
            <v>0</v>
          </cell>
          <cell r="Y124">
            <v>30</v>
          </cell>
          <cell r="Z124">
            <v>0</v>
          </cell>
        </row>
        <row r="125">
          <cell r="A125" t="str">
            <v>10. new nozzle for impact sprinkler</v>
          </cell>
          <cell r="B125" t="str">
            <v>2531</v>
          </cell>
          <cell r="C125" t="str">
            <v>PE2409</v>
          </cell>
          <cell r="D125" t="str">
            <v>R0106</v>
          </cell>
          <cell r="E125" t="str">
            <v>32</v>
          </cell>
          <cell r="F125" t="str">
            <v>10. New nozzle for impact sprinkler that replaces existing worn nozzle on wheel-line or hand-line systems</v>
          </cell>
          <cell r="G125">
            <v>12</v>
          </cell>
          <cell r="K125" t="str">
            <v>Irrigation</v>
          </cell>
          <cell r="L125">
            <v>2009</v>
          </cell>
          <cell r="M125" t="str">
            <v/>
          </cell>
          <cell r="T125">
            <v>0</v>
          </cell>
          <cell r="U125">
            <v>0</v>
          </cell>
          <cell r="V125">
            <v>1</v>
          </cell>
          <cell r="W125" t="str">
            <v/>
          </cell>
          <cell r="X125">
            <v>0</v>
          </cell>
          <cell r="Y125">
            <v>12</v>
          </cell>
          <cell r="Z125">
            <v>0</v>
          </cell>
        </row>
        <row r="126">
          <cell r="A126" t="str">
            <v>10. new nozzle for impact sprinkler</v>
          </cell>
          <cell r="B126" t="str">
            <v>2737</v>
          </cell>
          <cell r="C126" t="str">
            <v>PE2422</v>
          </cell>
          <cell r="D126" t="str">
            <v>R0110</v>
          </cell>
          <cell r="E126" t="str">
            <v>32</v>
          </cell>
          <cell r="F126" t="str">
            <v>10. New nozzle for impact sprinkler that replaces existing worn nozzle on wheel-line or hand-line systems</v>
          </cell>
          <cell r="G126">
            <v>280</v>
          </cell>
          <cell r="K126" t="str">
            <v>Irrigation</v>
          </cell>
          <cell r="L126">
            <v>2009</v>
          </cell>
          <cell r="M126" t="str">
            <v/>
          </cell>
          <cell r="T126">
            <v>0</v>
          </cell>
          <cell r="U126">
            <v>0</v>
          </cell>
          <cell r="V126">
            <v>1</v>
          </cell>
          <cell r="W126" t="str">
            <v/>
          </cell>
          <cell r="X126">
            <v>0</v>
          </cell>
          <cell r="Y126">
            <v>280</v>
          </cell>
          <cell r="Z126">
            <v>0</v>
          </cell>
        </row>
        <row r="127">
          <cell r="A127" t="str">
            <v>10. new nozzle for impact sprinkler</v>
          </cell>
          <cell r="B127" t="str">
            <v>2745</v>
          </cell>
          <cell r="C127" t="str">
            <v>PE2424</v>
          </cell>
          <cell r="D127" t="str">
            <v>R0111</v>
          </cell>
          <cell r="E127" t="str">
            <v>32</v>
          </cell>
          <cell r="F127" t="str">
            <v>10. New nozzle for impact sprinkler that replaces existing worn nozzle on wheel-line or hand-line systems</v>
          </cell>
          <cell r="G127">
            <v>112</v>
          </cell>
          <cell r="K127" t="str">
            <v>Irrigation</v>
          </cell>
          <cell r="L127">
            <v>2009</v>
          </cell>
          <cell r="M127" t="str">
            <v/>
          </cell>
          <cell r="T127">
            <v>0</v>
          </cell>
          <cell r="U127">
            <v>0</v>
          </cell>
          <cell r="V127">
            <v>1</v>
          </cell>
          <cell r="W127" t="str">
            <v/>
          </cell>
          <cell r="X127">
            <v>0</v>
          </cell>
          <cell r="Y127">
            <v>112</v>
          </cell>
          <cell r="Z127">
            <v>0</v>
          </cell>
        </row>
      </sheetData>
      <sheetData sheetId="17">
        <row r="5">
          <cell r="A5" t="str">
            <v>Geoff Wickes, NEEA - 5/3/2018</v>
          </cell>
          <cell r="O5" t="str">
            <v>Tom Osborn, BPA - Agricultural Technical Lead - 4/25/2018 and 5/29/2018</v>
          </cell>
          <cell r="AC5" t="str">
            <v>Richard Stroh, BPA - Email 8/1/2018</v>
          </cell>
        </row>
        <row r="6">
          <cell r="A6" t="str">
            <v>Senior Product Manager Emerging Technologies, NEEA</v>
          </cell>
          <cell r="O6" t="str">
            <v>with Carrie Cobb, BPA - Market Research Lead - on 4/25</v>
          </cell>
          <cell r="AC6" t="str">
            <v>Mechanical Engineer</v>
          </cell>
        </row>
        <row r="7">
          <cell r="A7" t="str">
            <v xml:space="preserve">GWickes@neea.org </v>
          </cell>
          <cell r="O7" t="str">
            <v>trosborn@bpa.gov</v>
          </cell>
          <cell r="Q7" t="str">
            <v xml:space="preserve">clcobb@bpa.gov </v>
          </cell>
          <cell r="AC7" t="str">
            <v>rcstroh@bpa.gov</v>
          </cell>
        </row>
        <row r="9">
          <cell r="A9" t="str">
            <v>1b. Are there any measures included in the Seventh Power Plan that should be removed and why?</v>
          </cell>
          <cell r="O9" t="str">
            <v>1b. Are there any measures included in the Seventh Power Plan that should be removed and why?</v>
          </cell>
          <cell r="AC9" t="str">
            <v>· Please clarify why the Thunderbird hub/hub gasket is unitized as 3.2 hubs per acre, when other gaskets for wheel/hand line systems are unitized as 1.6 units per acre. 
 The Thunderbird wheel lines are dismantled at each wheel.  See the Thunderbird Wheel Hub ModularPicture.pdf photo.  There is a large rubber gasket inside the wheel that the pipe, which also acts as the axle, fits snuggly into.  There is a gasket on both sides of the wheel, so you have two gaskets per wheel.  This allows the wheel line to follow the contour of the land.  So, if you have hilly terrain, the hubs allow the wheels to stay on the ground.  Other manufacturer’s do not use this system.  For other manufacturer’s, the pipe is centered on the wheel hub and coupled at the sprinkler as shown in the photo by Wade Rain.   This type of coupling system limits the line’s ability to follow terrain contours.  You can see how the pipe is slightly canted in the “Thunderbird Hub” photo.  Photo “Thunderbird Wheel 2” shows the entire wheel and hub assembly.  The shaft you see that runs parallel to the axle pipe, is the drive shaft.  This drive shaft is connected to the drive wheel.  A portable gasoline engine attaches to the end of the shaft to turn the drive wheels and thus be able to move the wheel line through the field to the next irrigation set.  The motor attachment assembly is shown in the “Thunderbird Connector 4” photo.  In photo “Thunderbird Wheel Line”, you can see the Thunderbird wheel line drive in the distance.  Since there are two hub gaskets per wheel, the number is doubled per acre as compared to drain gaskets or a gasket between pipes in a hand line.  For these gaskets, there is only one gasket per pipe instead of two.  This is way more than you wanted to know, but thought it might be helpful to understand how a Thunderbird wheel line works.  You generally only see them in California and southern Idaho.</v>
          </cell>
        </row>
        <row r="10">
          <cell r="A10" t="str">
            <v xml:space="preserve">We are moving away from wheel lines to center or longitudinal pivots, but there is still savings potential for wheel lines. Also, there is potential to increase productivity. Wheel lines are expensive and farmers are overirrigating when they use them. </v>
          </cell>
          <cell r="O10" t="str">
            <v xml:space="preserve"> ○ SIS as a measure for BPA expires December of 2018. So, we still have it in our measure set for this irrigation season due to our program rules and how the implementation manual operates. But due to the results of the BPA SIS pilot, which shows close to no difference in delta water savings between those that participate in SIS and those that don’t, the SIS measure is going away. It was quite surprising, though there were some issues with monitoring equipment and methodology. Nonetheless the SIS measure is going away. (Tom O)
 ○ What’s happening with various vendors is that they are offering different technologies to integrate weather data, soil moisture monitoring, a capture of additional water, and then the manufacturers of center pivots have integrated this data into their mobile platforms into their equipment. It’s happening as we speak and that is why we found that SIS participant and non-SIS participants in our SIS study did not differ but they were all saving water and energy. So, when I hear let’s just have another version of SIS and as much as I like SIS and have been a strong promoter of SIS and would love to see it continue, I just don’t see another expensive study happening to prove that this new advanced version is going to be any different than the professional that go out into the fields and create reports for the farmers. Our study shows that there is no difference from farmers just winging it or copying the neighbors. (Tom O)
 ○ It sounds like SIS is basically just common practice. (Tina J)
 ○ No, I’m not sure it is common practice, because people that are not participating in SIS actively are certainly not doing as good of an irrigation job compared to someone using SIS but the difference in the water pumped is not that different. The crop quality may be different though (yield, percent protein, diseases, mold, etc.) and we were only looking at water. (TO)
 ○ So, there may be non-energy benefits associated with SIS. (TJ)
 ○ Yes, but those are extremely hard to quantify. (TO)
Are there specific measure(s) that you believe require a more detailed review and update before they can be included in the Eighth Power Plan?
 ○ The LESA measure isn’t currently taking into consideration: 1) soil type, and 2) topography. (CC)
 ○ We need to know the type of field. The type of field affects the applicability. What assumptions did they use in the 7th PP? Where is LESA applicable? (CC)
 ○ Rolling terrain and soil type greatly affect the applicability of LESA. (TO)
 ○ The potential may be overestimated or may be underestimated, we just don’t know because we don’t know the type of fields that LESA was applied to in the 7th PP. (TO)
 ○ You should review the new SIS Study and the productivity metrics for irrigation (from June 2017). And FRIS data. (CC)
 ○ SIS Study has information for “within the Basin” and for “outside of the Basin” and this can be used to develop applicability. (https://www.bpa.gov/EE/Sectors/agriculture/Documents/Agriculture_and_SIS_Portfolio_of_Work_2017-06-30_FINAL.pdf ) Flag for Council. (TO)
 ○ BPA has field test data for LESA. We don’t have this data readily available but can be shared qualitatively in discussions with the Council. Flag for Tina. (CC)
 ○ BPA staff has market data to share but we need to review the measure workbooks in detail first and then ask them specific questions so they can get the data that we need from the “stuff underneath the report.” (CC)
 ○ BPA has already shared the MESA-LESA 3-year study results and PIF forms with Ryan Firestone, so reach out to him. (TO)
 ○ BPA has about ~41 PIF forms on LESA but they are all from one specific area in Idaho where they are water short and under mandate to reduce water pumping so most of them showed no energy savings. They operate the center pivots in the same way as they did before. They did not change the pressure settings or flow rates. (TO)
 ○ Early adopters of LESA are going to be motivated by getting more water into the soil (less water lost to evaporation and wind) rather than water savings. (TO)
 ○ There are also other challenges with LESA; it must be used on the right terrain and soil.
 ○ BPA’s lawyers have advised us not tell farmers where to employ the LESA irrigation strategies because if the crop fails they can say that your map told us we could use the strategy and now BPA owes me money for failed crop. (TO)
</v>
          </cell>
        </row>
        <row r="11">
          <cell r="A11" t="str">
            <v xml:space="preserve">o It is amazing that there are so many 7PP measures, and we still don’t get a lot of savings in the agriculture sector. One reason is that farmers don’t like to be told what to do. They are smart, but they are slow to change. Farmers don’t like things coming from the West side (e.g., farmers don’t like when 206ers and 503ers tell them what to do). </v>
          </cell>
        </row>
        <row r="13">
          <cell r="A13" t="str">
            <v xml:space="preserve">4. Are you aware of any emerging technologies or measures that would be applicable to the Pacific Northwest agriculture sector and that we should consider for the forthcoming Eighth Power Plan? What emerging technologies or measure(s)? </v>
          </cell>
        </row>
        <row r="14">
          <cell r="A14" t="str">
            <v xml:space="preserve">o I believe there is a strong element for Commissioning/Retro-Commissioning or Continuous Improvement for Pivots. (4th or 5th in the list in the back) 
o Pump upgrades in general are important. 
o I also believe there is a need for Whole Farm Commissioning. Farms get built out over time when they need more water and they don’t necessarily design for optimizing water distribution. NEEA is starting a Whole Farm Commissioning Program. </v>
          </cell>
          <cell r="AC14" t="str">
            <v>· What does the pump retrofit work that you reference entail? Is it typically just a VFD addition, or impeller trimming/other adjustment, or full pump/motor replacement? 
In regards to what is involved in conversion to a lower pressure wheel line or hand line sprinkler system, the irrigator can consider different options  with regards to the pump and operation of the sprinkler laterals to achieve the energy efficiency.  Conversion to a lower pressure hand or wheel line system first requires a change in set spacing.  Typical spacing between sets in the northwest is generally 50 or 60 feet, while the spacing between sprinklers along the sprinkler lateral is most commonly 40 feet.  Manufacturers offer different sprinkler models and each model can be installed with an array of nozzle sizes.  The range of proper operating pressures is dependent upon the sprinkler model and nozzle size installed.  However, as pressures are lowered, the sprinkler spacing must be reduced to provide adequate irrigation sprinkler overlap since the stream throw from the sprinkler nozzle also drops.  For practical purposes, the minimum sprinkler spacing will be 40 feet x 40 feet.  To reduce the spacing between sets from 50 or 60 feet to 40 feet will require a change in management.  Since it will now take more sets to irrigate the field, either the irrigator will need to increase the number of moves per day to get across the field in the same amount of time or add more laterals.  If you add more laterals, the nozzle size should be reduced on all laterals so the flow requirements of the irrigation system are similar as with the original number of sprinkler laterals.  Reducing the nozzle size is generally not a problem, since with 40 feet between sets we are now only irrigating 1600 sqft per sprinkler versus 2000 sqft or 2400 sqft per sprinkler with 50 or 60 foot spacings between sets.  With the changes made in the sprinkler laterals, we can now focus on the changes needed at the pump to take advantage of being able to reduce the pressure of the irrigation system.  To reduce pump pressure, the options are to trim the pump impeller, replace the pump, valve back the pump, or install a variable speed drive.  Depending upon the design of the pump and how it performs, some pumps can be simply be valved back and energy savings can be achieved.  Instead of valving back the pump, greater energy savings can be gained by trimming the impeller.  If this is a well pump, it might be less expensive to install a variable speed drive as the cost for pulling and resetting a well pump to work on it may be excessive.  Finally, installing a new pump for the new design conditions is an option for irrigators interested in achieving the greatest efficiency.
 </v>
          </cell>
        </row>
        <row r="15">
          <cell r="A15" t="str">
            <v xml:space="preserve">o Deficit Irrigation should be in 8PP, but SIS can probably be removed since it has been deactivated by RTF. Deficit Irrigation will be hard to push though, but it is important. 
o Irrigation Decision Support System (DSS) takes data from soil, moisture, weather, crop values, growth levels, and integrates this into an optimal irrigation package for pivots using variable speed. There are standards in place now. We need to accelerate this concept. We started this back in 2011-2015 with Charles Hillyer at Oregon State University, but it wasn’t ready for 7PP. However, we are getting back to it now and should be included in the 8PP. Talk to Dr. Charles Hillyer at Univ. of Texas; he is an advocate of PAIL (Precision Ag Irrigation Language).  Also talk to Dan Berne. Charles Hillyer and Dan Bernes both know DSS and PAIL. Measure characterization of DSS may not be easy, but data collection and drones should make this measure feasible. </v>
          </cell>
        </row>
        <row r="16">
          <cell r="A16" t="str">
            <v xml:space="preserve">Water Rights are a big issue in the West. It comes down to “use it or lose it.” If you use it, you will always maintain it. There are farmers that pull water out of an irrigation ditch, and then dump right back in. “Whiskey is for drinking, and water is for fighting.” This is not a measure; it is a policy change. NEEA and ETO cannot work on water rights, but the Council can. The state needs to change the water right policy. This is a job for the Council. Flag for Council. </v>
          </cell>
        </row>
        <row r="18">
          <cell r="A18" t="str">
            <v xml:space="preserve">Other Comments: </v>
          </cell>
          <cell r="AC18" t="str">
            <v>· Would you happen to have updated costs per acre for this retrofit (new wheel/hand lines, pump retrofit work, and nozzles), or are the costs you quoted in 2003 still generally applicable: 
Regarding costs for the retrofit discussed in Question 3, the majority of the cost will likely be in labor if the irrigator decides to have the pipe movers simply move the laterals more often.  If the pipe movers add one additional move per day, this adds about 1 hour per 160 acres.  At $10/hour, this may add an additional $1200/year in labor costs with wheel lines.  If the irrigator decides to install additional wheel lines to be able to reduce the spacing, figure two additional wheel lines per 160 acres will be needed.  The cost for a new wheel line is now around $25,000/lateral or $50,000.  The changes of the pump can be minimal to rather expensive depending upon the size of the pump and whether one is pumping from a canal or pumping from a well.  If the irrigator has an existing control valve at the pump, the pump may be regulated to a lower pressure with the existing valve and not incur an expense for changes at the pump.  If the irrigator decides to trim the pump impeller, this can run a few hundred dollars.  Setting up to pull and reset a well pump is around $4000.  For irrigators deciding a new pump is the best option, plan on costs running between $100 to $200/horsepower with the higher pressure pumps less costly per horsepower.  Cost for a variable frequency drive will generally run between $150/horsepower to $200/horsepower.  The smaller the horsepower, the more expensive.  This includes the cost for mitigating power quality issues.  For larger drives above 200 horsepower, the cost may run closer to $125/horsepower.  The cost for a filter is about 1/3 of the cost for the drive installation.  There may be some instances where a filter is not needed or required.  For example, not installing a filter for a 10 or 15 hp drive is likely not going to cause an issue, but certain utilities have no exceptions.  Yaskawa manufactures a variable speed drive that meets the IEEE 519 power quality guideline; i.e., no external filter is required.  We have seen a few of these drives installed; however, the current cost for the drive is more than the cost for an equivalent conventional drive and filter combined.  The cost of this drive is just over $200/horsepower.</v>
          </cell>
        </row>
        <row r="19">
          <cell r="A19" t="str">
            <v>o Climate change will have a big impact on the agriculture sector. 
o No-till practice will be important because less water is used with no-till practice. Now 15-20% of farmers are doing no-till practice, while earlier only 4% used it. 
o Crops will move north - we will experience raising temperatures and lower humidity levels in the summer.
o Napa Valley will move north and east. 
o Some of the CA crops will move into OR and WA.
o Some of the crops in OR, like spring wheats, will move north into Canada.
o Alfalfa yields will be going down.
o Berry fruits (blueberry, raspberry), growing in trellis form are managed well
 o We will see an Increase in overhead cooling and a higher usage of water</v>
          </cell>
        </row>
        <row r="21">
          <cell r="O21" t="str">
            <v xml:space="preserve">4. Are you aware of any emerging technologies or measures that would be applicable to the Pacific Northwest agriculture sector and that we should consider for the forthcoming Eighth Power Plan? What emerging technologies or measure(s)? </v>
          </cell>
        </row>
        <row r="22">
          <cell r="O22" t="str">
            <v xml:space="preserve"> ○ Regarding VRI, we have had a couple of custom projects. Both of those custom projects have shown that the B/C ratio is less than 0.5 so it unlikely that VRI will be a cost-effective measure. The equipment, the programming, and the ground work that is needed to develop a prescription and implementation of those strategies just keep adding up. And NEEA found the same. (TO)
 ○ VRI basically can control 50-120 sprinklers individually by having individually controlled valves turn on/off as they transverse the field and are programmed to do. (TO)
 ○ VSI basically just speeds up and slows down the pivot so the application rate of the pivot is the same so it still delivers 900 gallons/minute, or whatever it is, it just delivers less water delivered on that pie wedge. But there are not that many fields that are pie wedge appropriate. So, VSI is primarily used on 2 or 3-crop fields. BPA is not in the mode to promote multiple crops because what they are doing is just trying to manage the amount of water that they have. (TO)
 ○ VSI is a lower cost effort but it really is ideal for multiple crops and we just don’t have many center pivot fields with multiple crops. And we are not here to promote multiple crops and crops mixes. (TO)
 ○ All the center pivot manufacturers have the capability to include VSI control panel to accommodate variable speed. Many center pivots already have this panel. If you include a new panel that has an iPad in it, the cost is about $5000 so it isn’t very expensive but we are not sure that there are any energy savings associated with VSI. 
 ○ I still think VRI has promise. I only have two data points. Are there areas where there are more energy savings to make this pencil out? The costs are anywhere from $25,000 to $50,000 for a center pivot to be equipped with zonal VRI. 
 ○ NEEA and BPA are interested in promoting VRI, but we need data. (TO)
 ○ The savings for our two custom VRI projects were good but the incentives were $5,000 per pivot so that’s what I was programming in to our draft BPA qualified measure list but we are not going to be able to get it in for October but it is still on my wish list for April. Maybe I can get some more data points from manufacturers to support the B/C documentation effort. (TO)
</v>
          </cell>
        </row>
        <row r="23">
          <cell r="AC23" t="str">
            <v xml:space="preserve">· Would you happen to have any data, estimates, or opinions regarding the conversion of wheel/hand line systems to low or medium pressure linear move irrigation systems, as well as the possible applicability of such a conversion?
I do see quite a few conversions to pivots from wheel lines and hand lines.  In fact, I am working with a farmer right now for making such a conversion.  Between pivots and linear moves, I would guess linear moves might make up about 5% of the sales.  I have not personally seen any BPA program participation to specifically convert wheel lines/hand lines to linear moves, but I am sure there have been such conversions as I see a hand full of linear moves where the land was likely irrigated earlier by wheel lines.  Cost, reliability and maintenance issues have limited the popularity of linear moves.  We see a pressure savings for conversion to pivots of about 15 psi.  An additional 10 psi to 15 psi of savings is possible if one converts to LESA.  For a quarter mile pivot, this can mean about 10 hp (7.5 kW) in power savings or 15 hp (10 kW) to 18 hp (14 kW) in power savings for LESA.  Cost for the conversion will run about $80,000 for a quarter mile basic pivot.  This price also includes a new pump, trade-in of the existing wheel lines and new mainline to the pivot.  This cost is also the cost before the impact of the tariffs hit.  Since pivots are made from steel, we expect a significant increase in cost for new pivots.  With a pivot, expect a savings of $3000 in labor per year.   Conversions to lateral moves run about 30% more. 
</v>
          </cell>
        </row>
        <row r="32">
          <cell r="AC32" t="str">
            <v>· Would you happen to have any data or estimates regarding the distribution of irrigation pump sizes, and the typical distribution of constant vs. variable speed irrigation pumps in the existing market?
Below is a table from a couple databases for the pump sizes I have looked at over the years for BPA customer utilities and irrigation districts receiving Reserved Power.  The distribution is mostly southern Idaho with a few pumps scattered in from other areas in the region.  Regarding your question on the percentage of pumps with variable speed, I really don’t have a statistical percentage; however, based upon discussions with area utilities,  I would estimate it might be in the 10% range.</v>
          </cell>
        </row>
        <row r="37">
          <cell r="AC37" t="str">
            <v>HP</v>
          </cell>
          <cell r="AD37" t="str">
            <v>Count Database 1</v>
          </cell>
          <cell r="AE37" t="str">
            <v>Count Database 2</v>
          </cell>
          <cell r="AF37" t="str">
            <v>Combined Total</v>
          </cell>
          <cell r="AG37" t="str">
            <v>Percentage</v>
          </cell>
        </row>
        <row r="38">
          <cell r="O38" t="str">
            <v xml:space="preserve"> ○ I doubt that VRI would be a measure in the 8PP. Just to let the Council know, I would push back on including VRI in the 8PP. As much as I love the technology and how people can control their whole farm from their cell phone, the technology experiment in ag has just skyrocketed with the capabilities that are available on multi-based platforms, but is there anything that BPA needs to do to make it happen faster? No, it will happen anyways. (TO)
 ○ Even if NEEA says VRI shows great promise, his experiment showed it wasn’t cost-effective. The costs are fixed. They may come down a little, but they are not coming down to half. (TO)
 ○ Mobile-based controls platforms are skyrocketing for large-scale farming. Anything that BPA needs to do to make it happen faster? No, it's happening anyways. 
 ○ I work with Troy on his phone version of the irrigation scheduling app. It is basically a checkbook method where you, the grower, must input how much water you put down in your field every day. The app looks at the weather for the past and then calculates the evapotranspiration for the field. The app tells you “hey you are good”, “hey you need to put another inch.” It is probably more suitable to smaller farms. It takes effort and dedication to input the data. 
 ○ We are also thinking about pump timers for hand lines and wheel lines. We incentivized twist timers many years ago. Pump timer technology today is better with integrated internet/Wi-Fi platform. For example, Nelson Irrigation and Agsense have products. I am trying to get them in the April Implementation. (TO)
 ○ Should these timers be in the 8PP? (Cecilia Arzbaecher, AEG)
 ○ No, I didn’t say that they should. I am not sure how big the market is, and how many small farms that are irrigated out there. (TO)
 ○ Why shouldn’t the timers be in the 8PP? (TJ)
 ○ It is probably such a small number so the savings wouldn’t even add up to 1 MW over 20 years. The larger farms have already integrated their entire operation to either a mobile platform or a desktop and we don’t need to be in that space telling what product is right because it is changing so quickly. For example, Nelson Irrigation is updating their center pivots every month. The timers would be for smaller farms. (TO)
 ○ We offer VFDs on pumps, specially turbine-style pumps as they offer the most savings. Also thinking about offering incentives on centrifugal pumps; they provide about half the savings as the turbine-style pumps but we can still make it cost-effective. We also want new construction to have VFDs. So, VFDs on all irrigation pump. Currently, the centrifugal and turbine are custom measures, but we hope that centrifugal pump VFD; new construction VFD pump for both centrifugal and turbine; pump efficiency upgrade (new pump) are getting into the April BPA qualified measure list. (TO)
 ○ BPA will continue to offer our sprinkler hardware and gasket measures, but we differ from RTF as they looked at it from a regional planning and maintenance perspective while we look at it as retrofit. So, replacing leaking gaskets and worn-out sprinklers to new. RTF is changing their program to match ours. (TO)
 ○ Every orchard basically has a mister already, and I don’t think there would be any energy savings potential there as they have already figured it out. (TO)
- I have about 100 custom projects and I extracted data that related to centrifugal pumps, new construction, and pup efficiency upgrade from those custom projects. But I cannot share this data because it hasn’t been scrubbed.  (TO)</v>
          </cell>
          <cell r="AC38">
            <v>5</v>
          </cell>
          <cell r="AD38">
            <v>1</v>
          </cell>
          <cell r="AE38">
            <v>3</v>
          </cell>
          <cell r="AF38">
            <v>4</v>
          </cell>
          <cell r="AG38">
            <v>3.0000000000000001E-3</v>
          </cell>
        </row>
        <row r="39">
          <cell r="AC39">
            <v>7.5</v>
          </cell>
          <cell r="AD39">
            <v>2</v>
          </cell>
          <cell r="AE39">
            <v>2</v>
          </cell>
          <cell r="AF39">
            <v>4</v>
          </cell>
          <cell r="AG39">
            <v>3.0000000000000001E-3</v>
          </cell>
        </row>
        <row r="40">
          <cell r="AC40">
            <v>10</v>
          </cell>
          <cell r="AD40">
            <v>5</v>
          </cell>
          <cell r="AE40">
            <v>6</v>
          </cell>
          <cell r="AF40">
            <v>11</v>
          </cell>
          <cell r="AG40">
            <v>0.01</v>
          </cell>
        </row>
        <row r="41">
          <cell r="AC41">
            <v>15</v>
          </cell>
          <cell r="AD41">
            <v>10</v>
          </cell>
          <cell r="AE41">
            <v>15</v>
          </cell>
          <cell r="AF41">
            <v>25</v>
          </cell>
          <cell r="AG41">
            <v>2.1999999999999999E-2</v>
          </cell>
        </row>
        <row r="42">
          <cell r="AC42">
            <v>20</v>
          </cell>
          <cell r="AD42">
            <v>27</v>
          </cell>
          <cell r="AE42">
            <v>30</v>
          </cell>
          <cell r="AF42">
            <v>57</v>
          </cell>
          <cell r="AG42">
            <v>4.9000000000000002E-2</v>
          </cell>
        </row>
        <row r="43">
          <cell r="AC43">
            <v>25</v>
          </cell>
          <cell r="AD43">
            <v>31</v>
          </cell>
          <cell r="AE43">
            <v>21</v>
          </cell>
          <cell r="AF43">
            <v>52</v>
          </cell>
          <cell r="AG43">
            <v>4.4999999999999998E-2</v>
          </cell>
        </row>
        <row r="44">
          <cell r="AC44">
            <v>30</v>
          </cell>
          <cell r="AD44">
            <v>43</v>
          </cell>
          <cell r="AE44">
            <v>32</v>
          </cell>
          <cell r="AF44">
            <v>75</v>
          </cell>
          <cell r="AG44">
            <v>6.5000000000000002E-2</v>
          </cell>
        </row>
        <row r="45">
          <cell r="AC45">
            <v>40</v>
          </cell>
          <cell r="AD45">
            <v>54</v>
          </cell>
          <cell r="AE45">
            <v>50</v>
          </cell>
          <cell r="AF45">
            <v>104</v>
          </cell>
          <cell r="AG45">
            <v>0.09</v>
          </cell>
        </row>
        <row r="46">
          <cell r="AC46">
            <v>50</v>
          </cell>
          <cell r="AD46">
            <v>45</v>
          </cell>
          <cell r="AE46">
            <v>60</v>
          </cell>
          <cell r="AF46">
            <v>105</v>
          </cell>
          <cell r="AG46">
            <v>9.0999999999999998E-2</v>
          </cell>
        </row>
        <row r="47">
          <cell r="AC47">
            <v>60</v>
          </cell>
          <cell r="AD47">
            <v>17</v>
          </cell>
          <cell r="AE47">
            <v>31</v>
          </cell>
          <cell r="AF47">
            <v>48</v>
          </cell>
          <cell r="AG47">
            <v>4.1000000000000002E-2</v>
          </cell>
        </row>
        <row r="48">
          <cell r="AC48">
            <v>75</v>
          </cell>
          <cell r="AD48">
            <v>31</v>
          </cell>
          <cell r="AE48">
            <v>71</v>
          </cell>
          <cell r="AF48">
            <v>102</v>
          </cell>
          <cell r="AG48">
            <v>8.7999999999999995E-2</v>
          </cell>
        </row>
        <row r="49">
          <cell r="AC49">
            <v>100</v>
          </cell>
          <cell r="AD49">
            <v>39</v>
          </cell>
          <cell r="AE49">
            <v>88</v>
          </cell>
          <cell r="AF49">
            <v>127</v>
          </cell>
          <cell r="AG49">
            <v>0.11</v>
          </cell>
        </row>
        <row r="50">
          <cell r="AC50">
            <v>125</v>
          </cell>
          <cell r="AD50">
            <v>11</v>
          </cell>
          <cell r="AE50">
            <v>38</v>
          </cell>
          <cell r="AF50">
            <v>49</v>
          </cell>
          <cell r="AG50">
            <v>4.2000000000000003E-2</v>
          </cell>
        </row>
        <row r="51">
          <cell r="AC51">
            <v>150</v>
          </cell>
          <cell r="AD51">
            <v>12</v>
          </cell>
          <cell r="AE51">
            <v>60</v>
          </cell>
          <cell r="AF51">
            <v>72</v>
          </cell>
          <cell r="AG51">
            <v>6.2E-2</v>
          </cell>
        </row>
        <row r="52">
          <cell r="AC52">
            <v>200</v>
          </cell>
          <cell r="AD52">
            <v>4</v>
          </cell>
          <cell r="AE52">
            <v>44</v>
          </cell>
          <cell r="AF52">
            <v>48</v>
          </cell>
          <cell r="AG52">
            <v>4.1000000000000002E-2</v>
          </cell>
        </row>
        <row r="53">
          <cell r="AC53">
            <v>250</v>
          </cell>
          <cell r="AD53">
            <v>3</v>
          </cell>
          <cell r="AE53">
            <v>61</v>
          </cell>
          <cell r="AF53">
            <v>64</v>
          </cell>
          <cell r="AG53">
            <v>5.5E-2</v>
          </cell>
        </row>
        <row r="54">
          <cell r="AC54">
            <v>300</v>
          </cell>
          <cell r="AD54">
            <v>5</v>
          </cell>
          <cell r="AE54">
            <v>46</v>
          </cell>
          <cell r="AF54">
            <v>51</v>
          </cell>
          <cell r="AG54">
            <v>4.3999999999999997E-2</v>
          </cell>
        </row>
        <row r="55">
          <cell r="AC55">
            <v>350</v>
          </cell>
          <cell r="AD55">
            <v>2</v>
          </cell>
          <cell r="AE55">
            <v>21</v>
          </cell>
          <cell r="AF55">
            <v>23</v>
          </cell>
          <cell r="AG55">
            <v>0.02</v>
          </cell>
        </row>
        <row r="56">
          <cell r="AC56">
            <v>400</v>
          </cell>
          <cell r="AD56">
            <v>4</v>
          </cell>
          <cell r="AE56">
            <v>17</v>
          </cell>
          <cell r="AF56">
            <v>21</v>
          </cell>
          <cell r="AG56">
            <v>1.7999999999999999E-2</v>
          </cell>
        </row>
        <row r="57">
          <cell r="AC57">
            <v>450</v>
          </cell>
          <cell r="AE57">
            <v>17</v>
          </cell>
          <cell r="AF57">
            <v>17</v>
          </cell>
          <cell r="AG57">
            <v>1.4999999999999999E-2</v>
          </cell>
        </row>
        <row r="58">
          <cell r="AC58">
            <v>500</v>
          </cell>
          <cell r="AE58">
            <v>32</v>
          </cell>
          <cell r="AF58">
            <v>32</v>
          </cell>
          <cell r="AG58">
            <v>2.8000000000000001E-2</v>
          </cell>
        </row>
        <row r="59">
          <cell r="AC59">
            <v>600</v>
          </cell>
          <cell r="AE59">
            <v>9</v>
          </cell>
          <cell r="AF59">
            <v>9</v>
          </cell>
          <cell r="AG59">
            <v>8.0000000000000002E-3</v>
          </cell>
        </row>
        <row r="60">
          <cell r="AC60">
            <v>700</v>
          </cell>
          <cell r="AE60">
            <v>9</v>
          </cell>
          <cell r="AF60">
            <v>9</v>
          </cell>
          <cell r="AG60">
            <v>8.0000000000000002E-3</v>
          </cell>
        </row>
        <row r="61">
          <cell r="AC61">
            <v>800</v>
          </cell>
          <cell r="AE61">
            <v>15</v>
          </cell>
          <cell r="AF61">
            <v>15</v>
          </cell>
          <cell r="AG61">
            <v>1.2999999999999999E-2</v>
          </cell>
        </row>
        <row r="62">
          <cell r="AC62">
            <v>900</v>
          </cell>
          <cell r="AE62">
            <v>6</v>
          </cell>
          <cell r="AF62">
            <v>6</v>
          </cell>
          <cell r="AG62">
            <v>5.0000000000000001E-3</v>
          </cell>
        </row>
        <row r="63">
          <cell r="AC63">
            <v>1000</v>
          </cell>
          <cell r="AE63">
            <v>4</v>
          </cell>
          <cell r="AF63">
            <v>4</v>
          </cell>
          <cell r="AG63">
            <v>3.0000000000000001E-3</v>
          </cell>
        </row>
        <row r="64">
          <cell r="AC64">
            <v>1250</v>
          </cell>
          <cell r="AE64">
            <v>14</v>
          </cell>
          <cell r="AF64">
            <v>14</v>
          </cell>
          <cell r="AG64">
            <v>1.2E-2</v>
          </cell>
        </row>
        <row r="65">
          <cell r="O65" t="str">
            <v>Email 8/16/2018:</v>
          </cell>
          <cell r="AC65">
            <v>1500</v>
          </cell>
          <cell r="AE65">
            <v>6</v>
          </cell>
          <cell r="AF65">
            <v>6</v>
          </cell>
          <cell r="AG65">
            <v>5.0000000000000001E-3</v>
          </cell>
        </row>
        <row r="66">
          <cell r="O66" t="str">
            <v xml:space="preserve">AEG: Hi Troy, Tom &amp; Dick, We are looking for some expert advice on what would be the split among farmers converting from high pressure irrigation system to LESA versus MESA. Do you think the split is 50/50 (LESA/MESA) or are we way off? What would be your best estimate? 
</v>
          </cell>
          <cell r="AC66">
            <v>1750</v>
          </cell>
          <cell r="AE66">
            <v>1</v>
          </cell>
          <cell r="AF66">
            <v>1</v>
          </cell>
          <cell r="AG66">
            <v>1E-3</v>
          </cell>
        </row>
        <row r="67">
          <cell r="AC67">
            <v>2500</v>
          </cell>
          <cell r="AE67">
            <v>2</v>
          </cell>
          <cell r="AF67">
            <v>2</v>
          </cell>
          <cell r="AG67">
            <v>2E-3</v>
          </cell>
        </row>
        <row r="68">
          <cell r="AC68" t="str">
            <v>Total</v>
          </cell>
          <cell r="AD68">
            <v>346</v>
          </cell>
          <cell r="AE68">
            <v>811</v>
          </cell>
          <cell r="AF68">
            <v>1157</v>
          </cell>
        </row>
        <row r="69">
          <cell r="O69" t="str">
            <v>Tom Osborn (Achievable Potential): I would suggest that less than 10% of the center pivots in operation would eventually convert to LESA.  Unless water issues continue to rise.</v>
          </cell>
        </row>
        <row r="70">
          <cell r="O70" t="str">
            <v xml:space="preserve">Dick Stroh (Achievable Potential: I would agree.  I was thinking maybe 5% at this time for our area. </v>
          </cell>
          <cell r="AC70" t="str">
            <v xml:space="preserve">· Is the conversion in eastern Idaho back to wheel lines from pivots due to applicability issues, or some other reason?
 To answer your question on why we are locally seeing conversions from pivots back to wheel line, the following article appeared in our local paper a while back.  This article gives you the farmer’s perspective on why the change back to wheel lines is occurring.  In fact, my next door neighbor converted his pivot back to wheel lines 2 years ago.
Growers in eastern Idaho's Pleasant Valley area are accustomed to puzzled expressions when they discuss how they're pulling out pivots in favor of old-fashioned wheel lines. Throughout most of the country, pivots continue to grow at the expense of other types of irrigation.
In Pleasant Valley, however, several of the major growers, have convinced wheel lines are worth the added labor because they offer the best yield potential for their unique field conditions.
"We're still bidding jobs to take out pivots and put more wheel lines in," said Chuck Buchta, manager of Knudsen Irrigation in Aberdeen, Idaho. "As far as I know, this is the only area in the country where that's happened."
About seven years ago, Knudsen bought out a struggling California wheel line brand called Thunderbird, which utilizes an end-driven propulsion system. He moved the plant to American Falls, Idaho and sales have grown steadily.
"This last year, I've sold 200 wheel lines, and I'd say 40-60 of them replaced pivots," Buchta said.
Buchta believes pivots remain the best choice for sandy soils as they cover ground and put out water more quickly.  However, in heavy silt-loam soils common to Pleasant Valley, University of Idaho Extension irrigation specialist Howard Neibling said slower-applying wheel lines penetrate deeper, banking moisture for hot spells. Wheel lines can also push salts beneath plant root zones where they can't disrupt nutrient absorption.  Though Neibling doesn't foresee an industrywide shift back to wheel lines, he said they retain niches.
"There are certain areas like this where it may make perfect sense to continue to use the wheel lines because of soils, crops, overall tradition and what works best for those particular growers," Neibling said.
Buchta said raising Pleasant Valley land values have also driven the shift as growers can't afford yield reductions on fields corners missed be pivots.
Grower Ritchey Toevs has removed three pivots this winter. "They worked OK, but it just seems like we raise better crops with wheel lines here," Toevs said.
Toevs said wheel lines use high pressure and more power than pivots but have significantly improved his sugar beet and alfalfa yields. Moving wheel lines also provides summer labor for his workers so he can keep the same skilled crews for planting and harvest. A drawback, he said, is that corn can't be planted under wheel lines. "I don't know of anybody replacing wheel lines with pivots here anymore. Ten years ago, it was different," Toevs said.
Grower Kim Wahlen also recently replaced three pivots with wheel lines. on heavy soils, Wahlen has found wheel lines improve potato yields slightly and sugar beet yields substantially. Wahlen said modern wheel lines don't tend to leak and require less maintenance. "We're probably kind of a weird area, but I think our area has about as high a land value as there is in Idaho," Wahlen said.
Wahlen said there's still a place for pivots in the valley, especially on sandy soils. He said his brother, Val prefers pivots. </v>
          </cell>
        </row>
        <row r="71">
          <cell r="O71" t="str">
            <v xml:space="preserve">TO: I would go with Dicks number as he is on the front line in S. Idaho.  The most likely near term conversions will be in water short areas, or areas where agreements dictate reductions in water pumping.  The first will not save any energy.  The later might.  A lot of this will happen in Idaho Power load area as well.  </v>
          </cell>
        </row>
        <row r="73">
          <cell r="O73" t="str">
            <v>Troy Peters, WSU: Although this may be true for Washington and the Columbia basin with surface water rights and the use-it-or-lose-it laws in place, there is much more interest in Idaho, where water use reductions have been mandated, and in the dry windy, arid areas of Idaho, Nevada, and Eastern Oregon that are pumping from groundwater, and especially where groundwater is limited.  I anticipate that the conversation rates will be over 50% in these areas.
It is possible to combine GIS-based soils, slopes, and water source information to create both maps where LESA will very likely be possible, and where it will be most profitable.</v>
          </cell>
        </row>
        <row r="78">
          <cell r="O78" t="str">
            <v>AEG: Is it common (well, within that 5-10% of likely LESA conversions) to go directly from high pressure systems to LESA, or do folks generally retrofit to MESA first to see if the system will be OK for their crops? If 5% are expected to convert to LESA, would the remaining 95% be liable to convert to MESA or would you expect a lower fraction for MESA?</v>
          </cell>
        </row>
        <row r="81">
          <cell r="O81" t="str">
            <v xml:space="preserve">Dick Stroh (BPA): In the area with the 13% water restriction (Eastern Snake River Aquifer (ESRA)) I would suspect the conversion rate from high pressure systems will be slightly higher than the 5% to more like 10% to 15% of the systems. In areas with more severe water restrictions, we may see 25% to 30% LESA conversions from high pressure.  In areas without water restrictions, there will be very few conversions to LESA.  I would guess for those areas, it likely will not happen at this time until more research starts to show improved yields and crop quality and the word gets out that it pays to make the switch.
We recently talked to a local farmer and he is looking at converting from flood irrigation to a pivot.  He is very interested in installing the Dragon-Line system in lieu of MESA.  However, I suspect he will install MESA when he finds out about the Dragon-Line cost with filter requirements. I would guess the incremental cost to go to Dragon-Line for his situation is probably around 30 to 35 thousand dollars minus the incremental cost to install a smaller pump since the design capacity is about 30% less.  That might save him around $5000, so the net incremental cost is $25,000 to $30,000.  We are estimating his annual  power bill would go down about $1000 with the Dragon-Line system compared to MESA.  That means a 25 to 30 year simple payback -  not too good.  In his case, he is looking at a 13% water restriction.  That is the reason he is looking at alternatives.  I am not sure if he can convert to LESA.  He may not have flat ground.
</v>
          </cell>
        </row>
        <row r="93">
          <cell r="O93" t="str">
            <v>Email 5/23/2018</v>
          </cell>
        </row>
        <row r="94">
          <cell r="O94" t="str">
            <v>1. Do you believe any of the following Emerging Agriculture Measures should be included in the 8PP? 
Variable Rate Irrigation – THERE ARE TWO TYPES OF STRATEGIES FOR VRI.  LOOK AT VALLEY AND ZIMMATIC WEBSITES.  ONE IS CALLED VARIABLE SPEED IRRIGATION (VSI) THAT CREATES VARIABLE IRRIGATED PIE SHAPES IN THE FIELD AS THE PIVOT SPEEDS UP AND SLOWS DOWN.  THE OTHER CALLED VARIABLE RATE IRRIGATION HAS VALVES CONTROLLING SOME OR MANY OF THE 125 SPRINKLERS ON A PIVOT.  AS THE PIVOT ROLLS THROUGH A LOW (OR HIGH OR ROCKY) SPOT THE SPRINKLERS SHUT OFF IN SUCCESSION AND TURN BACK ON DURING THE NEXT MOVE 3 MINUTES LATER.  The standard pivot operation delivers 900 to 1000 gpm to each entire field.  With VRI, the flows  vary from 500 gpm up to 1000 gpm depending on the field requirements at that pivot location. VSI IS RELATIVELY INEXPENSIVE AS ALL YOU NEED IS THE PIVOT CONTROLLER, AND A PRESCRIPTION… SO ABOUT $15k.  BUT THE WATER SAVINGS ARE NOT OPTIMIZED AS THE VARIATION IN THE FIELD IS NOT OFTEN PIE SHAPED.  IT DOES WORK WELL FOR MULTIPLE CROPS IN THE FIELD.  VRI HAS A HIGHER POTENTIAL FOR WATER AND ENERGY SAVINGS, BUT THE COST OF THE RETROFIT AND THE PRESCRIPTION IS $40K-$50K.  ON PREVIOUS PROJECTS, THIS MADES THE B/C BELOW 1.0.  BPA DESIRES TO CREATE A BPA QUALIFIED MEASURE WITH AMPLE INCENTIVES TO PROMOTE VRI AND COLLECT DATA ON INSTALLATIONS.
Deficit Irrigation-SOME IRRIGATORS HAVE TO CONTEND WITH THIS SINCE THE DON’T HAVE ENOUGH WATER.  OTHERS HAVE AMPLE WATER SUPPLIES, AND ARE USING SIS STRATEGIES TO IMPROVE PRODUCTIVITY AND CROP QUALITY.  I REALLY DON’T SEE THIS AS A MARKETABLE STRATEGY AS THE BASELINE AND VERIFICATION IS QUITE DIFFICULT.
Irrigation Decision Support System/Advanced SIS-GIVEN THE MARKET BASELINE, BPAS RECENT EXPENSIVE RESEARCH SHOWED THE RTF THAT SIS WAS SHOWN NOT COST EFFECTIVE.  SO CALLED ADVANCED SIS WOULD NOT BE MUCH BETTER.  I AM SEEING FIRST HAND THE DEALERS WORKING WITH LARGER FARMS TO CONTINUE PURSUING SIS STRATEGIES AND ADVANCED SYSTEM CONTROL (CONTROL ALGORITHMS, MOISTURE DATA, PRESSURE DATA, ETC EVEN FROM THEIR SMART PHONE PLATFORMS).  THIS MARKET HAS EXPLODED IN THE PAST 5 YEARS WITH ALL THE MAJOR PIVOT AND CONTROLS MANUFACTURERS IN THE HUNT.</v>
          </cell>
        </row>
        <row r="98">
          <cell r="AC98" t="str">
            <v>Email from Richard Stroh to Tom Eckman - May 22, 2003</v>
          </cell>
        </row>
        <row r="99">
          <cell r="AC99" t="str">
            <v>Issue 1.
I looked at the WaterWise data.  Appears that many of the pumps have opportunities.  I ran a query on the data and 34% of the pumps were operating less than 50% efficiency.  These are definite candidates.  30% were between 50 and 60% efficiency.  These are borderline.  36% were above 60%.  Many of these low efficiencies may be do to a main valve controlling pressure.  I am sure the actual pump efficiency is generally not this bad.  Variable speed control may be an answer for certain situations.  I understand A&amp;B irrigation district has now installed 4 of the Magna-Drive units on their well pumps.  They indicate that Magna-Drive has worked out the bugs with the thrust bearing for vertical hollow-shaft motors.  A&amp;B said they the Magna-Drive is working well this spring.  Should have a full season of operation on these units after this year.  Last year the thrust bearing gave them all kinds of problems.  This may be a better solution for small and large agricultural pumps since you don’t have to worry about dust, heat and rodents as with a VFD.
Issue 2.
Retrofit of wheel line systems to low pressure  systems 
I’ll put it on a per acre basis.  This will include costs for new wheel lines, pump retrofit work and nozzles.  Expense is the incremental cost for moving the extra lines.  Assumes 2/moves/day for 100 days at $1.50/line
Capital Cost: $130/acre
Annual Expense: $3.75/acre
Savings: 125 kWh/acre
Retrofit of hand line systems to low pressure  systems.  This will include costs for new hand lines, pump retrofit work and nozzles.  Expense is the incremental cost for moving the extra lines.  Assumes 2 moves/day for 100 days at $5/line.
Capital Cost: $30/acre
Annual Expense: $12/acre
Savings: 125 kWh/acre</v>
          </cell>
        </row>
        <row r="118">
          <cell r="O118" t="str">
            <v>3. We have reviewed your LESA update presentation slides and have a few questions that we hope you can answer:
o Can we look at the three-year study comparing MESA and LESA?   THIS INFO WAS PREVIOUSLY SHARED BY TROY PETERS (WSU) AND HOWARD NEIBLING (U OF IDAHO)
o Is it possible to receive the LEPA/LESA PIF data and/or analysis that you used to develop the savings analysis in the LESA Update presentation? Is this available in spreadsheet and/or final report format?  WE ONLY HAVE THE DATA WE SHARED.
o Can you please clarify the findings of the PIF analysis regarding system pressure increase? Does this indicate that there is minimal opportunity for low pressure regulation and that LESA/LEPA does not actually result in lower pressures?  WHEN DESIGNING IRRIGATION SYSTEMS, THERE NEEDS TO BE AMPLE PRESSURE TO ENSURE SPRINKLER PERFORMANCE AT HIGHER ELEVATIONS.  ACCORDING TO OUR VERY LIMITED DATA, WE HAVE SEEN MANY OF THE LESA CONVERSIONS DID NOT LOWER THEIR PIVOT PRESSURE.  MAYBE THEY NEEDED THAT PRESSURE TO BETTER SERVE THE HIGH POINT IN THE FIELD, TO COMPENSATE FOR DROPPING WATER TABLES, TO SERVE OTHER IRRIGATION SYSTEM PRESSURE DEMANDS ON THE IRRIGATION SYSTEM.
o Does the PIF data indicate (with statistical significance) that some crops and soils are better than others for LESA, and would there be enough data to quantify this advantage?  WE ONLY HAVE LIMITED DATA IN ONE SPECIFIC AREA THAT IS BEING REQUIRED BY A STATE MANDATE TO REDUCE WITHDRAWALS FROM THE SNAKE RIVER PLAIN ACQUIFER.  SO WE DO NOT HAVE ANY STATISTICALLY SIGNIFICANT DATA.
o Please clarify if there are savings analyses/calculations available for the “New BPA Q Measures” on Slide 39. Should these measures be separately considered for the 8PP?
 Centrifugal Pump VFD-I WOULD GUESS AT 100-200 KWH/YR PER HP.  SOME WILL SEE MORE AS THE HOURS OF OPERATION INCREASE.
 New Construction Turbine Pump VFD-OLDER RETROFIT DATA SHOWED THE RTF THAT TURBINE PUMP VFDS WERE SAVING AROUND 400 KWH PER HP, BUT MANY OF THE ONES THAT HAVE A VARIATION IN LOADING AND WOULD QUALIFY HAVE ALREADY CONVERTED.  UTILITY MANDATES FOR HARMONIC FILTERING HAVE INCREASED THE IMPLEMENTATION COSTS.  ALSO, AS YOU KNOW, RECENT DATA SUBMITTED TO THE RTF WAS INCONCLUSIVE AS THERE IS TREMENDOUS VARIATION IN AG (WEATHER (RAIN AND ET), CROP TYPE, WATER AVAILABILITY, PLANT AND HARVEST DATES, YIELD, FERTILIZATION, SEED VARIETY AND PLANTING DENSITY, 
 Pivot Mobile Drip Irrigation Conversion-THIS STRATEGY COULD WORK OUT FOR SOME FLATTER FIELDS THAT HAVE A NEED TO GET MORE WATER TO THE CROP (EG WATER SHORT AREAS).  LOOK AT DRAGON LINE AND NETAFIM
 Pump Efficiency Upgrade-MUCH OF THE PUMP AND MOTOR FLEET IS AGING.  WE THINK THAT UPGRADES WILL IMPROVE PUMP PERFORMANCE AND POTENTIALLY SAVE 5-10%.  HOWEVER, TODAY THEY ARE ALL CUSTOM PROJECTS THAT REQUIRE A PRE RETROFIT PUMP TEST.  I WAS TRYING TO CREATE A BPA QUALIFIED MEASURE TO ENTICE PROGRAM PARTICIPATION AND DATA COLLECTION.  WE WILL SEE.
o Do you believe there is any place for (low-pressure, non-mobile) drip tape irrigation as a separate measure? What are some applicable crops for an increase in efficiency from drip irrigation? It wouldn’t replace wheel-hand or center pivot/linear move systems, correct? If not, what is the baseline system?  DRIP TAPE SYSTEMS ARE USED IN TREES, CORNER CROPS LIKE WATER MELONS, ONIONS, NURSERYS, SMALLER FARM SETTINGS, ETC.  THERE ARE ISSUES WITH CONTROLS, WATER QUALITY (HARD WATER BUILDUP AND BIOLOGICAL PLUGGING WHEN USING WASTE WATER), PESTS THAT EAT THE TUBING, FILTRATION, UNIFORMITY, MAINTENANCE,ETC.  I DON’T SEE LARGER FARMS CONVERTING, UNLESS THEY LOOK AT MOBILE DRIP.</v>
          </cell>
        </row>
        <row r="120">
          <cell r="AC120" t="str">
            <v>Original Email from Eckman: 
I was looking over my notes from our phone conversation a couple weeks ago regarding the conservation potential in the ag. sector and I want to make sure I got some information you provided correct. Here’s what I have in my notes—let me know if I got it
• About 20% of existing pumps could use pump efficiency upgrades ( any idea what the average pump efficiency might be based on what you see/saw come through WaterWise hardware retrofits?)
• Reducing system pressure in wheel lines from 50 PSI to 30-35 PSI 
Cost of low pressure retrofit is about $10,000 (per wheel line? per field?)
Base case is about 6 wheel lines per 60 acres, with low pressure retrofit we need 8 wheel lines per 60 acres. This adds $20,000 to retrofit   costs?
Retrofit savings about $1,000/yr in labor costs</v>
          </cell>
        </row>
      </sheetData>
      <sheetData sheetId="18">
        <row r="4">
          <cell r="A4" t="str">
            <v>Market Sector</v>
          </cell>
          <cell r="B4" t="str">
            <v>Agricultural</v>
          </cell>
        </row>
        <row r="5">
          <cell r="A5" t="str">
            <v>Market Segment</v>
          </cell>
          <cell r="B5" t="str">
            <v>All Segments</v>
          </cell>
        </row>
        <row r="6">
          <cell r="A6" t="str">
            <v>Measure</v>
          </cell>
          <cell r="B6" t="str">
            <v>Irrigation</v>
          </cell>
        </row>
        <row r="7">
          <cell r="A7" t="str">
            <v>Estimation Procedure</v>
          </cell>
          <cell r="B7" t="str">
            <v>Calibrated Engineering</v>
          </cell>
        </row>
        <row r="8">
          <cell r="A8" t="str">
            <v>Primary Workbook</v>
          </cell>
          <cell r="B8" t="str">
            <v>Ag-Irr_Eff-2021P_v3.xlsm</v>
          </cell>
        </row>
        <row r="9">
          <cell r="A9" t="str">
            <v>Linked Workbooks</v>
          </cell>
          <cell r="B9" t="str">
            <v>PacifiCorp Compiled Data 2006_2008.xlsm</v>
          </cell>
        </row>
        <row r="10">
          <cell r="A10" t="str">
            <v>Number of Measure Applications</v>
          </cell>
          <cell r="B10" t="str">
            <v>Maintenance
60: 12 Hardware Identifiers x 5 Location Identifiers
Upgrades
15: 3 Hardware Identifiers x 5 Location Identifiers</v>
          </cell>
        </row>
        <row r="11">
          <cell r="A11" t="str">
            <v>Note: Specific information on measure category, adoption dates, and sunset date are available in the measure table.</v>
          </cell>
        </row>
        <row r="13">
          <cell r="A13" t="str">
            <v>Measure Specification</v>
          </cell>
          <cell r="E13" t="str">
            <v>Delivery Verification Checklist</v>
          </cell>
        </row>
        <row r="14">
          <cell r="A14" t="str">
            <v>Component</v>
          </cell>
          <cell r="B14" t="str">
            <v>Specification</v>
          </cell>
          <cell r="D14" t="str">
            <v>Additional Notes</v>
          </cell>
          <cell r="E14" t="str">
            <v>Irrigation Hardware</v>
          </cell>
        </row>
        <row r="15">
          <cell r="A15" t="str">
            <v>Measure Identifiers</v>
          </cell>
          <cell r="B15" t="str">
            <v>Hardware Type
Location</v>
          </cell>
          <cell r="E15" t="str">
            <v>- Check hardware type and match with specification
- Check location</v>
          </cell>
        </row>
        <row r="16">
          <cell r="A16" t="str">
            <v>Savings Baseline</v>
          </cell>
          <cell r="B16" t="str">
            <v>Pre-Conditions</v>
          </cell>
          <cell r="E16" t="str">
            <v>[For Maintenance Measure, RTF uses regional averages in place of site-specific pre-conditions]. See below for application specific checks.</v>
          </cell>
        </row>
        <row r="17">
          <cell r="A17" t="str">
            <v>Implementation and Product Standards</v>
          </cell>
          <cell r="B17" t="str">
            <v>Wheel and Hand_Rebuilt or new impact sprinkler</v>
          </cell>
          <cell r="D17" t="str">
            <v>Brass impact sprinklers shall be rebuilt by an established repair shop that can provide a legitimate invoice. Rebuilt sprinklers shall meet or exceed manufacturers' specifications. New nozzles shall be installed prior to installation of the brass sprinkler.</v>
          </cell>
          <cell r="E17" t="str">
            <v>- Check that new or rebuilt impact sprinkler is installed
- If rebuilt, check for legitimate invoice
- If rebuilt, check that sprinkler meets or exceeds manufacturers' specifications
- Check that new nozzles are installed 
- Check that system is a wheel/hand line system</v>
          </cell>
        </row>
        <row r="18">
          <cell r="B18" t="str">
            <v>Wheel and Hand_Gaskets</v>
          </cell>
          <cell r="D18" t="str">
            <v>Applies to leaking gaskets only.</v>
          </cell>
          <cell r="E18" t="str">
            <v>- Check that new gasket installed
- Check that system is a wheel/hand line system</v>
          </cell>
        </row>
        <row r="19">
          <cell r="B19" t="str">
            <v>Wheel and Hand_Drains</v>
          </cell>
          <cell r="D19" t="str">
            <v>Applies to leaking drains only.</v>
          </cell>
          <cell r="E19" t="str">
            <v>- Check that new drain installed
- Check that system is a wheel/hand line system</v>
          </cell>
        </row>
        <row r="20">
          <cell r="B20" t="str">
            <v>Wheel and Hand_Cut and press repair</v>
          </cell>
          <cell r="D20" t="str">
            <v>Repair must be performed by a repair shop that can provide a legitimate invoice showing the number of pipes repaired.</v>
          </cell>
          <cell r="E20" t="str">
            <v>- Check that cut and pipe press repair occurred for leaking hand-lines, wheel-lines and portable main-lines
- Check for legitimate invoice showing number of pipes repaired
- Check that system is a wheel/hand line system</v>
          </cell>
        </row>
        <row r="21">
          <cell r="B21" t="str">
            <v>Wheel and Hand_Hub gasket</v>
          </cell>
          <cell r="D21" t="str">
            <v>Applies to leaking hub gaskets on Thunderbird wheel lines only.</v>
          </cell>
          <cell r="E21" t="str">
            <v>- Check that new hub gasket is installed
- Check that previous hub gasket was leaking
- Check that system is Thunderbird wheel line system</v>
          </cell>
        </row>
        <row r="22">
          <cell r="B22" t="str">
            <v>Wheel and Hand_Levelers</v>
          </cell>
          <cell r="D22" t="str">
            <v>Applies to leaking or malfunctioning leveler only. For rebuilds, the invoice must show the number of leveler rebuild kits purchased and installed.</v>
          </cell>
          <cell r="E22" t="str">
            <v>- Check that new or rebuilt leveler is installed
- If rebuilt, check invoice for number of leveler rebuilt kits purchased and installed
- Check that system is a wheel line system</v>
          </cell>
        </row>
        <row r="23">
          <cell r="B23" t="str">
            <v>Pivot and Linear_Base boot gasket</v>
          </cell>
          <cell r="D23" t="str">
            <v>Applies to leaking gasket only. Gasket(s) shall be installed at the pivot point of the center pivot. No more than one gasket shall be claimed per pivot.</v>
          </cell>
          <cell r="E23" t="str">
            <v>- Check that new pivot base boot gasket installed
- Check that gasket installed at pivot point of the center pivot
- Check that previous gasket was leaking
- Check the number of gaskets claimed vs the number of pivots
- Check that system is a center pivot</v>
          </cell>
        </row>
        <row r="24">
          <cell r="B24" t="str">
            <v>Pivot and Linear_Tower gasket</v>
          </cell>
          <cell r="D24" t="str">
            <v>Applies to leaking gaskets in-between the spans of a center pivot or linear move</v>
          </cell>
          <cell r="E24" t="str">
            <v>- Check that new tower gasket is installed
- Check that system is a center pivot/linear move system</v>
          </cell>
        </row>
        <row r="25">
          <cell r="B25" t="str">
            <v>Wheel and Hand_Nozzle replacement</v>
          </cell>
          <cell r="D25" t="str">
            <v>All nozzles shall be replaced. Flow rate shall not be increased.</v>
          </cell>
          <cell r="E25" t="str">
            <v>- Check that all nozzles are new
- Check that flow rate has not increased
- Check that system is a wheel/hand line system</v>
          </cell>
        </row>
        <row r="26">
          <cell r="B26" t="str">
            <v>Pivot and Linear_Sprinkler package replacement, high pressure</v>
          </cell>
          <cell r="D26" t="str">
            <v>A package consists of a nozzle and an impact sprinkler applied to a center pivot or linear move.  All components on the system shall be replaced. Flow rate shall not be increased.
Applicable to center pivots and linear moves with high-pressure sprinklers mounted on the top.</v>
          </cell>
          <cell r="E26" t="str">
            <v>- Check that new nozzle is installed
- Check that impact sprinkler is installed.
- Check that flow rate has not increased
- Check that system is a center pivot/liner move system</v>
          </cell>
        </row>
        <row r="27">
          <cell r="B27" t="str">
            <v>Pivot and Linear_Sprinkler package replacement, MESA</v>
          </cell>
          <cell r="D27" t="str">
            <v>A package consists of a low pressure regulator, nozzle, and rotating or multi-trajectory sprinkler. All components on the system shall be replaced. Flow rate shall not be increased.
Applicable to MESA-configured center pivots and linear moves.</v>
          </cell>
          <cell r="E27" t="str">
            <v>- Check that new low pressure regulator is installed
- Check that new nozzle is installed
- Check that new rotating sprinkler, multi-trajectory spray, or multiple-configuration nozzle is installed.
- Check that flow rate has not increased
- Check that system is a center pivot/liner move system
- Check that systems is configured for MESA</v>
          </cell>
        </row>
        <row r="28">
          <cell r="B28" t="str">
            <v>Pivot and Linear_Sprinkler package replacement, LESA/LEPA/MDI</v>
          </cell>
          <cell r="D28" t="str">
            <v>A package consists of a low pressure regulator, nozzle, and rotating or multi-trajectory sprinkler. All components on the system shall be replaced. Flow rate shall not be increased.
Applicable to LESA/LEPA/MDI-configured center pivots and linear moves.</v>
          </cell>
          <cell r="E28" t="str">
            <v>- Check that new low pressure regulator is installed
- Check that new nozzle is installed
- Check that new rotating sprinkler, multi-trajectory spray, or multiple-configuration nozzle is installed.
- Check that flow rate has not increased
- Check that system is a center pivot/liner move system
- Check that systems is configured for LESA/LEPA/MDI</v>
          </cell>
        </row>
        <row r="29">
          <cell r="B29" t="str">
            <v>Pivot and Linear_Upgrade from high pressure to MESA</v>
          </cell>
          <cell r="D29" t="str">
            <v>Conversion of a center pivot or linear move system from high pressure sprinklers on top to MESA configuration.  Requires installation of gooseneck and drop tube.  Savings are per drop tube - the number of goosenecks is likely less.</v>
          </cell>
          <cell r="E29" t="str">
            <v>- Check that previous configuration was impact sprinklers mounted on top of the system
- Check that new gooseneck elbows are installed
- Check that new drop tubes are installed
- Check that the drop tubes are a minimum of 3 feet in length and extend below the pivot tower brace
- Check that system is a center pivot/linear move system</v>
          </cell>
        </row>
        <row r="30">
          <cell r="B30" t="str">
            <v>Pivot and Linear_Upgrade from high pressure to LESA/LEPA/MDI</v>
          </cell>
          <cell r="D30" t="str">
            <v>Conversion of a center pivot or linear move system from high pressure sprinklers on top to LESA/LEPA/MDI configuration.  Requires installation of gooseneck and drop tube.  Savings are per drop tube - the number of goosenecks is likely less.</v>
          </cell>
          <cell r="E30" t="str">
            <v>- Check that previous configuration was impact sprinklers mounted on top of the system
- Check that new gooseneck elbows are installed
- Check that new drop tubes are installed
- Check that the sprinkler height is no more than two feet above ground
- Check that system is a center pivot/linear move system</v>
          </cell>
        </row>
        <row r="31">
          <cell r="B31" t="str">
            <v>Pivot and Linear_Upgrade from MESA to LESA/LEPA/MDI</v>
          </cell>
          <cell r="D31" t="str">
            <v>Conversion of a center pivot or linear move system from MESA to LESA/LEPA/MDI configuration.  Requires installation of gooseneck and drop tube.  Savings are per drop tube - the number of goosenecks is likely less.</v>
          </cell>
          <cell r="E31" t="str">
            <v>- Check that previous configuration was MESA
- Check that new gooseneck elbows are installed
- Check that new drop tubes are installed
- Check that the sprinkler height is no more than two feet above ground
- Check that system is a center pivot/linear move system</v>
          </cell>
        </row>
        <row r="33">
          <cell r="A33" t="str">
            <v>Measure is modeled with two savings periods? (E.g., RUL)? (yes, no)</v>
          </cell>
          <cell r="D33" t="str">
            <v>No</v>
          </cell>
        </row>
        <row r="35">
          <cell r="A35" t="str">
            <v>Measure Identifiers</v>
          </cell>
        </row>
        <row r="36">
          <cell r="A36" t="str">
            <v>Identifier</v>
          </cell>
          <cell r="B36" t="str">
            <v>Possible Values</v>
          </cell>
          <cell r="E36" t="str">
            <v>Further Explanation and Sources</v>
          </cell>
        </row>
        <row r="37">
          <cell r="A37" t="str">
            <v>Hardware type</v>
          </cell>
          <cell r="B37" t="str">
            <v>Wheel and Hand_Rebuilt or new impact sprinkler</v>
          </cell>
        </row>
        <row r="38">
          <cell r="B38" t="str">
            <v>Wheel and Hand_Gaskets</v>
          </cell>
        </row>
        <row r="39">
          <cell r="B39" t="str">
            <v>Wheel and Hand_Drains</v>
          </cell>
        </row>
        <row r="40">
          <cell r="B40" t="str">
            <v>Wheel and Hand_Cut and press repair</v>
          </cell>
        </row>
        <row r="41">
          <cell r="B41" t="str">
            <v>Wheel and Hand_Hub gasket</v>
          </cell>
        </row>
        <row r="42">
          <cell r="B42" t="str">
            <v>Wheel and Hand_Levelers</v>
          </cell>
        </row>
        <row r="43">
          <cell r="B43" t="str">
            <v>Pivot and Linear_Base boot gasket</v>
          </cell>
        </row>
        <row r="44">
          <cell r="B44" t="str">
            <v>Pivot and Linear_Tower gasket</v>
          </cell>
        </row>
        <row r="45">
          <cell r="B45" t="str">
            <v>Wheel and Hand_Nozzle replacement</v>
          </cell>
        </row>
        <row r="46">
          <cell r="B46" t="str">
            <v>Pivot and Linear_Sprinkler package replacement, high pressure</v>
          </cell>
        </row>
        <row r="47">
          <cell r="B47" t="str">
            <v>Pivot and Linear_Sprinkler package replacement, MESA</v>
          </cell>
        </row>
        <row r="48">
          <cell r="B48" t="str">
            <v>Pivot and Linear_Sprinkler package replacement, LESA/LEPA/MDI</v>
          </cell>
        </row>
        <row r="49">
          <cell r="B49" t="str">
            <v>Pivot and Linear_Upgrade from high pressure to MESA</v>
          </cell>
        </row>
        <row r="50">
          <cell r="B50" t="str">
            <v>Pivot and Linear_Upgrade from high pressure to LESA/LEPA/MDI</v>
          </cell>
        </row>
        <row r="51">
          <cell r="B51" t="str">
            <v>Pivot and Linear_Upgrade from MESA to LESA/LEPA/MDI</v>
          </cell>
        </row>
        <row r="52">
          <cell r="A52" t="str">
            <v>Location</v>
          </cell>
          <cell r="B52" t="str">
            <v>Western Idaho
Eastern/Southern Idaho
Western Washington/Oregon
Eastern Washington/Oregon
Montana</v>
          </cell>
        </row>
        <row r="54">
          <cell r="A54" t="str">
            <v>Constant Parameters</v>
          </cell>
        </row>
        <row r="55">
          <cell r="A55" t="str">
            <v>Parameter</v>
          </cell>
          <cell r="B55" t="str">
            <v>Possible Values</v>
          </cell>
          <cell r="E55" t="str">
            <v>Further Explanation and Sources</v>
          </cell>
        </row>
        <row r="56">
          <cell r="A56" t="str">
            <v>Nozzle Flow Rate (gpm)</v>
          </cell>
          <cell r="B56" t="str">
            <v>Wheel/handline systems: 4.4
Pivot Systems: 7</v>
          </cell>
          <cell r="E56" t="str">
            <v>Wheel/handline systems:  Pressure at nozzle as observed in Dr. Howard Neibling, P.E, "Evaluation of Sprinkler Irrigation System Components in Southern Idaho."  University of Idaho Extension.  March 5, 2013.  Typical nozzle size in program from PacifiCorp program data.
Pivot systems: Subcommittee professional judgment based on typical design and field experience.</v>
          </cell>
        </row>
        <row r="57">
          <cell r="A57" t="str">
            <v>Surface Water Source Weighting</v>
          </cell>
          <cell r="B57" t="str">
            <v>See sheet "Inputs", cells A3:L23</v>
          </cell>
          <cell r="E57" t="str">
            <v>Idaho: Estimates from program administrators
All other locations: Farm and Ranch Irrigation Survey, 2013.
The remaining percentage is assumed to be from a well source.</v>
          </cell>
        </row>
        <row r="58">
          <cell r="A58" t="str">
            <v>Lift</v>
          </cell>
        </row>
        <row r="59">
          <cell r="A59" t="str">
            <v>Pump Delivery Pressure</v>
          </cell>
        </row>
        <row r="60">
          <cell r="A60" t="str">
            <v>Pump System Efficiency</v>
          </cell>
          <cell r="B60">
            <v>0.60607954545454545</v>
          </cell>
          <cell r="E60" t="str">
            <v>Efficiency of pump and motor combined.
Source: Average of PacifiCorp 2006-2008 program data for Idaho (n=92) and BPA pump test data for years 2002-2012 (n=612).</v>
          </cell>
        </row>
        <row r="61">
          <cell r="A61" t="str">
            <v>Annual Operating Hours</v>
          </cell>
          <cell r="C61" t="str">
            <v>Western Idaho 1,600
Eastern and Southern Idaho 1,142
Western Washington and Oregon 1,605
Eastern Washington and Oregon 2,200
Montana 1,013</v>
          </cell>
          <cell r="E61" t="str">
            <v>E./S. Idaho: PacifiCorp 2006-2008 participant data for Idaho based on 5-years' billing history (kWh and kW)
W. Idaho: Based on billing analysis by Quentin Nesbit of all Idaho Power irrigation customers (kWh and kW).
Montana: Farm and Ranch Irrigation Survey, 2008
E. OR/WA: Subcommittee professional judgment, similar to ETO program findings
W. OR/WA: ETO program findings, based on guided survey with irrigators</v>
          </cell>
        </row>
        <row r="63">
          <cell r="A63" t="str">
            <v>Energy Savings Estimation Method, Parameters and Data Sources</v>
          </cell>
        </row>
        <row r="64">
          <cell r="A64" t="str">
            <v>Measure Identifiers</v>
          </cell>
          <cell r="B64" t="str">
            <v>Savings Component</v>
          </cell>
          <cell r="C64" t="str">
            <v>Analysis approach</v>
          </cell>
          <cell r="D64" t="str">
            <v>Primary Parameter / Adjustment Factor</v>
          </cell>
          <cell r="E64" t="str">
            <v>Baseline</v>
          </cell>
          <cell r="F64" t="str">
            <v>Baseline Possible Values</v>
          </cell>
          <cell r="G64" t="str">
            <v>Efficient Case Possible Values</v>
          </cell>
          <cell r="H64" t="str">
            <v>Baseline Further Explanation and Sources</v>
          </cell>
          <cell r="I64" t="str">
            <v>Efficient Case Further Explanation and Sources</v>
          </cell>
        </row>
        <row r="65">
          <cell r="A65" t="str">
            <v>Wheel and Hand_Rebuilt or new impact sprinkler</v>
          </cell>
          <cell r="B65" t="str">
            <v>Pump</v>
          </cell>
          <cell r="C65" t="str">
            <v>A general engineering equation is used with the following parameters to compute the annual savings per unit: Excess Water, Lift, Pump Delivery Pressure, Pump System Efficiency, and Annual Operating Hours.
Excess water varies between the baseline and efficient cases.</v>
          </cell>
          <cell r="D65" t="str">
            <v>Excess Water (gpm)</v>
          </cell>
          <cell r="E65" t="str">
            <v>Pre-condition
Baseline: Pre-condition maintenance practice.  Average conditions of the population used as a proxy.
Efficient case: Improve maintenance practice.  25th percentile system performance of the population is used as a proxy.</v>
          </cell>
          <cell r="F65" t="str">
            <v>0.04 gpm</v>
          </cell>
          <cell r="G65" t="str">
            <v>0.00 gpm</v>
          </cell>
          <cell r="H65" t="str">
            <v>Dr. Howard Neibling, P.E, "Evaluation of Sprinkler Irrigation System Components in Southern Idaho."  University of Idaho Extension.  March 5, 2013.  For nozzle and sprinkler package measures, uniformity estimates are in terms of % excess water applied.
Pipe repair is assumed to be done only on leaking pipes.  For all other leaks, efficient case assumes all components are replaced within their lifetime and might not be leaking at time of replacement.
Base boot gasket leakage rate is an RTF Subcommittee estimate.  It is assumed that these gaskets are only replaced when leaking and that they are not replaced at all in the baseline.</v>
          </cell>
        </row>
        <row r="66">
          <cell r="A66" t="str">
            <v>Wheel and Hand_Gaskets</v>
          </cell>
          <cell r="F66" t="str">
            <v>0.18 gpm</v>
          </cell>
          <cell r="G66" t="str">
            <v>0.00 gpm</v>
          </cell>
        </row>
        <row r="67">
          <cell r="A67" t="str">
            <v>Wheel and Hand_Drains</v>
          </cell>
          <cell r="D67" t="str">
            <v>Excess Water (gpm)</v>
          </cell>
          <cell r="F67" t="str">
            <v>0.12 gpm</v>
          </cell>
          <cell r="G67" t="str">
            <v>0.00 gpm</v>
          </cell>
        </row>
        <row r="68">
          <cell r="A68" t="str">
            <v>Wheel and Hand_Cut and press repair</v>
          </cell>
          <cell r="F68" t="str">
            <v>0.51 gpm</v>
          </cell>
          <cell r="G68" t="str">
            <v>0.00 gpm</v>
          </cell>
        </row>
        <row r="69">
          <cell r="A69" t="str">
            <v>Wheel and Hand_Hub gasket</v>
          </cell>
          <cell r="F69" t="str">
            <v>0.38 gpm</v>
          </cell>
          <cell r="G69" t="str">
            <v>0.09 gpm</v>
          </cell>
        </row>
        <row r="70">
          <cell r="A70" t="str">
            <v>Wheel and Hand_Levelers</v>
          </cell>
          <cell r="F70" t="str">
            <v>0.05 gpm</v>
          </cell>
          <cell r="G70" t="str">
            <v>0.00 gpm</v>
          </cell>
        </row>
        <row r="71">
          <cell r="A71" t="str">
            <v>Pivot and Linear_Base boot gasket</v>
          </cell>
          <cell r="F71" t="str">
            <v>20.00 gpm</v>
          </cell>
          <cell r="G71" t="str">
            <v>0.00 gpm</v>
          </cell>
        </row>
        <row r="72">
          <cell r="A72" t="str">
            <v>Pivot and Linear_Tower gasket</v>
          </cell>
          <cell r="F72" t="str">
            <v>0.06 gpm</v>
          </cell>
          <cell r="G72" t="str">
            <v>0.00 gpm</v>
          </cell>
        </row>
        <row r="73">
          <cell r="A73" t="str">
            <v>Wheel and Hand_Nozzle replacement</v>
          </cell>
          <cell r="F73" t="str">
            <v>0.56 gpm</v>
          </cell>
          <cell r="G73" t="str">
            <v>0.28 gpm</v>
          </cell>
        </row>
        <row r="74">
          <cell r="A74" t="str">
            <v>Pivot and Linear_Sprinkler package replacement, high pressure</v>
          </cell>
          <cell r="F74" t="str">
            <v>1.77 gpm</v>
          </cell>
          <cell r="G74" t="str">
            <v>1.28 gpm</v>
          </cell>
        </row>
        <row r="75">
          <cell r="A75" t="str">
            <v>Pivot and Linear_Sprinkler package replacement, MESA</v>
          </cell>
          <cell r="F75" t="str">
            <v>0.89 gpm</v>
          </cell>
          <cell r="G75" t="str">
            <v>0.64 gpm</v>
          </cell>
        </row>
        <row r="76">
          <cell r="A76" t="str">
            <v>Pivot and Linear_Sprinkler package replacement, LESA/LEPA/MDI</v>
          </cell>
          <cell r="F76" t="str">
            <v>0.44 gpm</v>
          </cell>
          <cell r="G76" t="str">
            <v>0.32 gpm</v>
          </cell>
        </row>
        <row r="77">
          <cell r="A77" t="str">
            <v>Pivot and Linear_Upgrade from high pressure to MESA</v>
          </cell>
          <cell r="D77" t="str">
            <v>Excess Water (%)</v>
          </cell>
          <cell r="E77" t="str">
            <v>Pre-condition
Baseline: Existing system configuration
Efficient case: Upgraded system configuration</v>
          </cell>
          <cell r="F77" t="str">
            <v>0.44 gpm</v>
          </cell>
          <cell r="G77" t="str">
            <v>0.00 gpm</v>
          </cell>
          <cell r="H77" t="str">
            <v>Savings are for improvements in application efficiency (reductions in evaporative and wind-drift losses).  Application efficiency for MESA (80%) and LESA/LEPA/MDI (97%) based on 3 year side-by-side study of MESA and LESA conducted by Bonneville, Washington State University, and University of Idaho (publication forthcoming).
Application efficiency for high pressure systems (70%) is a subcommittee estimate.</v>
          </cell>
        </row>
        <row r="78">
          <cell r="A78" t="str">
            <v>Pivot and Linear_Upgrade from high pressure to LESA/LEPA/MDI</v>
          </cell>
          <cell r="D78" t="str">
            <v>Spray Loss Reduction (%)</v>
          </cell>
          <cell r="F78" t="str">
            <v>0.49 gpm</v>
          </cell>
          <cell r="G78" t="str">
            <v>0.00 gpm</v>
          </cell>
        </row>
        <row r="79">
          <cell r="A79" t="str">
            <v>Pivot and Linear_Upgrade from MESA to LESA/LEPA/MDI</v>
          </cell>
          <cell r="F79" t="str">
            <v>0.31 gpm</v>
          </cell>
          <cell r="G79" t="str">
            <v>0.00 gpm</v>
          </cell>
        </row>
        <row r="81">
          <cell r="A81" t="str">
            <v>Measure Incremental Costs and Benefits</v>
          </cell>
        </row>
        <row r="82">
          <cell r="A82" t="str">
            <v>Measure Identifiers</v>
          </cell>
          <cell r="B82" t="str">
            <v>Cost or Benefit</v>
          </cell>
          <cell r="C82" t="str">
            <v>Analysis Approach</v>
          </cell>
          <cell r="D82" t="str">
            <v>Baseline</v>
          </cell>
          <cell r="E82" t="str">
            <v>Data Sources</v>
          </cell>
          <cell r="F82" t="str">
            <v>Source Type</v>
          </cell>
          <cell r="G82" t="str">
            <v>Year of the Dollars</v>
          </cell>
          <cell r="H82" t="str">
            <v>Uncertainty Estimate</v>
          </cell>
        </row>
        <row r="83">
          <cell r="A83" t="str">
            <v>Maintenance measure</v>
          </cell>
          <cell r="B83" t="str">
            <v>Capital</v>
          </cell>
          <cell r="C83" t="str">
            <v>Average typical invoice cost plus estimated labor cost</v>
          </cell>
          <cell r="D83" t="str">
            <v>Pre-conditions (maintenance practice)</v>
          </cell>
          <cell r="E83" t="str">
            <v>RTF Subcommittee professional judgment based on program experience.</v>
          </cell>
          <cell r="F83" t="str">
            <v>Professional Judgment</v>
          </cell>
          <cell r="G83">
            <v>2012</v>
          </cell>
          <cell r="H83" t="str">
            <v>Medium. Includes labor costs, which are built up, because mostly these measures are implemented by the irrigators themselves.</v>
          </cell>
        </row>
        <row r="84">
          <cell r="B84" t="str">
            <v>Maintenance</v>
          </cell>
          <cell r="C84" t="str">
            <v>Avoided baseline cost.  Assume replacements happen at twice the lifetime of the component and annual that cost as an avoided O&amp;M cost.</v>
          </cell>
          <cell r="D84" t="str">
            <v>Pre-conditions (maintenance practice)</v>
          </cell>
          <cell r="E84" t="str">
            <v>RTF Subcommittee professional judgment based on program experience.</v>
          </cell>
          <cell r="F84" t="str">
            <v>Professional Judgment</v>
          </cell>
          <cell r="G84">
            <v>2012</v>
          </cell>
          <cell r="H84" t="str">
            <v>Medium. Includes labor costs, which are built up, because mostly these measures are implemented by the irrigators themselves.</v>
          </cell>
        </row>
        <row r="85">
          <cell r="A85" t="str">
            <v>Upgrade measure</v>
          </cell>
          <cell r="B85" t="str">
            <v>Capital</v>
          </cell>
          <cell r="C85" t="str">
            <v>Built up costs of components, plus installation cost.</v>
          </cell>
          <cell r="D85" t="str">
            <v>Pre-condition</v>
          </cell>
          <cell r="E85" t="str">
            <v>Analysis by Bonneville, Washington State University, and University of Idaho in the MESA to LESA conversion study (publication forthcoming).  Some component costs replaced with cost from ETO program data.</v>
          </cell>
          <cell r="F85" t="str">
            <v>Typical component and labor costs</v>
          </cell>
          <cell r="G85">
            <v>2012</v>
          </cell>
          <cell r="H85" t="str">
            <v>Medium. Costs estimates based researcher built-up cost estimate, not on emperical data.</v>
          </cell>
        </row>
        <row r="87">
          <cell r="A87" t="str">
            <v>Measure Lifetime</v>
          </cell>
        </row>
        <row r="88">
          <cell r="A88" t="str">
            <v>Measure Identifiers</v>
          </cell>
          <cell r="C88" t="str">
            <v>Analysis Approach</v>
          </cell>
          <cell r="D88" t="str">
            <v>Baseline</v>
          </cell>
          <cell r="E88" t="str">
            <v>Data Sources</v>
          </cell>
          <cell r="F88" t="str">
            <v>Value</v>
          </cell>
          <cell r="H88" t="str">
            <v>Uncertainty Estimate</v>
          </cell>
        </row>
        <row r="89">
          <cell r="A89" t="str">
            <v>Wheel and Hand_Rebuilt or new impact sprinkler</v>
          </cell>
          <cell r="C89" t="str">
            <v>Subcommittee estimates</v>
          </cell>
          <cell r="D89" t="str">
            <v>Pre-conditions</v>
          </cell>
          <cell r="E89" t="str">
            <v>Subcommittee estimates</v>
          </cell>
          <cell r="F89" t="str">
            <v>4 years</v>
          </cell>
          <cell r="H89" t="str">
            <v xml:space="preserve">High. Estimates from previous subcommittee, not based on any data.  In reality, the range of lifetime of components is probably quite high. </v>
          </cell>
        </row>
        <row r="90">
          <cell r="A90" t="str">
            <v>Wheel and Hand_Gaskets</v>
          </cell>
          <cell r="F90" t="str">
            <v>5 years</v>
          </cell>
        </row>
        <row r="91">
          <cell r="A91" t="str">
            <v>Wheel and Hand_Drains</v>
          </cell>
          <cell r="F91" t="str">
            <v>5 years</v>
          </cell>
        </row>
        <row r="92">
          <cell r="A92" t="str">
            <v>Wheel and Hand_Cut and press repair</v>
          </cell>
          <cell r="F92" t="str">
            <v>8 years</v>
          </cell>
        </row>
        <row r="93">
          <cell r="A93" t="str">
            <v>Wheel and Hand_Hub gasket</v>
          </cell>
          <cell r="F93" t="str">
            <v>10 years</v>
          </cell>
        </row>
        <row r="94">
          <cell r="A94" t="str">
            <v>Wheel and Hand_Levelers</v>
          </cell>
          <cell r="F94" t="str">
            <v>5 years</v>
          </cell>
        </row>
        <row r="95">
          <cell r="A95" t="str">
            <v>Pivot and Linear_Base boot gasket</v>
          </cell>
          <cell r="F95" t="str">
            <v>8 years</v>
          </cell>
        </row>
        <row r="96">
          <cell r="A96" t="str">
            <v>Pivot and Linear_Tower gasket</v>
          </cell>
          <cell r="F96" t="str">
            <v>8 years</v>
          </cell>
        </row>
        <row r="97">
          <cell r="A97" t="str">
            <v>Wheel and Hand_Nozzle replacement</v>
          </cell>
          <cell r="F97" t="str">
            <v>4 years</v>
          </cell>
        </row>
        <row r="98">
          <cell r="A98" t="str">
            <v>Pivot and Linear_Sprinkler package replacement, high pressure</v>
          </cell>
          <cell r="F98" t="str">
            <v>4 years</v>
          </cell>
        </row>
        <row r="99">
          <cell r="A99" t="str">
            <v>Pivot and Linear_Sprinkler package replacement, MESA</v>
          </cell>
          <cell r="F99" t="str">
            <v>5 years</v>
          </cell>
        </row>
        <row r="100">
          <cell r="A100" t="str">
            <v>Pivot and Linear_Sprinkler package replacement, LESA/LEPA/MDI</v>
          </cell>
          <cell r="F100" t="str">
            <v>5 years</v>
          </cell>
        </row>
        <row r="101">
          <cell r="A101" t="str">
            <v>Pivot and Linear_Upgrade from high pressure to MESA</v>
          </cell>
          <cell r="F101" t="str">
            <v>10 years</v>
          </cell>
        </row>
        <row r="102">
          <cell r="A102" t="str">
            <v>Pivot and Linear_Upgrade from high pressure to LESA/LEPA/MDI</v>
          </cell>
          <cell r="F102" t="str">
            <v>10 years</v>
          </cell>
        </row>
        <row r="103">
          <cell r="A103" t="str">
            <v>Pivot and Linear_Upgrade from MESA to LESA/LEPA/MDI</v>
          </cell>
          <cell r="F103" t="str">
            <v>10 years</v>
          </cell>
        </row>
      </sheetData>
      <sheetData sheetId="19">
        <row r="4">
          <cell r="E4" t="str">
            <v>Upgrade</v>
          </cell>
          <cell r="G4" t="str">
            <v>Baseline application efficiency</v>
          </cell>
          <cell r="H4" t="str">
            <v>Efficient case application efficiency</v>
          </cell>
          <cell r="I4" t="str">
            <v>% Water Savings</v>
          </cell>
        </row>
        <row r="5">
          <cell r="A5" t="str">
            <v>System type</v>
          </cell>
          <cell r="B5" t="str">
            <v>Application Efficiency</v>
          </cell>
          <cell r="C5" t="str">
            <v>Source</v>
          </cell>
          <cell r="E5" t="str">
            <v>From</v>
          </cell>
          <cell r="F5" t="str">
            <v>To</v>
          </cell>
        </row>
        <row r="6">
          <cell r="A6" t="str">
            <v>High pressure - sprinklers on top of system</v>
          </cell>
          <cell r="B6">
            <v>0.7</v>
          </cell>
          <cell r="C6" t="str">
            <v>2018 analyst estimate, subcommittee members confirmed that it is reasonable</v>
          </cell>
          <cell r="E6" t="str">
            <v>High pressure - sprinklers on top of system</v>
          </cell>
          <cell r="F6" t="str">
            <v>MESA</v>
          </cell>
          <cell r="G6">
            <v>0.7</v>
          </cell>
          <cell r="H6">
            <v>0.8</v>
          </cell>
          <cell r="I6">
            <v>0.12500000000000011</v>
          </cell>
        </row>
        <row r="7">
          <cell r="A7" t="str">
            <v>MESA</v>
          </cell>
          <cell r="B7">
            <v>0.8</v>
          </cell>
          <cell r="C7" t="str">
            <v>Source: WSU results provided in WSU/U of ID/Bonneville presentation to RTF staff/CAT in Feb. 2018.  Publication forthcoming.  Based on a three year study of ten systems containing MESA and LESA sections.</v>
          </cell>
          <cell r="E7" t="str">
            <v>High pressure - sprinklers on top of system</v>
          </cell>
          <cell r="F7" t="str">
            <v>LESA/LEPA/MDI</v>
          </cell>
          <cell r="G7">
            <v>0.7</v>
          </cell>
          <cell r="H7">
            <v>0.97</v>
          </cell>
          <cell r="I7">
            <v>0.27835051546391754</v>
          </cell>
        </row>
        <row r="8">
          <cell r="A8" t="str">
            <v>LESA/LEPA/MDI</v>
          </cell>
          <cell r="B8">
            <v>0.97</v>
          </cell>
          <cell r="E8" t="str">
            <v>MESA</v>
          </cell>
          <cell r="F8" t="str">
            <v>LESA/LEPA/MDI</v>
          </cell>
          <cell r="G8">
            <v>0.8</v>
          </cell>
          <cell r="H8">
            <v>0.97</v>
          </cell>
          <cell r="I8">
            <v>0.17525773195876282</v>
          </cell>
        </row>
        <row r="14">
          <cell r="F14" t="str">
            <v>Baseline application efficiency</v>
          </cell>
          <cell r="G14" t="str">
            <v>Efficient case application efficiency</v>
          </cell>
          <cell r="H14" t="str">
            <v>% Water Savings</v>
          </cell>
          <cell r="I14" t="str">
            <v>GPM Reduction per Nozzle</v>
          </cell>
          <cell r="J14" t="str">
            <v>Nozzle GPM</v>
          </cell>
          <cell r="K14" t="str">
            <v>Savings/Nozzle</v>
          </cell>
          <cell r="L14" t="str">
            <v>Nozzles/Acre (eff. Case)</v>
          </cell>
          <cell r="M14" t="str">
            <v>Savings/Acre</v>
          </cell>
          <cell r="N14" t="str">
            <v>Adj. Savings per Acre</v>
          </cell>
        </row>
        <row r="15">
          <cell r="E15" t="str">
            <v>High P to MESA</v>
          </cell>
          <cell r="F15">
            <v>0.7</v>
          </cell>
          <cell r="G15">
            <v>0.8</v>
          </cell>
          <cell r="H15">
            <v>0.12500000000000011</v>
          </cell>
          <cell r="I15">
            <v>0.43750000000000039</v>
          </cell>
          <cell r="J15">
            <v>3.5</v>
          </cell>
          <cell r="K15">
            <v>41.526213037738465</v>
          </cell>
          <cell r="L15">
            <v>1.0735440030803249</v>
          </cell>
          <cell r="M15">
            <v>44.580216977300132</v>
          </cell>
          <cell r="N15">
            <v>36.767189259628985</v>
          </cell>
        </row>
        <row r="16">
          <cell r="E16" t="str">
            <v>MESA to LESA</v>
          </cell>
          <cell r="F16">
            <v>0.8</v>
          </cell>
          <cell r="G16">
            <v>0.97</v>
          </cell>
          <cell r="H16">
            <v>0.17525773195876282</v>
          </cell>
          <cell r="I16">
            <v>0.30670103092783496</v>
          </cell>
          <cell r="J16">
            <v>1.75</v>
          </cell>
          <cell r="K16">
            <v>29.111159655321771</v>
          </cell>
          <cell r="L16">
            <v>2.1470880061606499</v>
          </cell>
          <cell r="M16">
            <v>62.504221741369172</v>
          </cell>
          <cell r="N16">
            <v>62.504221741369172</v>
          </cell>
        </row>
        <row r="17">
          <cell r="E17" t="str">
            <v>Sum of H-M and M-L</v>
          </cell>
          <cell r="H17">
            <v>0.30025773195876293</v>
          </cell>
          <cell r="M17">
            <v>107.0844387186693</v>
          </cell>
          <cell r="N17">
            <v>99.271411000998157</v>
          </cell>
        </row>
        <row r="18">
          <cell r="E18" t="str">
            <v>High P to LESA</v>
          </cell>
          <cell r="F18">
            <v>0.7</v>
          </cell>
          <cell r="G18">
            <v>0.97</v>
          </cell>
          <cell r="H18">
            <v>0.27835051546391754</v>
          </cell>
          <cell r="I18">
            <v>0.48711340206185572</v>
          </cell>
          <cell r="J18">
            <v>1.75</v>
          </cell>
          <cell r="K18">
            <v>46.235371217275784</v>
          </cell>
          <cell r="L18">
            <v>2.1470880061606499</v>
          </cell>
          <cell r="M18">
            <v>99.271411000998157</v>
          </cell>
          <cell r="N18">
            <v>99.271411000998157</v>
          </cell>
        </row>
      </sheetData>
      <sheetData sheetId="20">
        <row r="4">
          <cell r="A4" t="str">
            <v>Pivot-high pressure</v>
          </cell>
          <cell r="P4" t="str">
            <v>Pivot-low pressure</v>
          </cell>
          <cell r="AE4" t="str">
            <v>Thunderbird</v>
          </cell>
        </row>
        <row r="6">
          <cell r="A6">
            <v>41129</v>
          </cell>
          <cell r="B6" t="str">
            <v>Field ID/System:</v>
          </cell>
          <cell r="D6" t="str">
            <v>Page 1 of 1</v>
          </cell>
          <cell r="E6" t="str">
            <v>LAT:</v>
          </cell>
          <cell r="F6" t="str">
            <v>LON:</v>
          </cell>
          <cell r="G6" t="str">
            <v xml:space="preserve">Start PSI: </v>
          </cell>
          <cell r="H6" t="str">
            <v>End PSI:</v>
          </cell>
          <cell r="I6" t="str">
            <v>Pictures</v>
          </cell>
          <cell r="P6">
            <v>41073</v>
          </cell>
          <cell r="Q6" t="str">
            <v>Field ID/System:</v>
          </cell>
          <cell r="S6" t="str">
            <v>Page 1 of 1</v>
          </cell>
          <cell r="T6" t="str">
            <v>LAT:</v>
          </cell>
          <cell r="U6" t="str">
            <v>LON:</v>
          </cell>
          <cell r="V6" t="str">
            <v xml:space="preserve">Start PSI: </v>
          </cell>
          <cell r="W6" t="str">
            <v>End PSI:</v>
          </cell>
          <cell r="X6" t="str">
            <v>Pictures</v>
          </cell>
          <cell r="AE6">
            <v>41122</v>
          </cell>
          <cell r="AF6" t="str">
            <v>Field ID/System:</v>
          </cell>
          <cell r="AH6" t="str">
            <v>Page 1 of 1</v>
          </cell>
          <cell r="AI6" t="str">
            <v>LAT:</v>
          </cell>
          <cell r="AN6" t="str">
            <v>LON:</v>
          </cell>
        </row>
        <row r="7">
          <cell r="E7" t="str">
            <v>42°57'08"N</v>
          </cell>
          <cell r="F7" t="str">
            <v>114°59'36"W</v>
          </cell>
          <cell r="I7" t="str">
            <v>1728-1734</v>
          </cell>
          <cell r="T7" t="str">
            <v>42°31'18"N</v>
          </cell>
          <cell r="U7" t="str">
            <v>114°21'40"W</v>
          </cell>
          <cell r="X7" t="str">
            <v>0057-0058</v>
          </cell>
          <cell r="Y7" t="str">
            <v>Tower elev: 3961 Endgun elev:3965 when tested</v>
          </cell>
          <cell r="AI7" t="str">
            <v>42°43'9"N</v>
          </cell>
          <cell r="AN7" t="str">
            <v>113°45'45"W</v>
          </cell>
        </row>
        <row r="8">
          <cell r="A8" t="str">
            <v>HP1</v>
          </cell>
          <cell r="B8" t="str">
            <v>Dick Elliot/North 2 Tower Uniformity/55-60 PSI at pump/canal source</v>
          </cell>
          <cell r="G8" t="str">
            <v>Tower elev: 3286 Endgun elev:3280</v>
          </cell>
          <cell r="P8" t="str">
            <v>LP1</v>
          </cell>
          <cell r="Q8" t="str">
            <v>Shewmaker/5th season/original package/wobbler/15psi reg/40-45psi at pump/14ft spacing drop downs/ 5ft ground/source at pump</v>
          </cell>
          <cell r="AE8" t="str">
            <v>TB1</v>
          </cell>
          <cell r="AF8" t="str">
            <v>Don Sir/700N/TB/60-65 Pump PSI/Deep Well 240'</v>
          </cell>
        </row>
        <row r="9">
          <cell r="B9" t="str">
            <v>Riser/Pipe</v>
          </cell>
          <cell r="C9" t="str">
            <v>Inches</v>
          </cell>
          <cell r="D9" t="str">
            <v>Leaks @ GPM</v>
          </cell>
          <cell r="E9" t="str">
            <v>Type of Leak</v>
          </cell>
          <cell r="F9" t="str">
            <v>Nozzle Flow@ 30 sec.</v>
          </cell>
          <cell r="G9" t="str">
            <v>Nozzle Size</v>
          </cell>
          <cell r="H9" t="str">
            <v>Type of Sprinkler</v>
          </cell>
          <cell r="I9" t="str">
            <v>Picture</v>
          </cell>
          <cell r="J9" t="str">
            <v>Other Info</v>
          </cell>
          <cell r="N9" t="str">
            <v>KEY</v>
          </cell>
          <cell r="Q9" t="str">
            <v>Riser/Pipe</v>
          </cell>
          <cell r="R9" t="str">
            <v>Inches</v>
          </cell>
          <cell r="S9" t="str">
            <v>Inches</v>
          </cell>
          <cell r="T9" t="str">
            <v>Type of Leak</v>
          </cell>
          <cell r="U9" t="str">
            <v>Nozzle Flow@ 30 sec.</v>
          </cell>
          <cell r="V9" t="str">
            <v>Nozzle Size</v>
          </cell>
          <cell r="W9" t="str">
            <v>Type of Sprinkler</v>
          </cell>
          <cell r="X9" t="str">
            <v>Picture</v>
          </cell>
          <cell r="Y9" t="str">
            <v>Other Info</v>
          </cell>
          <cell r="AC9" t="str">
            <v>KEY</v>
          </cell>
          <cell r="AF9" t="str">
            <v>Riser/Pipe</v>
          </cell>
          <cell r="AG9" t="str">
            <v>Inches</v>
          </cell>
          <cell r="AH9" t="str">
            <v>Leaks @ GPM</v>
          </cell>
          <cell r="AI9" t="str">
            <v>Type of Leak</v>
          </cell>
          <cell r="AJ9" t="str">
            <v>Leak</v>
          </cell>
          <cell r="AK9" t="str">
            <v>No Leak</v>
          </cell>
          <cell r="AL9" t="str">
            <v>DV Leaks</v>
          </cell>
          <cell r="AM9" t="str">
            <v>Gasket Leaks</v>
          </cell>
          <cell r="AN9" t="str">
            <v>Nozzle Flow@ 30 sec.</v>
          </cell>
        </row>
        <row r="10">
          <cell r="B10" t="str">
            <v>W1</v>
          </cell>
          <cell r="Q10" t="str">
            <v xml:space="preserve"> </v>
          </cell>
          <cell r="AF10">
            <v>1</v>
          </cell>
          <cell r="AH10">
            <v>0.1</v>
          </cell>
          <cell r="AI10" t="str">
            <v>SP</v>
          </cell>
          <cell r="AJ10">
            <v>1</v>
          </cell>
          <cell r="AN10">
            <v>2.5</v>
          </cell>
        </row>
        <row r="11">
          <cell r="C11">
            <v>0.85</v>
          </cell>
          <cell r="N11" t="str">
            <v>DV=</v>
          </cell>
          <cell r="O11" t="str">
            <v>Drain Valve</v>
          </cell>
          <cell r="R11">
            <v>0.32</v>
          </cell>
          <cell r="S11">
            <v>0.25</v>
          </cell>
          <cell r="AC11" t="str">
            <v>DV=</v>
          </cell>
          <cell r="AD11" t="str">
            <v>Drain Valve</v>
          </cell>
          <cell r="AF11" t="str">
            <v>B</v>
          </cell>
          <cell r="AH11">
            <v>0.1</v>
          </cell>
          <cell r="AI11" t="str">
            <v>B</v>
          </cell>
        </row>
        <row r="12">
          <cell r="C12">
            <v>0.75</v>
          </cell>
          <cell r="N12" t="str">
            <v>G=</v>
          </cell>
          <cell r="O12" t="str">
            <v>Gasket</v>
          </cell>
          <cell r="R12">
            <v>0.4</v>
          </cell>
          <cell r="S12">
            <v>0.3</v>
          </cell>
          <cell r="AC12" t="str">
            <v>G=</v>
          </cell>
          <cell r="AD12" t="str">
            <v>Gasket</v>
          </cell>
          <cell r="AF12">
            <v>2</v>
          </cell>
          <cell r="AK12">
            <v>1</v>
          </cell>
          <cell r="AN12">
            <v>2.5</v>
          </cell>
        </row>
        <row r="13">
          <cell r="C13">
            <v>0.7</v>
          </cell>
          <cell r="N13" t="str">
            <v>GF=</v>
          </cell>
          <cell r="O13" t="str">
            <v>Gear Flange</v>
          </cell>
          <cell r="R13">
            <v>0.55000000000000004</v>
          </cell>
          <cell r="S13">
            <v>0.6</v>
          </cell>
          <cell r="AC13" t="str">
            <v>GF=</v>
          </cell>
          <cell r="AD13" t="str">
            <v>Gear Flange</v>
          </cell>
          <cell r="AF13">
            <v>3</v>
          </cell>
          <cell r="AK13">
            <v>1</v>
          </cell>
          <cell r="AN13">
            <v>2.5</v>
          </cell>
        </row>
        <row r="14">
          <cell r="C14">
            <v>0.65</v>
          </cell>
          <cell r="N14" t="str">
            <v>R=</v>
          </cell>
          <cell r="O14" t="str">
            <v>Rotator/Nelson</v>
          </cell>
          <cell r="R14">
            <v>0.68</v>
          </cell>
          <cell r="S14">
            <v>0.6</v>
          </cell>
          <cell r="AC14" t="str">
            <v>R=</v>
          </cell>
          <cell r="AD14" t="str">
            <v>Rotator/Nelson</v>
          </cell>
          <cell r="AF14">
            <v>4</v>
          </cell>
          <cell r="AH14">
            <v>0.4</v>
          </cell>
          <cell r="AI14" t="str">
            <v>SP</v>
          </cell>
          <cell r="AJ14">
            <v>1</v>
          </cell>
          <cell r="AN14">
            <v>2.2999999999999998</v>
          </cell>
        </row>
        <row r="15">
          <cell r="C15">
            <v>0.6</v>
          </cell>
          <cell r="N15" t="str">
            <v>B=</v>
          </cell>
          <cell r="O15" t="str">
            <v>Bird Impact Sprinkler</v>
          </cell>
          <cell r="R15">
            <v>0.55000000000000004</v>
          </cell>
          <cell r="S15">
            <v>0.6</v>
          </cell>
          <cell r="AC15" t="str">
            <v>B=</v>
          </cell>
          <cell r="AD15" t="str">
            <v>Bird Impact Sprinkler</v>
          </cell>
          <cell r="AF15">
            <v>5</v>
          </cell>
          <cell r="AK15">
            <v>1</v>
          </cell>
          <cell r="AN15">
            <v>2.7</v>
          </cell>
        </row>
        <row r="16">
          <cell r="C16">
            <v>0.65</v>
          </cell>
          <cell r="N16" t="str">
            <v>P=</v>
          </cell>
          <cell r="O16" t="str">
            <v>Puncture</v>
          </cell>
          <cell r="Q16" t="str">
            <v>W3</v>
          </cell>
          <cell r="AC16" t="str">
            <v>P=</v>
          </cell>
          <cell r="AD16" t="str">
            <v>Puncture</v>
          </cell>
          <cell r="AF16">
            <v>6</v>
          </cell>
          <cell r="AK16">
            <v>1</v>
          </cell>
          <cell r="AN16">
            <v>2.75</v>
          </cell>
        </row>
        <row r="17">
          <cell r="C17">
            <v>0.8</v>
          </cell>
          <cell r="N17" t="str">
            <v>W=</v>
          </cell>
          <cell r="O17" t="str">
            <v>Split Weld</v>
          </cell>
          <cell r="R17">
            <v>0.5</v>
          </cell>
          <cell r="S17">
            <v>0.5</v>
          </cell>
          <cell r="AC17" t="str">
            <v>W=</v>
          </cell>
          <cell r="AD17" t="str">
            <v>Split Weld</v>
          </cell>
          <cell r="AF17">
            <v>7</v>
          </cell>
          <cell r="AH17">
            <v>0.1</v>
          </cell>
          <cell r="AI17" t="str">
            <v>SP</v>
          </cell>
          <cell r="AJ17">
            <v>1</v>
          </cell>
          <cell r="AN17">
            <v>2.6</v>
          </cell>
        </row>
        <row r="18">
          <cell r="C18">
            <v>1</v>
          </cell>
          <cell r="N18" t="str">
            <v>S=</v>
          </cell>
          <cell r="O18" t="str">
            <v>Split</v>
          </cell>
          <cell r="R18">
            <v>0.55000000000000004</v>
          </cell>
          <cell r="S18">
            <v>0.6</v>
          </cell>
          <cell r="AC18" t="str">
            <v>S=</v>
          </cell>
          <cell r="AD18" t="str">
            <v>Split</v>
          </cell>
          <cell r="AF18">
            <v>8</v>
          </cell>
          <cell r="AK18">
            <v>1</v>
          </cell>
          <cell r="AN18">
            <v>2.4</v>
          </cell>
        </row>
        <row r="19">
          <cell r="C19">
            <v>0.9</v>
          </cell>
          <cell r="N19" t="str">
            <v>RL=</v>
          </cell>
          <cell r="O19" t="str">
            <v>Riser Leak</v>
          </cell>
          <cell r="R19">
            <v>0.51</v>
          </cell>
          <cell r="S19">
            <v>0.8</v>
          </cell>
          <cell r="AC19" t="str">
            <v>RL=</v>
          </cell>
          <cell r="AD19" t="str">
            <v>Riser Leak</v>
          </cell>
          <cell r="AF19">
            <v>9</v>
          </cell>
          <cell r="AK19">
            <v>1</v>
          </cell>
          <cell r="AN19">
            <v>2.4</v>
          </cell>
        </row>
        <row r="20">
          <cell r="C20">
            <v>0.9</v>
          </cell>
          <cell r="N20" t="str">
            <v>H=</v>
          </cell>
          <cell r="O20" t="str">
            <v>Hose</v>
          </cell>
          <cell r="R20">
            <v>0.6</v>
          </cell>
          <cell r="S20">
            <v>0.6</v>
          </cell>
          <cell r="AC20" t="str">
            <v>H=</v>
          </cell>
          <cell r="AD20" t="str">
            <v>Hose</v>
          </cell>
          <cell r="AF20">
            <v>10</v>
          </cell>
          <cell r="AK20">
            <v>1</v>
          </cell>
          <cell r="AN20">
            <v>2.6</v>
          </cell>
        </row>
        <row r="21">
          <cell r="C21">
            <v>0.9</v>
          </cell>
          <cell r="N21" t="str">
            <v>SP=</v>
          </cell>
          <cell r="O21" t="str">
            <v>Sprinkler positioner</v>
          </cell>
          <cell r="R21">
            <v>0.5</v>
          </cell>
          <cell r="S21">
            <v>0.6</v>
          </cell>
          <cell r="AC21" t="str">
            <v>SP=</v>
          </cell>
          <cell r="AD21" t="str">
            <v>Sprinkler positioner</v>
          </cell>
          <cell r="AF21">
            <v>11</v>
          </cell>
          <cell r="AH21">
            <v>0.2</v>
          </cell>
          <cell r="AI21" t="str">
            <v>SP</v>
          </cell>
          <cell r="AJ21">
            <v>1</v>
          </cell>
          <cell r="AN21">
            <v>2.5</v>
          </cell>
        </row>
        <row r="22">
          <cell r="C22">
            <v>0.9</v>
          </cell>
          <cell r="N22" t="str">
            <v>RE=</v>
          </cell>
          <cell r="O22" t="str">
            <v>Riser Elbow</v>
          </cell>
          <cell r="R22">
            <v>0.6</v>
          </cell>
          <cell r="S22">
            <v>0.9</v>
          </cell>
          <cell r="AC22" t="str">
            <v>RE=</v>
          </cell>
          <cell r="AD22" t="str">
            <v>Riser Elbow</v>
          </cell>
          <cell r="AF22" t="str">
            <v>B</v>
          </cell>
          <cell r="AH22">
            <v>0.1</v>
          </cell>
          <cell r="AI22" t="str">
            <v>DV</v>
          </cell>
          <cell r="AL22">
            <v>1</v>
          </cell>
        </row>
        <row r="23">
          <cell r="C23">
            <v>1</v>
          </cell>
          <cell r="R23">
            <v>0.6</v>
          </cell>
          <cell r="S23">
            <v>0.5</v>
          </cell>
          <cell r="AF23">
            <v>12</v>
          </cell>
          <cell r="AH23">
            <v>0.7</v>
          </cell>
          <cell r="AI23" t="str">
            <v>SP</v>
          </cell>
          <cell r="AJ23">
            <v>1</v>
          </cell>
          <cell r="AN23">
            <v>2.4</v>
          </cell>
        </row>
        <row r="24">
          <cell r="C24">
            <v>1</v>
          </cell>
          <cell r="R24">
            <v>0.51</v>
          </cell>
          <cell r="S24">
            <v>0.55000000000000004</v>
          </cell>
          <cell r="AF24">
            <v>13</v>
          </cell>
          <cell r="AK24">
            <v>1</v>
          </cell>
          <cell r="AN24">
            <v>2.5</v>
          </cell>
        </row>
        <row r="25">
          <cell r="C25">
            <v>1</v>
          </cell>
          <cell r="R25">
            <v>0.59</v>
          </cell>
          <cell r="S25">
            <v>0.75</v>
          </cell>
          <cell r="AF25">
            <v>14</v>
          </cell>
          <cell r="AH25">
            <v>0.1</v>
          </cell>
          <cell r="AI25" t="str">
            <v>SP</v>
          </cell>
          <cell r="AJ25">
            <v>1</v>
          </cell>
          <cell r="AN25">
            <v>2.5</v>
          </cell>
        </row>
        <row r="26">
          <cell r="C26">
            <v>1.1000000000000001</v>
          </cell>
          <cell r="R26">
            <v>0.5</v>
          </cell>
          <cell r="S26">
            <v>0.6</v>
          </cell>
          <cell r="AF26">
            <v>15</v>
          </cell>
          <cell r="AK26">
            <v>1</v>
          </cell>
          <cell r="AN26">
            <v>2.5</v>
          </cell>
        </row>
        <row r="27">
          <cell r="C27">
            <v>1.2</v>
          </cell>
          <cell r="R27">
            <v>0.5</v>
          </cell>
          <cell r="S27">
            <v>0.7</v>
          </cell>
          <cell r="AF27">
            <v>16</v>
          </cell>
          <cell r="AK27">
            <v>1</v>
          </cell>
          <cell r="AN27">
            <v>2.2999999999999998</v>
          </cell>
        </row>
        <row r="28">
          <cell r="C28">
            <v>1.2</v>
          </cell>
          <cell r="R28">
            <v>0.5</v>
          </cell>
          <cell r="S28">
            <v>0.55000000000000004</v>
          </cell>
          <cell r="AF28">
            <v>17</v>
          </cell>
          <cell r="AK28">
            <v>1</v>
          </cell>
          <cell r="AN28">
            <v>2.5</v>
          </cell>
        </row>
        <row r="29">
          <cell r="B29" t="str">
            <v>W2</v>
          </cell>
          <cell r="R29">
            <v>0.81</v>
          </cell>
          <cell r="S29">
            <v>0.9</v>
          </cell>
          <cell r="X29" t="str">
            <v>0062</v>
          </cell>
          <cell r="AF29">
            <v>18</v>
          </cell>
          <cell r="AH29">
            <v>0.3</v>
          </cell>
          <cell r="AI29" t="str">
            <v>SP</v>
          </cell>
          <cell r="AJ29">
            <v>1</v>
          </cell>
          <cell r="AN29">
            <v>2.2999999999999998</v>
          </cell>
        </row>
        <row r="30">
          <cell r="C30">
            <v>1.3</v>
          </cell>
          <cell r="R30">
            <v>0.23</v>
          </cell>
          <cell r="S30">
            <v>0.25</v>
          </cell>
          <cell r="X30" t="str">
            <v>0063</v>
          </cell>
          <cell r="AF30">
            <v>19</v>
          </cell>
          <cell r="AK30">
            <v>1</v>
          </cell>
          <cell r="AN30">
            <v>2.35</v>
          </cell>
        </row>
        <row r="31">
          <cell r="C31">
            <v>1.3</v>
          </cell>
          <cell r="R31">
            <v>0.3</v>
          </cell>
          <cell r="S31">
            <v>0.3</v>
          </cell>
          <cell r="X31" t="str">
            <v>0061</v>
          </cell>
          <cell r="AF31">
            <v>20</v>
          </cell>
          <cell r="AK31">
            <v>1</v>
          </cell>
          <cell r="AN31">
            <v>2.35</v>
          </cell>
        </row>
        <row r="32">
          <cell r="C32">
            <v>1.3</v>
          </cell>
          <cell r="R32">
            <v>0.61</v>
          </cell>
          <cell r="S32">
            <v>0.6</v>
          </cell>
          <cell r="AF32">
            <v>21</v>
          </cell>
          <cell r="AH32">
            <v>0.1</v>
          </cell>
          <cell r="AI32" t="str">
            <v>RE</v>
          </cell>
          <cell r="AJ32">
            <v>1</v>
          </cell>
          <cell r="AN32">
            <v>2.2999999999999998</v>
          </cell>
        </row>
        <row r="33">
          <cell r="C33">
            <v>1.2</v>
          </cell>
          <cell r="R33">
            <v>0.4</v>
          </cell>
          <cell r="S33">
            <v>0.5</v>
          </cell>
          <cell r="AF33">
            <v>22</v>
          </cell>
          <cell r="AK33">
            <v>1</v>
          </cell>
          <cell r="AN33">
            <v>2.5</v>
          </cell>
        </row>
        <row r="34">
          <cell r="C34">
            <v>1</v>
          </cell>
          <cell r="R34">
            <v>0.39</v>
          </cell>
          <cell r="S34">
            <v>0.5</v>
          </cell>
          <cell r="AF34">
            <v>23</v>
          </cell>
          <cell r="AK34">
            <v>1</v>
          </cell>
          <cell r="AN34">
            <v>2.2000000000000002</v>
          </cell>
        </row>
        <row r="35">
          <cell r="C35">
            <v>23</v>
          </cell>
          <cell r="R35">
            <v>0.6</v>
          </cell>
          <cell r="S35">
            <v>0.8</v>
          </cell>
          <cell r="X35" t="str">
            <v>0060</v>
          </cell>
          <cell r="AF35">
            <v>24</v>
          </cell>
          <cell r="AK35">
            <v>1</v>
          </cell>
          <cell r="AN35">
            <v>2.25</v>
          </cell>
        </row>
        <row r="36">
          <cell r="A36">
            <v>41129</v>
          </cell>
          <cell r="B36" t="str">
            <v>Field ID/System:</v>
          </cell>
          <cell r="D36" t="str">
            <v>Page 1 of 2</v>
          </cell>
          <cell r="E36" t="str">
            <v>LAT:</v>
          </cell>
          <cell r="F36" t="str">
            <v>LON:</v>
          </cell>
          <cell r="G36" t="str">
            <v xml:space="preserve">Start PSI: </v>
          </cell>
          <cell r="H36" t="str">
            <v>End PSI:</v>
          </cell>
          <cell r="I36" t="str">
            <v>Pictures</v>
          </cell>
          <cell r="Q36" t="str">
            <v>W2</v>
          </cell>
          <cell r="AF36">
            <v>25</v>
          </cell>
          <cell r="AK36">
            <v>1</v>
          </cell>
          <cell r="AN36">
            <v>2.2000000000000002</v>
          </cell>
        </row>
        <row r="37">
          <cell r="E37" t="str">
            <v>42°57'02.40"N</v>
          </cell>
          <cell r="F37" t="str">
            <v>114°59'45"W</v>
          </cell>
          <cell r="I37" t="str">
            <v>1718-1727</v>
          </cell>
          <cell r="R37">
            <v>0.35</v>
          </cell>
          <cell r="S37">
            <v>0.7</v>
          </cell>
          <cell r="X37" t="str">
            <v>0059</v>
          </cell>
          <cell r="AF37">
            <v>26</v>
          </cell>
          <cell r="AK37">
            <v>1</v>
          </cell>
          <cell r="AN37">
            <v>2.25</v>
          </cell>
        </row>
        <row r="38">
          <cell r="A38" t="str">
            <v>HP2</v>
          </cell>
          <cell r="B38" t="str">
            <v>Dick Elliot/West 3 Tower Pivot Uniformity/55-60 PSI at pump/canal source</v>
          </cell>
          <cell r="G38" t="str">
            <v>Tower elev: 3269 Endgun elev:3275</v>
          </cell>
          <cell r="R38">
            <v>0.23</v>
          </cell>
          <cell r="S38">
            <v>0.3</v>
          </cell>
          <cell r="AF38">
            <v>27</v>
          </cell>
          <cell r="AH38">
            <v>0.1</v>
          </cell>
          <cell r="AI38" t="str">
            <v>SP</v>
          </cell>
          <cell r="AJ38">
            <v>1</v>
          </cell>
          <cell r="AN38">
            <v>2.2000000000000002</v>
          </cell>
        </row>
        <row r="39">
          <cell r="B39" t="str">
            <v>Riser/Pipe</v>
          </cell>
          <cell r="C39" t="str">
            <v>Inches</v>
          </cell>
          <cell r="D39" t="str">
            <v>Leaks @ GPM</v>
          </cell>
          <cell r="E39" t="str">
            <v>Type of Leak</v>
          </cell>
          <cell r="F39" t="str">
            <v>Nozzle Flow@ 30 sec.</v>
          </cell>
          <cell r="G39" t="str">
            <v>Nozzle Size</v>
          </cell>
          <cell r="H39" t="str">
            <v>Type of Sprinkler</v>
          </cell>
          <cell r="I39" t="str">
            <v>Picture</v>
          </cell>
          <cell r="J39" t="str">
            <v>Other Info</v>
          </cell>
          <cell r="N39" t="str">
            <v>KEY</v>
          </cell>
          <cell r="R39">
            <v>0.7</v>
          </cell>
          <cell r="S39">
            <v>0.6</v>
          </cell>
          <cell r="AF39">
            <v>28</v>
          </cell>
          <cell r="AK39">
            <v>1</v>
          </cell>
          <cell r="AN39">
            <v>2.25</v>
          </cell>
        </row>
        <row r="40">
          <cell r="B40" t="str">
            <v>W1</v>
          </cell>
          <cell r="R40">
            <v>0.5</v>
          </cell>
          <cell r="S40">
            <v>0.55000000000000004</v>
          </cell>
          <cell r="AF40">
            <v>29</v>
          </cell>
          <cell r="AK40">
            <v>1</v>
          </cell>
          <cell r="AN40">
            <v>2.25</v>
          </cell>
        </row>
        <row r="41">
          <cell r="C41">
            <v>0.7</v>
          </cell>
          <cell r="N41" t="str">
            <v>DV=</v>
          </cell>
          <cell r="O41" t="str">
            <v>Drain Valve</v>
          </cell>
          <cell r="R41">
            <v>0.55000000000000004</v>
          </cell>
          <cell r="S41">
            <v>0.6</v>
          </cell>
          <cell r="AF41">
            <v>30</v>
          </cell>
          <cell r="AK41">
            <v>1</v>
          </cell>
          <cell r="AN41">
            <v>2.2000000000000002</v>
          </cell>
        </row>
        <row r="42">
          <cell r="C42">
            <v>0.7</v>
          </cell>
          <cell r="N42" t="str">
            <v>G=</v>
          </cell>
          <cell r="O42" t="str">
            <v>Gasket</v>
          </cell>
          <cell r="R42">
            <v>0.5</v>
          </cell>
          <cell r="S42">
            <v>0.65</v>
          </cell>
          <cell r="AF42">
            <v>31</v>
          </cell>
          <cell r="AH42">
            <v>0.5</v>
          </cell>
          <cell r="AI42" t="str">
            <v>SP</v>
          </cell>
          <cell r="AJ42">
            <v>1</v>
          </cell>
          <cell r="AN42">
            <v>2.25</v>
          </cell>
        </row>
        <row r="43">
          <cell r="C43">
            <v>0.7</v>
          </cell>
          <cell r="N43" t="str">
            <v>GF=</v>
          </cell>
          <cell r="O43" t="str">
            <v>Gear Flange</v>
          </cell>
          <cell r="R43">
            <v>0.61</v>
          </cell>
          <cell r="S43">
            <v>0.65</v>
          </cell>
          <cell r="AF43">
            <v>32</v>
          </cell>
          <cell r="AK43">
            <v>1</v>
          </cell>
          <cell r="AN43">
            <v>2.25</v>
          </cell>
        </row>
        <row r="44">
          <cell r="C44">
            <v>0.78</v>
          </cell>
          <cell r="N44" t="str">
            <v>R=</v>
          </cell>
          <cell r="O44" t="str">
            <v>Rotator/Nelson</v>
          </cell>
          <cell r="R44">
            <v>0.5</v>
          </cell>
          <cell r="S44">
            <v>0.62</v>
          </cell>
          <cell r="AJ44">
            <v>10</v>
          </cell>
          <cell r="AK44">
            <v>22</v>
          </cell>
          <cell r="AL44">
            <v>1</v>
          </cell>
        </row>
        <row r="45">
          <cell r="C45">
            <v>0.85</v>
          </cell>
          <cell r="N45" t="str">
            <v>B=</v>
          </cell>
          <cell r="O45" t="str">
            <v>Bird Impact Sprinkler</v>
          </cell>
          <cell r="R45">
            <v>0.51</v>
          </cell>
          <cell r="S45">
            <v>0.8</v>
          </cell>
          <cell r="AE45">
            <v>41122</v>
          </cell>
          <cell r="AF45" t="str">
            <v>Field ID/System:</v>
          </cell>
          <cell r="AH45" t="str">
            <v>Page 1 of 1</v>
          </cell>
          <cell r="AI45" t="str">
            <v>LAT:</v>
          </cell>
          <cell r="AN45" t="str">
            <v>LON:</v>
          </cell>
        </row>
        <row r="46">
          <cell r="C46">
            <v>0.9</v>
          </cell>
          <cell r="N46" t="str">
            <v>P=</v>
          </cell>
          <cell r="O46" t="str">
            <v>Puncture</v>
          </cell>
          <cell r="R46">
            <v>0.6</v>
          </cell>
          <cell r="S46">
            <v>0.65</v>
          </cell>
          <cell r="AI46" t="str">
            <v>42°42'56.75"N</v>
          </cell>
          <cell r="AN46" t="str">
            <v>113°45'42"W</v>
          </cell>
        </row>
        <row r="47">
          <cell r="C47">
            <v>0.9</v>
          </cell>
          <cell r="N47" t="str">
            <v>W=</v>
          </cell>
          <cell r="O47" t="str">
            <v>Split Weld</v>
          </cell>
          <cell r="R47">
            <v>0.5</v>
          </cell>
          <cell r="S47">
            <v>0.65</v>
          </cell>
          <cell r="AE47" t="str">
            <v>TB2</v>
          </cell>
          <cell r="AF47" t="str">
            <v>Don Sir/700N/TB/60-65 Pump PSI/Deep Well 240'</v>
          </cell>
        </row>
        <row r="48">
          <cell r="C48">
            <v>0.9</v>
          </cell>
          <cell r="N48" t="str">
            <v>S=</v>
          </cell>
          <cell r="O48" t="str">
            <v>Split</v>
          </cell>
          <cell r="R48">
            <v>0.5</v>
          </cell>
          <cell r="S48">
            <v>0.5</v>
          </cell>
          <cell r="AF48" t="str">
            <v>Riser/Pipe</v>
          </cell>
          <cell r="AG48" t="str">
            <v>Inches</v>
          </cell>
          <cell r="AH48" t="str">
            <v>Leaks @ GPM</v>
          </cell>
          <cell r="AI48" t="str">
            <v>Type of Leak</v>
          </cell>
          <cell r="AJ48" t="str">
            <v>Leak</v>
          </cell>
          <cell r="AK48" t="str">
            <v>No Leak</v>
          </cell>
          <cell r="AL48" t="str">
            <v>DV Leaks</v>
          </cell>
          <cell r="AM48" t="str">
            <v>Gasket Leaks</v>
          </cell>
          <cell r="AN48" t="str">
            <v>Nozzle Flow@ 30 sec.</v>
          </cell>
        </row>
        <row r="49">
          <cell r="C49">
            <v>1</v>
          </cell>
          <cell r="N49" t="str">
            <v>RL=</v>
          </cell>
          <cell r="O49" t="str">
            <v>Riser Leak</v>
          </cell>
          <cell r="R49">
            <v>0.6</v>
          </cell>
          <cell r="S49">
            <v>0.6</v>
          </cell>
          <cell r="AF49">
            <v>0.5</v>
          </cell>
          <cell r="AH49">
            <v>0.2</v>
          </cell>
          <cell r="AI49" t="str">
            <v>G</v>
          </cell>
          <cell r="AM49">
            <v>1</v>
          </cell>
        </row>
        <row r="50">
          <cell r="C50">
            <v>0.95</v>
          </cell>
          <cell r="N50" t="str">
            <v>H=</v>
          </cell>
          <cell r="O50" t="str">
            <v>Hose</v>
          </cell>
          <cell r="R50">
            <v>0.5</v>
          </cell>
          <cell r="S50">
            <v>0.62</v>
          </cell>
          <cell r="AF50">
            <v>1</v>
          </cell>
          <cell r="AK50">
            <v>1</v>
          </cell>
          <cell r="AN50">
            <v>2.25</v>
          </cell>
        </row>
        <row r="51">
          <cell r="C51">
            <v>1.1000000000000001</v>
          </cell>
          <cell r="N51" t="str">
            <v>SP=</v>
          </cell>
          <cell r="O51" t="str">
            <v>Sprinkler positioner</v>
          </cell>
          <cell r="R51">
            <v>0.51</v>
          </cell>
          <cell r="S51">
            <v>0.55000000000000004</v>
          </cell>
          <cell r="AF51">
            <v>2</v>
          </cell>
          <cell r="AH51">
            <v>0.1</v>
          </cell>
          <cell r="AI51" t="str">
            <v>SP</v>
          </cell>
          <cell r="AJ51">
            <v>1</v>
          </cell>
          <cell r="AN51">
            <v>2.2000000000000002</v>
          </cell>
        </row>
        <row r="52">
          <cell r="C52">
            <v>1.4</v>
          </cell>
          <cell r="N52" t="str">
            <v>RE=</v>
          </cell>
          <cell r="O52" t="str">
            <v>Riser Elbow</v>
          </cell>
          <cell r="R52">
            <v>0.5</v>
          </cell>
          <cell r="S52">
            <v>0.45</v>
          </cell>
          <cell r="AF52" t="str">
            <v>B</v>
          </cell>
          <cell r="AH52">
            <v>0.15</v>
          </cell>
          <cell r="AI52" t="str">
            <v>G</v>
          </cell>
          <cell r="AM52">
            <v>1</v>
          </cell>
        </row>
        <row r="53">
          <cell r="C53">
            <v>1.4</v>
          </cell>
          <cell r="R53">
            <v>0.5</v>
          </cell>
          <cell r="S53">
            <v>0.45</v>
          </cell>
          <cell r="AF53" t="str">
            <v>C</v>
          </cell>
          <cell r="AH53">
            <v>0.15</v>
          </cell>
          <cell r="AI53" t="str">
            <v>G</v>
          </cell>
          <cell r="AM53">
            <v>1</v>
          </cell>
        </row>
        <row r="54">
          <cell r="C54">
            <v>1</v>
          </cell>
          <cell r="R54">
            <v>0.46</v>
          </cell>
          <cell r="S54">
            <v>0.45</v>
          </cell>
          <cell r="AF54">
            <v>3</v>
          </cell>
          <cell r="AH54">
            <v>0.25</v>
          </cell>
          <cell r="AI54" t="str">
            <v>SP</v>
          </cell>
          <cell r="AJ54">
            <v>1</v>
          </cell>
          <cell r="AN54">
            <v>2.4</v>
          </cell>
        </row>
        <row r="55">
          <cell r="C55">
            <v>0.95</v>
          </cell>
          <cell r="R55">
            <v>0.6</v>
          </cell>
          <cell r="S55">
            <v>0.7</v>
          </cell>
          <cell r="AF55" t="str">
            <v>B</v>
          </cell>
          <cell r="AH55">
            <v>1.1000000000000001</v>
          </cell>
          <cell r="AI55" t="str">
            <v>G</v>
          </cell>
          <cell r="AM55">
            <v>1</v>
          </cell>
        </row>
        <row r="56">
          <cell r="C56">
            <v>1.05</v>
          </cell>
          <cell r="Q56" t="str">
            <v>W1</v>
          </cell>
          <cell r="AF56" t="str">
            <v>C</v>
          </cell>
          <cell r="AH56">
            <v>2.4</v>
          </cell>
          <cell r="AI56" t="str">
            <v>G</v>
          </cell>
          <cell r="AM56">
            <v>1</v>
          </cell>
        </row>
        <row r="57">
          <cell r="C57">
            <v>1.2</v>
          </cell>
          <cell r="R57">
            <v>1</v>
          </cell>
          <cell r="S57">
            <v>0.85</v>
          </cell>
          <cell r="AF57">
            <v>4</v>
          </cell>
          <cell r="AH57">
            <v>0.1</v>
          </cell>
          <cell r="AI57" t="str">
            <v>SP</v>
          </cell>
          <cell r="AJ57">
            <v>1</v>
          </cell>
          <cell r="AN57">
            <v>2.2000000000000002</v>
          </cell>
        </row>
        <row r="58">
          <cell r="C58">
            <v>0.85</v>
          </cell>
          <cell r="R58">
            <v>0.55000000000000004</v>
          </cell>
          <cell r="S58">
            <v>1.1000000000000001</v>
          </cell>
          <cell r="AF58" t="str">
            <v>B</v>
          </cell>
          <cell r="AH58">
            <v>0.4</v>
          </cell>
          <cell r="AI58" t="str">
            <v>B</v>
          </cell>
        </row>
        <row r="59">
          <cell r="C59">
            <v>0.8</v>
          </cell>
          <cell r="R59">
            <v>0.9</v>
          </cell>
          <cell r="S59">
            <v>1</v>
          </cell>
          <cell r="AF59">
            <v>5</v>
          </cell>
          <cell r="AK59">
            <v>1</v>
          </cell>
          <cell r="AN59">
            <v>2.25</v>
          </cell>
        </row>
        <row r="60">
          <cell r="B60" t="str">
            <v>W2</v>
          </cell>
          <cell r="R60">
            <v>0.4</v>
          </cell>
          <cell r="S60">
            <v>0.46</v>
          </cell>
          <cell r="AF60" t="str">
            <v>B</v>
          </cell>
          <cell r="AH60">
            <v>0.3</v>
          </cell>
          <cell r="AI60" t="str">
            <v>G</v>
          </cell>
          <cell r="AM60">
            <v>1</v>
          </cell>
        </row>
        <row r="61">
          <cell r="C61">
            <v>0.8</v>
          </cell>
          <cell r="R61">
            <v>0.6</v>
          </cell>
          <cell r="S61">
            <v>0.5</v>
          </cell>
          <cell r="AF61" t="str">
            <v>C</v>
          </cell>
          <cell r="AH61">
            <v>2.1</v>
          </cell>
          <cell r="AI61" t="str">
            <v>G</v>
          </cell>
          <cell r="AM61">
            <v>1</v>
          </cell>
        </row>
        <row r="62">
          <cell r="C62">
            <v>0.8</v>
          </cell>
          <cell r="R62">
            <v>0.88</v>
          </cell>
          <cell r="S62">
            <v>0.9</v>
          </cell>
          <cell r="AF62">
            <v>6</v>
          </cell>
          <cell r="AK62">
            <v>1</v>
          </cell>
          <cell r="AN62">
            <v>2.4</v>
          </cell>
        </row>
        <row r="63">
          <cell r="C63">
            <v>0.85</v>
          </cell>
          <cell r="R63">
            <v>0.9</v>
          </cell>
          <cell r="S63">
            <v>0.95</v>
          </cell>
          <cell r="AF63">
            <v>7</v>
          </cell>
          <cell r="AH63">
            <v>2.5</v>
          </cell>
          <cell r="AI63" t="str">
            <v>G</v>
          </cell>
          <cell r="AK63">
            <v>1</v>
          </cell>
          <cell r="AM63">
            <v>1</v>
          </cell>
          <cell r="AN63">
            <v>2.9</v>
          </cell>
        </row>
        <row r="64">
          <cell r="C64">
            <v>0.9</v>
          </cell>
          <cell r="R64">
            <v>0.95</v>
          </cell>
          <cell r="S64">
            <v>0.9</v>
          </cell>
          <cell r="AF64">
            <v>8</v>
          </cell>
          <cell r="AK64">
            <v>1</v>
          </cell>
          <cell r="AN64">
            <v>2.5</v>
          </cell>
        </row>
        <row r="65">
          <cell r="C65">
            <v>0.8</v>
          </cell>
          <cell r="R65">
            <v>1</v>
          </cell>
          <cell r="S65">
            <v>1.2</v>
          </cell>
          <cell r="AF65">
            <v>9</v>
          </cell>
          <cell r="AH65">
            <v>0.2</v>
          </cell>
          <cell r="AI65" t="str">
            <v>B</v>
          </cell>
          <cell r="AJ65">
            <v>1</v>
          </cell>
          <cell r="AN65">
            <v>2.25</v>
          </cell>
        </row>
        <row r="66">
          <cell r="C66">
            <v>0.8</v>
          </cell>
          <cell r="R66">
            <v>0.95</v>
          </cell>
          <cell r="S66">
            <v>1.2</v>
          </cell>
          <cell r="AF66" t="str">
            <v>B</v>
          </cell>
          <cell r="AH66">
            <v>0.1</v>
          </cell>
          <cell r="AI66" t="str">
            <v>SP</v>
          </cell>
        </row>
        <row r="67">
          <cell r="C67">
            <v>0.75</v>
          </cell>
          <cell r="R67">
            <v>1.2</v>
          </cell>
          <cell r="S67">
            <v>1.3</v>
          </cell>
          <cell r="AF67">
            <v>10</v>
          </cell>
          <cell r="AH67">
            <v>0.3</v>
          </cell>
          <cell r="AI67" t="str">
            <v>B</v>
          </cell>
          <cell r="AJ67">
            <v>1</v>
          </cell>
          <cell r="AN67">
            <v>2.2999999999999998</v>
          </cell>
        </row>
        <row r="68">
          <cell r="C68">
            <v>0.8</v>
          </cell>
          <cell r="R68">
            <v>1.1000000000000001</v>
          </cell>
          <cell r="S68">
            <v>1</v>
          </cell>
          <cell r="AF68" t="str">
            <v>B</v>
          </cell>
          <cell r="AH68">
            <v>0.1</v>
          </cell>
          <cell r="AI68" t="str">
            <v>SP</v>
          </cell>
        </row>
        <row r="69">
          <cell r="C69">
            <v>0.75</v>
          </cell>
          <cell r="R69">
            <v>1.1000000000000001</v>
          </cell>
          <cell r="S69">
            <v>1.1000000000000001</v>
          </cell>
          <cell r="AF69" t="str">
            <v>C</v>
          </cell>
          <cell r="AH69">
            <v>0.1</v>
          </cell>
        </row>
        <row r="70">
          <cell r="C70">
            <v>0.75</v>
          </cell>
          <cell r="R70">
            <v>1.5</v>
          </cell>
          <cell r="S70">
            <v>1.5</v>
          </cell>
          <cell r="AF70">
            <v>11</v>
          </cell>
          <cell r="AH70">
            <v>0.5</v>
          </cell>
          <cell r="AI70" t="str">
            <v>B</v>
          </cell>
          <cell r="AJ70">
            <v>1</v>
          </cell>
          <cell r="AN70">
            <v>2.2000000000000002</v>
          </cell>
        </row>
        <row r="71">
          <cell r="C71">
            <v>0.75</v>
          </cell>
          <cell r="R71">
            <v>1.2</v>
          </cell>
          <cell r="S71">
            <v>1.2</v>
          </cell>
          <cell r="AF71">
            <v>12</v>
          </cell>
          <cell r="AH71">
            <v>0.7</v>
          </cell>
          <cell r="AI71" t="str">
            <v>B</v>
          </cell>
          <cell r="AJ71">
            <v>1</v>
          </cell>
          <cell r="AN71">
            <v>2.25</v>
          </cell>
        </row>
        <row r="72">
          <cell r="C72">
            <v>0.7</v>
          </cell>
          <cell r="R72">
            <v>0.91</v>
          </cell>
          <cell r="S72">
            <v>0.95</v>
          </cell>
          <cell r="AF72">
            <v>13</v>
          </cell>
          <cell r="AH72">
            <v>0.2</v>
          </cell>
          <cell r="AI72" t="str">
            <v>G</v>
          </cell>
          <cell r="AK72">
            <v>1</v>
          </cell>
          <cell r="AM72">
            <v>1</v>
          </cell>
          <cell r="AN72">
            <v>2.2000000000000002</v>
          </cell>
        </row>
        <row r="73">
          <cell r="C73">
            <v>0.8</v>
          </cell>
          <cell r="R73">
            <v>1</v>
          </cell>
          <cell r="S73">
            <v>1.5</v>
          </cell>
          <cell r="AF73">
            <v>14</v>
          </cell>
          <cell r="AK73">
            <v>1</v>
          </cell>
          <cell r="AN73">
            <v>2.2000000000000002</v>
          </cell>
        </row>
        <row r="74">
          <cell r="C74">
            <v>0.8</v>
          </cell>
          <cell r="R74">
            <v>1.5</v>
          </cell>
          <cell r="S74">
            <v>0.8</v>
          </cell>
          <cell r="AF74">
            <v>15</v>
          </cell>
          <cell r="AK74">
            <v>1</v>
          </cell>
          <cell r="AN74">
            <v>2.5</v>
          </cell>
        </row>
        <row r="75">
          <cell r="C75">
            <v>0.75</v>
          </cell>
          <cell r="R75">
            <v>1.1000000000000001</v>
          </cell>
          <cell r="S75">
            <v>0.95</v>
          </cell>
          <cell r="AJ75">
            <v>7</v>
          </cell>
          <cell r="AK75">
            <v>8</v>
          </cell>
          <cell r="AM75">
            <v>9</v>
          </cell>
        </row>
        <row r="76">
          <cell r="C76">
            <v>0.7</v>
          </cell>
          <cell r="R76">
            <v>0.23</v>
          </cell>
          <cell r="S76">
            <v>0.2</v>
          </cell>
          <cell r="AE76">
            <v>41124</v>
          </cell>
          <cell r="AF76" t="str">
            <v>Field ID/System:</v>
          </cell>
          <cell r="AH76" t="str">
            <v>Page 1 of 1</v>
          </cell>
          <cell r="AI76" t="str">
            <v>LAT:</v>
          </cell>
          <cell r="AN76" t="str">
            <v>LON:</v>
          </cell>
        </row>
        <row r="77">
          <cell r="C77">
            <v>0.7</v>
          </cell>
          <cell r="Q77" t="str">
            <v>W0</v>
          </cell>
          <cell r="AI77" t="str">
            <v>42°15'8"N</v>
          </cell>
          <cell r="AN77" t="str">
            <v>113°52'46"W</v>
          </cell>
        </row>
        <row r="78">
          <cell r="C78">
            <v>0.75</v>
          </cell>
          <cell r="R78">
            <v>63</v>
          </cell>
          <cell r="AE78" t="str">
            <v>TB3</v>
          </cell>
          <cell r="AF78" t="str">
            <v>Randy Hardy/20 year old TB/North line/Replaced birds,Nozzles and gaskets when/at random/Oakley reservoir 65PSI multi speed pump</v>
          </cell>
        </row>
        <row r="79">
          <cell r="C79">
            <v>0.75</v>
          </cell>
          <cell r="P79">
            <v>41101</v>
          </cell>
          <cell r="Q79" t="str">
            <v>Field ID/System:</v>
          </cell>
          <cell r="S79" t="str">
            <v>Page 1 of 1</v>
          </cell>
          <cell r="T79" t="str">
            <v>LAT:</v>
          </cell>
          <cell r="U79" t="str">
            <v>LON:</v>
          </cell>
          <cell r="V79" t="str">
            <v xml:space="preserve">Start PSI: </v>
          </cell>
          <cell r="W79" t="str">
            <v>End PSI:</v>
          </cell>
          <cell r="X79" t="str">
            <v>Pictures</v>
          </cell>
          <cell r="AF79" t="str">
            <v>Riser/Pipe</v>
          </cell>
          <cell r="AG79" t="str">
            <v>Inches</v>
          </cell>
          <cell r="AH79" t="str">
            <v>Leaks @ GPM</v>
          </cell>
          <cell r="AI79" t="str">
            <v>Type of Leak</v>
          </cell>
          <cell r="AJ79" t="str">
            <v>Leak</v>
          </cell>
          <cell r="AK79" t="str">
            <v>No Leak</v>
          </cell>
          <cell r="AL79" t="str">
            <v>DV Leaks</v>
          </cell>
          <cell r="AM79" t="str">
            <v>Gasket Leaks</v>
          </cell>
          <cell r="AN79" t="str">
            <v>Nozzle Flow@ 30 sec.</v>
          </cell>
        </row>
        <row r="80">
          <cell r="B80" t="str">
            <v>W3</v>
          </cell>
          <cell r="T80" t="str">
            <v>42°32'39"N</v>
          </cell>
          <cell r="U80" t="str">
            <v>114°18'58"W</v>
          </cell>
          <cell r="Y80" t="str">
            <v>Tower elev: 3976 Endgun elev:3957 when tested</v>
          </cell>
          <cell r="AF80">
            <v>0.5</v>
          </cell>
          <cell r="AH80">
            <v>0.5</v>
          </cell>
          <cell r="AI80" t="str">
            <v>G</v>
          </cell>
          <cell r="AM80">
            <v>1</v>
          </cell>
        </row>
        <row r="81">
          <cell r="C81">
            <v>1</v>
          </cell>
          <cell r="P81" t="str">
            <v>LP2</v>
          </cell>
          <cell r="Q81" t="str">
            <v>Larry/3 years old</v>
          </cell>
          <cell r="S81" t="str">
            <v>15 psi Iwob, 5.5 ft high about 90" spacing</v>
          </cell>
          <cell r="AF81">
            <v>1</v>
          </cell>
          <cell r="AH81">
            <v>0.1</v>
          </cell>
          <cell r="AI81" t="str">
            <v>SP</v>
          </cell>
          <cell r="AJ81">
            <v>1</v>
          </cell>
          <cell r="AN81">
            <v>2.5</v>
          </cell>
        </row>
        <row r="82">
          <cell r="C82">
            <v>0.7</v>
          </cell>
          <cell r="Q82" t="str">
            <v>Riser/Pipe</v>
          </cell>
          <cell r="R82" t="str">
            <v>Inches</v>
          </cell>
          <cell r="S82" t="str">
            <v>Leaks @ GPM</v>
          </cell>
          <cell r="T82" t="str">
            <v>Type of Leak</v>
          </cell>
          <cell r="U82" t="str">
            <v>Nozzle Flow@ 30 sec.</v>
          </cell>
          <cell r="V82" t="str">
            <v>Nozzle Size</v>
          </cell>
          <cell r="W82" t="str">
            <v>Type of Sprinkler</v>
          </cell>
          <cell r="X82" t="str">
            <v>Picture</v>
          </cell>
          <cell r="Y82" t="str">
            <v>Other Info</v>
          </cell>
          <cell r="AC82" t="str">
            <v>KEY</v>
          </cell>
          <cell r="AF82">
            <v>2</v>
          </cell>
          <cell r="AH82">
            <v>0.1</v>
          </cell>
          <cell r="AI82" t="str">
            <v>G</v>
          </cell>
          <cell r="AK82">
            <v>1</v>
          </cell>
          <cell r="AM82">
            <v>1</v>
          </cell>
          <cell r="AN82">
            <v>2.2000000000000002</v>
          </cell>
        </row>
        <row r="83">
          <cell r="C83">
            <v>0.8</v>
          </cell>
          <cell r="Q83" t="str">
            <v xml:space="preserve"> </v>
          </cell>
          <cell r="R83">
            <v>0.45</v>
          </cell>
          <cell r="AF83">
            <v>3</v>
          </cell>
          <cell r="AH83">
            <v>0.1</v>
          </cell>
          <cell r="AI83" t="str">
            <v>SP</v>
          </cell>
          <cell r="AJ83">
            <v>1</v>
          </cell>
          <cell r="AN83">
            <v>2.5</v>
          </cell>
        </row>
        <row r="84">
          <cell r="C84">
            <v>0.9</v>
          </cell>
          <cell r="R84">
            <v>0.4</v>
          </cell>
          <cell r="AC84" t="str">
            <v>DV=</v>
          </cell>
          <cell r="AD84" t="str">
            <v>Drain Valve</v>
          </cell>
          <cell r="AF84">
            <v>4</v>
          </cell>
          <cell r="AK84">
            <v>1</v>
          </cell>
          <cell r="AN84">
            <v>2.6</v>
          </cell>
        </row>
        <row r="85">
          <cell r="C85">
            <v>1</v>
          </cell>
          <cell r="R85">
            <v>0.45</v>
          </cell>
          <cell r="AC85" t="str">
            <v>G=</v>
          </cell>
          <cell r="AD85" t="str">
            <v>Gasket</v>
          </cell>
          <cell r="AF85">
            <v>5</v>
          </cell>
          <cell r="AH85">
            <v>0.3</v>
          </cell>
          <cell r="AI85" t="str">
            <v>G</v>
          </cell>
          <cell r="AK85">
            <v>1</v>
          </cell>
          <cell r="AM85">
            <v>1</v>
          </cell>
          <cell r="AN85">
            <v>2.5499999999999998</v>
          </cell>
        </row>
        <row r="86">
          <cell r="C86">
            <v>0.95</v>
          </cell>
          <cell r="R86">
            <v>0.44</v>
          </cell>
          <cell r="AC86" t="str">
            <v>GF=</v>
          </cell>
          <cell r="AD86" t="str">
            <v>Gear Flange</v>
          </cell>
          <cell r="AF86">
            <v>6</v>
          </cell>
          <cell r="AK86">
            <v>1</v>
          </cell>
          <cell r="AN86">
            <v>2.5</v>
          </cell>
        </row>
        <row r="87">
          <cell r="C87">
            <v>1</v>
          </cell>
          <cell r="R87">
            <v>0.4</v>
          </cell>
          <cell r="AC87" t="str">
            <v>R=</v>
          </cell>
          <cell r="AD87" t="str">
            <v>Rotator/Nelson</v>
          </cell>
          <cell r="AF87">
            <v>7</v>
          </cell>
          <cell r="AH87">
            <v>0.1</v>
          </cell>
          <cell r="AI87" t="str">
            <v>G</v>
          </cell>
          <cell r="AK87">
            <v>1</v>
          </cell>
          <cell r="AM87">
            <v>1</v>
          </cell>
          <cell r="AN87">
            <v>2.5</v>
          </cell>
        </row>
        <row r="88">
          <cell r="C88">
            <v>1</v>
          </cell>
          <cell r="R88">
            <v>0.45</v>
          </cell>
          <cell r="AC88" t="str">
            <v>B=</v>
          </cell>
          <cell r="AD88" t="str">
            <v>Bird Impact Sprinkler</v>
          </cell>
          <cell r="AF88">
            <v>8</v>
          </cell>
          <cell r="AK88">
            <v>1</v>
          </cell>
          <cell r="AN88">
            <v>2.5</v>
          </cell>
        </row>
        <row r="89">
          <cell r="C89">
            <v>1.1000000000000001</v>
          </cell>
          <cell r="R89">
            <v>0.45</v>
          </cell>
          <cell r="AC89" t="str">
            <v>P=</v>
          </cell>
          <cell r="AD89" t="str">
            <v>Puncture</v>
          </cell>
          <cell r="AF89">
            <v>9</v>
          </cell>
          <cell r="AK89">
            <v>1</v>
          </cell>
          <cell r="AN89">
            <v>2.5</v>
          </cell>
        </row>
        <row r="90">
          <cell r="C90">
            <v>1.1499999999999999</v>
          </cell>
          <cell r="R90">
            <v>0.45</v>
          </cell>
          <cell r="AC90" t="str">
            <v>W=</v>
          </cell>
          <cell r="AD90" t="str">
            <v>Split Weld</v>
          </cell>
          <cell r="AF90">
            <v>10</v>
          </cell>
          <cell r="AH90">
            <v>0.1</v>
          </cell>
          <cell r="AI90" t="str">
            <v>G</v>
          </cell>
          <cell r="AK90">
            <v>1</v>
          </cell>
          <cell r="AM90">
            <v>1</v>
          </cell>
          <cell r="AN90">
            <v>2.5</v>
          </cell>
        </row>
        <row r="91">
          <cell r="C91">
            <v>1.25</v>
          </cell>
          <cell r="R91">
            <v>0.4</v>
          </cell>
          <cell r="AC91" t="str">
            <v>S=</v>
          </cell>
          <cell r="AD91" t="str">
            <v>Split</v>
          </cell>
          <cell r="AF91">
            <v>11</v>
          </cell>
          <cell r="AK91">
            <v>1</v>
          </cell>
          <cell r="AN91">
            <v>2.5</v>
          </cell>
        </row>
        <row r="92">
          <cell r="C92">
            <v>49</v>
          </cell>
          <cell r="R92">
            <v>0.44</v>
          </cell>
          <cell r="AC92" t="str">
            <v>RL=</v>
          </cell>
          <cell r="AD92" t="str">
            <v>Riser Leak</v>
          </cell>
          <cell r="AF92">
            <v>12</v>
          </cell>
          <cell r="AH92">
            <v>0.25</v>
          </cell>
          <cell r="AI92" t="str">
            <v>G</v>
          </cell>
          <cell r="AK92">
            <v>1</v>
          </cell>
          <cell r="AM92">
            <v>1</v>
          </cell>
          <cell r="AN92">
            <v>2.5</v>
          </cell>
        </row>
        <row r="93">
          <cell r="A93">
            <v>41129</v>
          </cell>
          <cell r="B93" t="str">
            <v>Field ID/System:</v>
          </cell>
          <cell r="D93" t="str">
            <v>Page 2 of 2</v>
          </cell>
          <cell r="E93" t="str">
            <v>LAT:</v>
          </cell>
          <cell r="F93" t="str">
            <v>LON:</v>
          </cell>
          <cell r="G93" t="str">
            <v xml:space="preserve">Start PSI: </v>
          </cell>
          <cell r="H93" t="str">
            <v>End PSI:</v>
          </cell>
          <cell r="I93" t="str">
            <v>Pictures</v>
          </cell>
          <cell r="R93">
            <v>0.45</v>
          </cell>
          <cell r="AC93" t="str">
            <v>H=</v>
          </cell>
          <cell r="AD93" t="str">
            <v>Hose</v>
          </cell>
          <cell r="AF93">
            <v>13</v>
          </cell>
          <cell r="AK93">
            <v>1</v>
          </cell>
          <cell r="AN93">
            <v>2.4500000000000002</v>
          </cell>
        </row>
        <row r="94">
          <cell r="E94" t="str">
            <v>42°57'02.40"N</v>
          </cell>
          <cell r="F94" t="str">
            <v>114°59'45"W</v>
          </cell>
          <cell r="I94" t="str">
            <v>1718-1727</v>
          </cell>
          <cell r="R94">
            <v>0.4</v>
          </cell>
          <cell r="AC94" t="str">
            <v>SP=</v>
          </cell>
          <cell r="AD94" t="str">
            <v>Sprinkler positioner</v>
          </cell>
          <cell r="AF94">
            <v>14</v>
          </cell>
          <cell r="AK94">
            <v>1</v>
          </cell>
          <cell r="AN94">
            <v>2.5</v>
          </cell>
        </row>
        <row r="95">
          <cell r="A95" t="str">
            <v>HP2</v>
          </cell>
          <cell r="B95" t="str">
            <v>Dick Elliot/West 3 Tower Pivot Uniformity/55-60 PSI at pump/canal source</v>
          </cell>
          <cell r="G95" t="str">
            <v>Tower elev: 3269 Endgun elev:3275</v>
          </cell>
          <cell r="R95">
            <v>0.42</v>
          </cell>
          <cell r="AC95" t="str">
            <v>RE=</v>
          </cell>
          <cell r="AD95" t="str">
            <v>Riser Elbow</v>
          </cell>
          <cell r="AF95">
            <v>15</v>
          </cell>
          <cell r="AK95">
            <v>1</v>
          </cell>
          <cell r="AN95">
            <v>2.5</v>
          </cell>
        </row>
        <row r="96">
          <cell r="B96" t="str">
            <v>Riser/Pipe</v>
          </cell>
          <cell r="C96" t="str">
            <v>Inches</v>
          </cell>
          <cell r="D96" t="str">
            <v>Leaks @ GPM</v>
          </cell>
          <cell r="E96" t="str">
            <v>Type of Leak</v>
          </cell>
          <cell r="F96" t="str">
            <v>Nozzle Flow@ 30 sec.</v>
          </cell>
          <cell r="G96" t="str">
            <v>Nozzle Size</v>
          </cell>
          <cell r="H96" t="str">
            <v>Type of Sprinkler</v>
          </cell>
          <cell r="I96" t="str">
            <v>Picture</v>
          </cell>
          <cell r="J96" t="str">
            <v>Other Info</v>
          </cell>
          <cell r="N96" t="str">
            <v>KEY</v>
          </cell>
          <cell r="R96">
            <v>0.45</v>
          </cell>
          <cell r="AF96">
            <v>16</v>
          </cell>
          <cell r="AK96">
            <v>1</v>
          </cell>
          <cell r="AN96">
            <v>2.5</v>
          </cell>
        </row>
        <row r="97">
          <cell r="B97">
            <v>1</v>
          </cell>
          <cell r="D97">
            <v>1</v>
          </cell>
          <cell r="E97" t="str">
            <v>B</v>
          </cell>
          <cell r="I97">
            <v>2401</v>
          </cell>
          <cell r="R97">
            <v>0.46</v>
          </cell>
          <cell r="AF97">
            <v>17</v>
          </cell>
          <cell r="AH97">
            <v>0.1</v>
          </cell>
          <cell r="AI97" t="str">
            <v>SP</v>
          </cell>
          <cell r="AJ97">
            <v>1</v>
          </cell>
          <cell r="AN97">
            <v>2.4500000000000002</v>
          </cell>
        </row>
        <row r="98">
          <cell r="B98">
            <v>2</v>
          </cell>
          <cell r="D98">
            <v>0.5</v>
          </cell>
          <cell r="E98" t="str">
            <v>B</v>
          </cell>
          <cell r="I98">
            <v>2400</v>
          </cell>
          <cell r="N98" t="str">
            <v>DV=</v>
          </cell>
          <cell r="O98" t="str">
            <v>Drain Valve</v>
          </cell>
          <cell r="R98">
            <v>0.45</v>
          </cell>
          <cell r="AF98">
            <v>18</v>
          </cell>
          <cell r="AK98">
            <v>1</v>
          </cell>
          <cell r="AN98">
            <v>2.4500000000000002</v>
          </cell>
        </row>
        <row r="99">
          <cell r="B99">
            <v>22</v>
          </cell>
          <cell r="D99">
            <v>0.25</v>
          </cell>
          <cell r="E99" t="str">
            <v>B</v>
          </cell>
          <cell r="I99">
            <v>2403</v>
          </cell>
          <cell r="N99" t="str">
            <v>G=</v>
          </cell>
          <cell r="O99" t="str">
            <v>Gasket</v>
          </cell>
          <cell r="R99">
            <v>0.4</v>
          </cell>
          <cell r="AF99">
            <v>19</v>
          </cell>
          <cell r="AK99">
            <v>1</v>
          </cell>
          <cell r="AN99">
            <v>2.4500000000000002</v>
          </cell>
        </row>
        <row r="100">
          <cell r="N100" t="str">
            <v>GF=</v>
          </cell>
          <cell r="O100" t="str">
            <v>Gear Flange</v>
          </cell>
          <cell r="R100">
            <v>0.5</v>
          </cell>
          <cell r="AF100">
            <v>20</v>
          </cell>
          <cell r="AK100">
            <v>1</v>
          </cell>
          <cell r="AN100">
            <v>2.5</v>
          </cell>
        </row>
        <row r="101">
          <cell r="N101" t="str">
            <v>R=</v>
          </cell>
          <cell r="O101" t="str">
            <v>Rotator/Nelson</v>
          </cell>
          <cell r="R101">
            <v>0.4</v>
          </cell>
          <cell r="AF101">
            <v>21</v>
          </cell>
          <cell r="AK101">
            <v>1</v>
          </cell>
          <cell r="AN101">
            <v>2.5</v>
          </cell>
        </row>
        <row r="102">
          <cell r="N102" t="str">
            <v>B=</v>
          </cell>
          <cell r="O102" t="str">
            <v>Bird Impact Sprinkler</v>
          </cell>
          <cell r="R102">
            <v>0.46</v>
          </cell>
          <cell r="AF102">
            <v>22</v>
          </cell>
          <cell r="AH102">
            <v>0.7</v>
          </cell>
          <cell r="AI102" t="str">
            <v>GF</v>
          </cell>
          <cell r="AK102">
            <v>1</v>
          </cell>
          <cell r="AN102">
            <v>2.5</v>
          </cell>
        </row>
        <row r="103">
          <cell r="N103" t="str">
            <v>P=</v>
          </cell>
          <cell r="O103" t="str">
            <v>Puncture</v>
          </cell>
          <cell r="R103">
            <v>0.45500000000000002</v>
          </cell>
          <cell r="AF103">
            <v>23</v>
          </cell>
          <cell r="AH103">
            <v>0.4</v>
          </cell>
          <cell r="AI103" t="str">
            <v>G</v>
          </cell>
          <cell r="AK103">
            <v>1</v>
          </cell>
          <cell r="AM103">
            <v>1</v>
          </cell>
          <cell r="AN103">
            <v>2.5</v>
          </cell>
        </row>
        <row r="104">
          <cell r="N104" t="str">
            <v>W=</v>
          </cell>
          <cell r="O104" t="str">
            <v>Split Weld</v>
          </cell>
          <cell r="R104">
            <v>0.45</v>
          </cell>
          <cell r="AF104">
            <v>24</v>
          </cell>
          <cell r="AK104">
            <v>1</v>
          </cell>
          <cell r="AN104">
            <v>2.5</v>
          </cell>
        </row>
        <row r="105">
          <cell r="N105" t="str">
            <v>S=</v>
          </cell>
          <cell r="O105" t="str">
            <v>Split</v>
          </cell>
          <cell r="R105">
            <v>0.4</v>
          </cell>
          <cell r="AF105">
            <v>25</v>
          </cell>
          <cell r="AK105">
            <v>1</v>
          </cell>
          <cell r="AN105">
            <v>2.5</v>
          </cell>
        </row>
        <row r="106">
          <cell r="N106" t="str">
            <v>RL=</v>
          </cell>
          <cell r="O106" t="str">
            <v>Riser Leak</v>
          </cell>
          <cell r="R106">
            <v>0.44</v>
          </cell>
          <cell r="AF106">
            <v>26</v>
          </cell>
          <cell r="AK106">
            <v>1</v>
          </cell>
          <cell r="AN106">
            <v>2.5</v>
          </cell>
        </row>
        <row r="107">
          <cell r="N107" t="str">
            <v>H=</v>
          </cell>
          <cell r="O107" t="str">
            <v>Hose</v>
          </cell>
          <cell r="R107">
            <v>0.45</v>
          </cell>
          <cell r="AF107">
            <v>27</v>
          </cell>
          <cell r="AH107">
            <v>0.1</v>
          </cell>
          <cell r="AK107">
            <v>1</v>
          </cell>
          <cell r="AN107">
            <v>2.4500000000000002</v>
          </cell>
        </row>
        <row r="108">
          <cell r="N108" t="str">
            <v>SP=</v>
          </cell>
          <cell r="O108" t="str">
            <v>Sprinkler positioner</v>
          </cell>
          <cell r="R108">
            <v>0.45</v>
          </cell>
          <cell r="AF108">
            <v>28</v>
          </cell>
          <cell r="AK108">
            <v>1</v>
          </cell>
          <cell r="AN108">
            <v>2.5</v>
          </cell>
        </row>
        <row r="109">
          <cell r="N109" t="str">
            <v>RE=</v>
          </cell>
          <cell r="O109" t="str">
            <v>Riser Elbow</v>
          </cell>
          <cell r="R109">
            <v>0.4</v>
          </cell>
          <cell r="AF109">
            <v>29</v>
          </cell>
          <cell r="AK109">
            <v>1</v>
          </cell>
          <cell r="AN109">
            <v>2.5</v>
          </cell>
        </row>
        <row r="110">
          <cell r="R110">
            <v>0.45</v>
          </cell>
          <cell r="AF110">
            <v>30</v>
          </cell>
          <cell r="AK110">
            <v>1</v>
          </cell>
          <cell r="AN110">
            <v>2.5</v>
          </cell>
        </row>
        <row r="111">
          <cell r="R111">
            <v>0.44</v>
          </cell>
          <cell r="AJ111">
            <v>3</v>
          </cell>
          <cell r="AK111">
            <v>27</v>
          </cell>
          <cell r="AM111">
            <v>7</v>
          </cell>
        </row>
        <row r="112">
          <cell r="A112">
            <v>41129</v>
          </cell>
          <cell r="B112" t="str">
            <v>Field ID/System:</v>
          </cell>
          <cell r="D112" t="str">
            <v>Page 1 of 2</v>
          </cell>
          <cell r="E112" t="str">
            <v>LAT:</v>
          </cell>
          <cell r="F112" t="str">
            <v>LON:</v>
          </cell>
          <cell r="G112" t="str">
            <v xml:space="preserve">Start PSI: </v>
          </cell>
          <cell r="H112" t="str">
            <v>End PSI:</v>
          </cell>
          <cell r="I112" t="str">
            <v>Pictures</v>
          </cell>
          <cell r="R112">
            <v>0.4</v>
          </cell>
          <cell r="AE112">
            <v>41124</v>
          </cell>
          <cell r="AF112" t="str">
            <v>Field ID/System:</v>
          </cell>
          <cell r="AH112" t="str">
            <v>Page 1 of 1</v>
          </cell>
          <cell r="AI112" t="str">
            <v>LAT:</v>
          </cell>
          <cell r="AN112" t="str">
            <v>LON:</v>
          </cell>
        </row>
        <row r="113">
          <cell r="E113" t="str">
            <v>42°57'02.50"N</v>
          </cell>
          <cell r="F113" t="str">
            <v>114°59'27"W</v>
          </cell>
          <cell r="I113" t="str">
            <v>1743-1752</v>
          </cell>
          <cell r="R113">
            <v>0.45</v>
          </cell>
          <cell r="AI113" t="str">
            <v>42°15'4"N</v>
          </cell>
          <cell r="AN113" t="str">
            <v>113°52'47"W</v>
          </cell>
        </row>
        <row r="114">
          <cell r="A114" t="str">
            <v>HP3</v>
          </cell>
          <cell r="B114" t="str">
            <v>Dick Elliot/South East 3 Tower Pivot Uniformity/55-60 PSI at pump/canal source</v>
          </cell>
          <cell r="G114" t="str">
            <v>Tower elev: 3273 Endgun elev:3274</v>
          </cell>
          <cell r="R114">
            <v>0.45</v>
          </cell>
          <cell r="AE114" t="str">
            <v>TB4</v>
          </cell>
          <cell r="AF114" t="str">
            <v>Randy Hardy/20 year old TB/South line/Replaced birds,Nozzles and gaskets when/at random/Oakley reservoir 65PSI multi speed pump</v>
          </cell>
        </row>
        <row r="115">
          <cell r="B115" t="str">
            <v>Riser/Pipe</v>
          </cell>
          <cell r="C115" t="str">
            <v>Inches</v>
          </cell>
          <cell r="D115" t="str">
            <v>Leaks @ GPM</v>
          </cell>
          <cell r="E115" t="str">
            <v>Type of Leak</v>
          </cell>
          <cell r="F115" t="str">
            <v>Nozzle Flow@ 30 sec.</v>
          </cell>
          <cell r="G115" t="str">
            <v>Nozzle Size</v>
          </cell>
          <cell r="H115" t="str">
            <v>Type of Sprinkler</v>
          </cell>
          <cell r="I115" t="str">
            <v>Picture</v>
          </cell>
          <cell r="J115" t="str">
            <v>Other Info</v>
          </cell>
          <cell r="N115" t="str">
            <v>KEY</v>
          </cell>
          <cell r="R115">
            <v>0.45</v>
          </cell>
          <cell r="AF115" t="str">
            <v>Riser/Pipe</v>
          </cell>
          <cell r="AG115" t="str">
            <v>Inches</v>
          </cell>
          <cell r="AH115" t="str">
            <v>Leaks @ GPM</v>
          </cell>
          <cell r="AI115" t="str">
            <v>Type of Leak</v>
          </cell>
          <cell r="AJ115" t="str">
            <v>Leak</v>
          </cell>
          <cell r="AK115" t="str">
            <v>No Leak</v>
          </cell>
          <cell r="AL115" t="str">
            <v>DV Leaks</v>
          </cell>
          <cell r="AM115" t="str">
            <v>Gasket Leaks</v>
          </cell>
          <cell r="AN115" t="str">
            <v>Nozzle Flow@ 30 sec.</v>
          </cell>
        </row>
        <row r="116">
          <cell r="B116" t="str">
            <v>W1</v>
          </cell>
          <cell r="R116">
            <v>0.45</v>
          </cell>
          <cell r="AF116">
            <v>0.5</v>
          </cell>
          <cell r="AH116">
            <v>0.5</v>
          </cell>
          <cell r="AI116" t="str">
            <v>G</v>
          </cell>
          <cell r="AM116">
            <v>1</v>
          </cell>
        </row>
        <row r="117">
          <cell r="C117">
            <v>0.85</v>
          </cell>
          <cell r="N117" t="str">
            <v>DV=</v>
          </cell>
          <cell r="O117" t="str">
            <v>Drain Valve</v>
          </cell>
          <cell r="R117">
            <v>0.45</v>
          </cell>
          <cell r="AF117">
            <v>1</v>
          </cell>
          <cell r="AK117">
            <v>1</v>
          </cell>
          <cell r="AN117">
            <v>2.5</v>
          </cell>
        </row>
        <row r="118">
          <cell r="C118">
            <v>1</v>
          </cell>
          <cell r="N118" t="str">
            <v>G=</v>
          </cell>
          <cell r="O118" t="str">
            <v>Gasket</v>
          </cell>
          <cell r="R118">
            <v>0.44</v>
          </cell>
          <cell r="AF118">
            <v>2</v>
          </cell>
          <cell r="AK118">
            <v>1</v>
          </cell>
          <cell r="AN118">
            <v>2.4500000000000002</v>
          </cell>
        </row>
        <row r="119">
          <cell r="C119">
            <v>1</v>
          </cell>
          <cell r="N119" t="str">
            <v>GF=</v>
          </cell>
          <cell r="O119" t="str">
            <v>Gear Flange</v>
          </cell>
          <cell r="R119">
            <v>0.44</v>
          </cell>
          <cell r="AF119">
            <v>3</v>
          </cell>
          <cell r="AK119">
            <v>1</v>
          </cell>
          <cell r="AN119">
            <v>2.4</v>
          </cell>
        </row>
        <row r="120">
          <cell r="C120">
            <v>1.1000000000000001</v>
          </cell>
          <cell r="N120" t="str">
            <v>R=</v>
          </cell>
          <cell r="O120" t="str">
            <v>Rotator/Nelson</v>
          </cell>
          <cell r="R120">
            <v>0.45</v>
          </cell>
          <cell r="AF120">
            <v>4</v>
          </cell>
          <cell r="AK120">
            <v>1</v>
          </cell>
          <cell r="AN120">
            <v>2.4</v>
          </cell>
        </row>
        <row r="121">
          <cell r="C121">
            <v>1.1000000000000001</v>
          </cell>
          <cell r="N121" t="str">
            <v>B=</v>
          </cell>
          <cell r="O121" t="str">
            <v>Bird Impact Sprinkler</v>
          </cell>
          <cell r="R121">
            <v>0.45500000000000002</v>
          </cell>
          <cell r="AF121">
            <v>5</v>
          </cell>
          <cell r="AK121">
            <v>1</v>
          </cell>
          <cell r="AN121">
            <v>2.4</v>
          </cell>
        </row>
        <row r="122">
          <cell r="C122">
            <v>1.2</v>
          </cell>
          <cell r="N122" t="str">
            <v>P=</v>
          </cell>
          <cell r="O122" t="str">
            <v>Puncture</v>
          </cell>
          <cell r="R122">
            <v>0.46</v>
          </cell>
          <cell r="AF122">
            <v>6</v>
          </cell>
          <cell r="AH122">
            <v>0.1</v>
          </cell>
          <cell r="AI122" t="str">
            <v>SP</v>
          </cell>
          <cell r="AJ122">
            <v>1</v>
          </cell>
          <cell r="AN122">
            <v>2.4</v>
          </cell>
        </row>
        <row r="123">
          <cell r="C123">
            <v>1.3</v>
          </cell>
          <cell r="N123" t="str">
            <v>W=</v>
          </cell>
          <cell r="O123" t="str">
            <v>Split Weld</v>
          </cell>
          <cell r="R123">
            <v>0.45</v>
          </cell>
          <cell r="AF123" t="str">
            <v>B</v>
          </cell>
          <cell r="AH123">
            <v>0.5</v>
          </cell>
          <cell r="AI123" t="str">
            <v>G</v>
          </cell>
          <cell r="AK123">
            <v>1</v>
          </cell>
          <cell r="AM123">
            <v>1</v>
          </cell>
          <cell r="AN123">
            <v>2.25</v>
          </cell>
        </row>
        <row r="124">
          <cell r="C124">
            <v>1.3</v>
          </cell>
          <cell r="N124" t="str">
            <v>S=</v>
          </cell>
          <cell r="O124" t="str">
            <v>Split</v>
          </cell>
          <cell r="R124">
            <v>0.5</v>
          </cell>
          <cell r="AF124">
            <v>7</v>
          </cell>
          <cell r="AK124">
            <v>1</v>
          </cell>
          <cell r="AN124">
            <v>2.2999999999999998</v>
          </cell>
        </row>
        <row r="125">
          <cell r="C125">
            <v>1.25</v>
          </cell>
          <cell r="N125" t="str">
            <v>RL=</v>
          </cell>
          <cell r="O125" t="str">
            <v>Riser Leak</v>
          </cell>
          <cell r="R125">
            <v>0.5</v>
          </cell>
          <cell r="AF125">
            <v>8</v>
          </cell>
          <cell r="AK125">
            <v>1</v>
          </cell>
          <cell r="AN125">
            <v>2.2999999999999998</v>
          </cell>
        </row>
        <row r="126">
          <cell r="C126">
            <v>1</v>
          </cell>
          <cell r="N126" t="str">
            <v>H=</v>
          </cell>
          <cell r="O126" t="str">
            <v>Hose</v>
          </cell>
          <cell r="R126">
            <v>0.5</v>
          </cell>
          <cell r="AF126">
            <v>9</v>
          </cell>
          <cell r="AH126">
            <v>0.5</v>
          </cell>
          <cell r="AI126" t="str">
            <v>B</v>
          </cell>
          <cell r="AJ126">
            <v>1</v>
          </cell>
          <cell r="AN126">
            <v>2.25</v>
          </cell>
        </row>
        <row r="127">
          <cell r="C127">
            <v>1.1000000000000001</v>
          </cell>
          <cell r="N127" t="str">
            <v>SP=</v>
          </cell>
          <cell r="O127" t="str">
            <v>Sprinkler positioner</v>
          </cell>
          <cell r="R127">
            <v>0.5</v>
          </cell>
          <cell r="AF127">
            <v>10</v>
          </cell>
          <cell r="AK127">
            <v>1</v>
          </cell>
          <cell r="AN127">
            <v>1</v>
          </cell>
        </row>
      </sheetData>
      <sheetData sheetId="21">
        <row r="4">
          <cell r="B4">
            <v>8</v>
          </cell>
          <cell r="C4">
            <v>30</v>
          </cell>
          <cell r="D4">
            <v>1.4512383900928793E-3</v>
          </cell>
          <cell r="E4">
            <v>3.3</v>
          </cell>
          <cell r="F4">
            <v>4.7890866873065013E-3</v>
          </cell>
        </row>
        <row r="5">
          <cell r="B5">
            <v>9</v>
          </cell>
          <cell r="C5">
            <v>2646</v>
          </cell>
          <cell r="D5">
            <v>0.12799922600619196</v>
          </cell>
          <cell r="E5">
            <v>4.2</v>
          </cell>
          <cell r="F5">
            <v>0.5375967492260062</v>
          </cell>
        </row>
        <row r="6">
          <cell r="B6">
            <v>10</v>
          </cell>
          <cell r="C6">
            <v>14733</v>
          </cell>
          <cell r="D6">
            <v>0.71270317337461297</v>
          </cell>
          <cell r="E6">
            <v>5</v>
          </cell>
          <cell r="F6">
            <v>3.5635158668730647</v>
          </cell>
        </row>
        <row r="7">
          <cell r="B7">
            <v>11</v>
          </cell>
          <cell r="C7">
            <v>1570</v>
          </cell>
          <cell r="D7">
            <v>7.5948142414860684E-2</v>
          </cell>
          <cell r="E7">
            <v>6</v>
          </cell>
          <cell r="F7">
            <v>0.45568885448916407</v>
          </cell>
        </row>
        <row r="8">
          <cell r="B8">
            <v>12</v>
          </cell>
          <cell r="C8">
            <v>877</v>
          </cell>
          <cell r="D8">
            <v>4.2424535603715167E-2</v>
          </cell>
          <cell r="E8">
            <v>7</v>
          </cell>
          <cell r="F8">
            <v>0.29697174922600617</v>
          </cell>
        </row>
        <row r="9">
          <cell r="B9">
            <v>13</v>
          </cell>
          <cell r="C9">
            <v>0</v>
          </cell>
          <cell r="D9">
            <v>0</v>
          </cell>
          <cell r="E9">
            <v>8.1999999999999993</v>
          </cell>
          <cell r="F9">
            <v>0</v>
          </cell>
        </row>
        <row r="10">
          <cell r="B10">
            <v>14</v>
          </cell>
          <cell r="C10">
            <v>140</v>
          </cell>
          <cell r="D10">
            <v>6.7724458204334367E-3</v>
          </cell>
          <cell r="E10">
            <v>9.6</v>
          </cell>
          <cell r="F10">
            <v>6.5015479876160992E-2</v>
          </cell>
        </row>
        <row r="11">
          <cell r="B11">
            <v>15</v>
          </cell>
          <cell r="C11">
            <v>40</v>
          </cell>
          <cell r="D11">
            <v>1.934984520123839E-3</v>
          </cell>
          <cell r="E11">
            <v>11.1</v>
          </cell>
          <cell r="F11">
            <v>2.1478328173374611E-2</v>
          </cell>
        </row>
        <row r="12">
          <cell r="B12">
            <v>16</v>
          </cell>
          <cell r="C12">
            <v>30</v>
          </cell>
          <cell r="D12">
            <v>1.4512383900928793E-3</v>
          </cell>
          <cell r="E12">
            <v>12.8</v>
          </cell>
          <cell r="F12">
            <v>1.8575851393188857E-2</v>
          </cell>
        </row>
        <row r="13">
          <cell r="B13">
            <v>17</v>
          </cell>
          <cell r="C13">
            <v>606</v>
          </cell>
          <cell r="D13">
            <v>2.9315015479876159E-2</v>
          </cell>
          <cell r="E13">
            <v>5</v>
          </cell>
          <cell r="F13">
            <v>0.1465750773993808</v>
          </cell>
        </row>
        <row r="14">
          <cell r="B14" t="str">
            <v>Total</v>
          </cell>
          <cell r="C14">
            <v>20672</v>
          </cell>
          <cell r="D14">
            <v>1</v>
          </cell>
          <cell r="F14">
            <v>5.1102070433436531</v>
          </cell>
        </row>
        <row r="17">
          <cell r="B17" t="str">
            <v>Note that this table assumes all have 50 psi at the nozzle</v>
          </cell>
        </row>
        <row r="31">
          <cell r="A31" t="str">
            <v>Hand and wheel line nozzle data from Idaho study</v>
          </cell>
        </row>
        <row r="35">
          <cell r="D35" t="str">
            <v>Number of nozzles</v>
          </cell>
          <cell r="I35" t="str">
            <v>[Rated flow] x [# of nozzles]</v>
          </cell>
          <cell r="N35" t="str">
            <v>Average rated flow (gpm)</v>
          </cell>
        </row>
        <row r="36">
          <cell r="B36" t="str">
            <v>Unique Values</v>
          </cell>
          <cell r="C36" t="str">
            <v>Nozzle Size (x1/64)</v>
          </cell>
          <cell r="D36" t="str">
            <v>Thunderbird wheel line</v>
          </cell>
          <cell r="E36" t="str">
            <v>Wheel line</v>
          </cell>
          <cell r="F36" t="str">
            <v>Handline</v>
          </cell>
          <cell r="G36" t="str">
            <v>Total</v>
          </cell>
          <cell r="I36" t="str">
            <v>Thunderbird wheel line</v>
          </cell>
          <cell r="J36" t="str">
            <v>Wheel line</v>
          </cell>
          <cell r="K36" t="str">
            <v>Handline</v>
          </cell>
          <cell r="L36" t="str">
            <v>Total</v>
          </cell>
          <cell r="N36" t="str">
            <v>Thunderbird wheel line</v>
          </cell>
          <cell r="O36" t="str">
            <v>Wheel line</v>
          </cell>
          <cell r="P36" t="str">
            <v>Handline</v>
          </cell>
          <cell r="Q36" t="str">
            <v>All</v>
          </cell>
        </row>
        <row r="37">
          <cell r="B37">
            <v>0.125</v>
          </cell>
          <cell r="C37">
            <v>8</v>
          </cell>
          <cell r="D37">
            <v>3</v>
          </cell>
          <cell r="E37">
            <v>1</v>
          </cell>
          <cell r="F37">
            <v>1</v>
          </cell>
          <cell r="G37">
            <v>5</v>
          </cell>
          <cell r="I37">
            <v>9.92</v>
          </cell>
          <cell r="J37">
            <v>4.3136363636363626</v>
          </cell>
          <cell r="K37">
            <v>3.5785714285714283</v>
          </cell>
          <cell r="L37">
            <v>17.81220779220779</v>
          </cell>
          <cell r="N37">
            <v>3.3066666666666666</v>
          </cell>
          <cell r="O37">
            <v>4.3136363636363626</v>
          </cell>
          <cell r="P37">
            <v>3.5785714285714283</v>
          </cell>
          <cell r="Q37">
            <v>3.5624415584415581</v>
          </cell>
        </row>
        <row r="38">
          <cell r="B38" t="str">
            <v>.1/8</v>
          </cell>
          <cell r="C38">
            <v>8</v>
          </cell>
          <cell r="D38">
            <v>0</v>
          </cell>
          <cell r="E38">
            <v>2</v>
          </cell>
          <cell r="F38">
            <v>0</v>
          </cell>
          <cell r="G38">
            <v>2</v>
          </cell>
          <cell r="I38">
            <v>0</v>
          </cell>
          <cell r="J38">
            <v>5.0999999999999996</v>
          </cell>
          <cell r="K38">
            <v>0</v>
          </cell>
          <cell r="L38">
            <v>5.0999999999999996</v>
          </cell>
          <cell r="N38" t="str">
            <v/>
          </cell>
          <cell r="O38">
            <v>2.5499999999999998</v>
          </cell>
          <cell r="P38" t="str">
            <v/>
          </cell>
          <cell r="Q38">
            <v>2.5499999999999998</v>
          </cell>
        </row>
        <row r="39">
          <cell r="B39" t="str">
            <v>1'8</v>
          </cell>
          <cell r="C39">
            <v>8</v>
          </cell>
          <cell r="D39">
            <v>0</v>
          </cell>
          <cell r="E39">
            <v>13</v>
          </cell>
          <cell r="F39">
            <v>11</v>
          </cell>
          <cell r="G39">
            <v>24</v>
          </cell>
          <cell r="I39">
            <v>0</v>
          </cell>
          <cell r="J39">
            <v>41.459090909090904</v>
          </cell>
          <cell r="K39">
            <v>28.313157894736843</v>
          </cell>
          <cell r="L39">
            <v>69.77224880382775</v>
          </cell>
          <cell r="N39" t="str">
            <v/>
          </cell>
          <cell r="O39">
            <v>3.1891608391608388</v>
          </cell>
          <cell r="P39">
            <v>2.5739234449760766</v>
          </cell>
          <cell r="Q39">
            <v>2.9071770334928231</v>
          </cell>
        </row>
        <row r="40">
          <cell r="B40">
            <v>0.140625</v>
          </cell>
          <cell r="C40">
            <v>9</v>
          </cell>
          <cell r="D40">
            <v>304</v>
          </cell>
          <cell r="E40">
            <v>92</v>
          </cell>
          <cell r="F40">
            <v>5</v>
          </cell>
          <cell r="G40">
            <v>401</v>
          </cell>
          <cell r="I40">
            <v>1245.1037913590092</v>
          </cell>
          <cell r="J40">
            <v>373.98124999999999</v>
          </cell>
          <cell r="K40">
            <v>17.035714285714285</v>
          </cell>
          <cell r="L40">
            <v>1636.1207556447234</v>
          </cell>
          <cell r="N40">
            <v>4.0957361557862146</v>
          </cell>
          <cell r="O40">
            <v>4.065013586956522</v>
          </cell>
          <cell r="P40">
            <v>3.407142857142857</v>
          </cell>
          <cell r="Q40">
            <v>4.0801016350242483</v>
          </cell>
        </row>
        <row r="41">
          <cell r="B41" t="str">
            <v>.9/64</v>
          </cell>
          <cell r="C41">
            <v>9</v>
          </cell>
          <cell r="D41">
            <v>0</v>
          </cell>
          <cell r="E41">
            <v>27</v>
          </cell>
          <cell r="F41">
            <v>0</v>
          </cell>
          <cell r="G41">
            <v>27</v>
          </cell>
          <cell r="I41">
            <v>0</v>
          </cell>
          <cell r="J41">
            <v>86.25135135135136</v>
          </cell>
          <cell r="K41">
            <v>0</v>
          </cell>
          <cell r="L41">
            <v>86.25135135135136</v>
          </cell>
          <cell r="N41" t="str">
            <v/>
          </cell>
          <cell r="O41">
            <v>3.1944944944944949</v>
          </cell>
          <cell r="P41" t="str">
            <v/>
          </cell>
          <cell r="Q41">
            <v>3.1944944944944949</v>
          </cell>
        </row>
        <row r="42">
          <cell r="B42" t="str">
            <v>9'64</v>
          </cell>
          <cell r="C42">
            <v>9</v>
          </cell>
          <cell r="D42">
            <v>0</v>
          </cell>
          <cell r="E42">
            <v>275</v>
          </cell>
          <cell r="F42">
            <v>37</v>
          </cell>
          <cell r="G42">
            <v>312</v>
          </cell>
          <cell r="I42">
            <v>0</v>
          </cell>
          <cell r="J42">
            <v>949.22904571999175</v>
          </cell>
          <cell r="K42">
            <v>119.49853947368423</v>
          </cell>
          <cell r="L42">
            <v>1068.7275851936761</v>
          </cell>
          <cell r="N42" t="str">
            <v/>
          </cell>
          <cell r="O42">
            <v>3.4517419844363335</v>
          </cell>
          <cell r="P42">
            <v>3.2296902560455196</v>
          </cell>
          <cell r="Q42">
            <v>3.4254089269028078</v>
          </cell>
        </row>
        <row r="43">
          <cell r="B43">
            <v>0.15625</v>
          </cell>
          <cell r="C43">
            <v>10</v>
          </cell>
          <cell r="D43">
            <v>38</v>
          </cell>
          <cell r="E43">
            <v>0</v>
          </cell>
          <cell r="F43">
            <v>0</v>
          </cell>
          <cell r="G43">
            <v>38</v>
          </cell>
          <cell r="I43">
            <v>161.01423848609215</v>
          </cell>
          <cell r="J43">
            <v>0</v>
          </cell>
          <cell r="K43">
            <v>0</v>
          </cell>
          <cell r="L43">
            <v>161.01423848609215</v>
          </cell>
          <cell r="N43">
            <v>4.2372168022655829</v>
          </cell>
          <cell r="O43" t="str">
            <v/>
          </cell>
          <cell r="P43" t="str">
            <v/>
          </cell>
          <cell r="Q43">
            <v>4.2372168022655829</v>
          </cell>
        </row>
        <row r="44">
          <cell r="B44" t="str">
            <v>.5/32</v>
          </cell>
          <cell r="C44">
            <v>10</v>
          </cell>
          <cell r="D44">
            <v>0</v>
          </cell>
          <cell r="E44">
            <v>3</v>
          </cell>
          <cell r="F44">
            <v>0</v>
          </cell>
          <cell r="G44">
            <v>3</v>
          </cell>
          <cell r="I44">
            <v>0</v>
          </cell>
          <cell r="J44">
            <v>7.6999999999999993</v>
          </cell>
          <cell r="K44">
            <v>0</v>
          </cell>
          <cell r="L44">
            <v>7.6999999999999993</v>
          </cell>
          <cell r="N44" t="str">
            <v/>
          </cell>
          <cell r="O44">
            <v>2.5666666666666664</v>
          </cell>
          <cell r="P44" t="str">
            <v/>
          </cell>
          <cell r="Q44">
            <v>2.5666666666666664</v>
          </cell>
        </row>
        <row r="45">
          <cell r="B45" t="str">
            <v>5'32</v>
          </cell>
          <cell r="C45">
            <v>10</v>
          </cell>
          <cell r="D45">
            <v>0</v>
          </cell>
          <cell r="E45">
            <v>87</v>
          </cell>
          <cell r="F45">
            <v>13</v>
          </cell>
          <cell r="G45">
            <v>100</v>
          </cell>
          <cell r="I45">
            <v>0</v>
          </cell>
          <cell r="J45">
            <v>403.27369318181826</v>
          </cell>
          <cell r="K45">
            <v>15.815736842105265</v>
          </cell>
          <cell r="L45">
            <v>419.08943002392351</v>
          </cell>
          <cell r="N45" t="str">
            <v/>
          </cell>
          <cell r="O45">
            <v>4.6353298066875661</v>
          </cell>
          <cell r="P45">
            <v>1.2165951417004051</v>
          </cell>
          <cell r="Q45">
            <v>4.1908943002392354</v>
          </cell>
        </row>
        <row r="46">
          <cell r="B46" t="str">
            <v>11'64</v>
          </cell>
          <cell r="C46">
            <v>11</v>
          </cell>
          <cell r="D46">
            <v>0</v>
          </cell>
          <cell r="E46">
            <v>1</v>
          </cell>
          <cell r="F46">
            <v>1</v>
          </cell>
          <cell r="G46">
            <v>2</v>
          </cell>
          <cell r="I46">
            <v>0</v>
          </cell>
          <cell r="J46">
            <v>3.9375</v>
          </cell>
          <cell r="K46">
            <v>3.0052631578947384</v>
          </cell>
          <cell r="L46">
            <v>6.9427631578947384</v>
          </cell>
          <cell r="N46" t="str">
            <v/>
          </cell>
          <cell r="O46">
            <v>3.9375</v>
          </cell>
          <cell r="P46">
            <v>3.0052631578947384</v>
          </cell>
          <cell r="Q46">
            <v>3.4713815789473692</v>
          </cell>
        </row>
        <row r="47">
          <cell r="B47" t="str">
            <v>3'16</v>
          </cell>
          <cell r="C47">
            <v>12</v>
          </cell>
          <cell r="D47">
            <v>0</v>
          </cell>
          <cell r="E47">
            <v>1</v>
          </cell>
          <cell r="F47">
            <v>2</v>
          </cell>
          <cell r="G47">
            <v>3</v>
          </cell>
          <cell r="I47">
            <v>0</v>
          </cell>
          <cell r="J47">
            <v>3.9093750000000003</v>
          </cell>
          <cell r="K47">
            <v>6.6184210526315805</v>
          </cell>
          <cell r="L47">
            <v>10.527796052631581</v>
          </cell>
          <cell r="N47" t="str">
            <v/>
          </cell>
          <cell r="O47">
            <v>3.9093750000000003</v>
          </cell>
          <cell r="P47">
            <v>3.3092105263157903</v>
          </cell>
          <cell r="Q47">
            <v>3.5092653508771936</v>
          </cell>
        </row>
        <row r="48">
          <cell r="B48" t="str">
            <v>7'32</v>
          </cell>
          <cell r="C48">
            <v>14</v>
          </cell>
          <cell r="D48">
            <v>0</v>
          </cell>
          <cell r="E48">
            <v>1</v>
          </cell>
          <cell r="F48">
            <v>0</v>
          </cell>
          <cell r="G48">
            <v>1</v>
          </cell>
          <cell r="I48">
            <v>0</v>
          </cell>
          <cell r="J48">
            <v>3</v>
          </cell>
          <cell r="K48">
            <v>0</v>
          </cell>
          <cell r="L48">
            <v>3</v>
          </cell>
          <cell r="N48" t="str">
            <v/>
          </cell>
          <cell r="O48">
            <v>3</v>
          </cell>
          <cell r="P48" t="str">
            <v/>
          </cell>
          <cell r="Q48">
            <v>3</v>
          </cell>
        </row>
        <row r="49">
          <cell r="B49">
            <v>0.234375</v>
          </cell>
          <cell r="C49">
            <v>15</v>
          </cell>
          <cell r="D49">
            <v>0</v>
          </cell>
          <cell r="E49">
            <v>1</v>
          </cell>
          <cell r="F49">
            <v>0</v>
          </cell>
          <cell r="G49">
            <v>1</v>
          </cell>
          <cell r="I49">
            <v>0</v>
          </cell>
          <cell r="J49">
            <v>3</v>
          </cell>
          <cell r="K49">
            <v>0</v>
          </cell>
          <cell r="L49">
            <v>3</v>
          </cell>
          <cell r="N49" t="str">
            <v/>
          </cell>
          <cell r="O49">
            <v>3</v>
          </cell>
          <cell r="P49" t="str">
            <v/>
          </cell>
          <cell r="Q49">
            <v>3</v>
          </cell>
        </row>
        <row r="50">
          <cell r="B50" t="str">
            <v>Total</v>
          </cell>
          <cell r="D50">
            <v>345</v>
          </cell>
          <cell r="E50">
            <v>504</v>
          </cell>
          <cell r="F50">
            <v>70</v>
          </cell>
          <cell r="G50">
            <v>919</v>
          </cell>
        </row>
        <row r="52">
          <cell r="B52" t="str">
            <v>Summary by nozzle size</v>
          </cell>
        </row>
        <row r="53">
          <cell r="D53" t="str">
            <v>Number of nozzles</v>
          </cell>
          <cell r="H53" t="str">
            <v>% of all nozzles</v>
          </cell>
          <cell r="I53" t="str">
            <v>Average rated flow (gpm)</v>
          </cell>
        </row>
        <row r="54">
          <cell r="B54" t="str">
            <v>Nozzle diameter (inches)</v>
          </cell>
          <cell r="C54" t="str">
            <v>Nozzle Size (x1/64)</v>
          </cell>
          <cell r="D54" t="str">
            <v>Thunderbird wheel line</v>
          </cell>
          <cell r="E54" t="str">
            <v>Wheel line</v>
          </cell>
          <cell r="F54" t="str">
            <v>Handline</v>
          </cell>
          <cell r="G54" t="str">
            <v>Total</v>
          </cell>
        </row>
        <row r="55">
          <cell r="B55" t="str">
            <v>1/8</v>
          </cell>
          <cell r="C55">
            <v>8</v>
          </cell>
          <cell r="D55">
            <v>3</v>
          </cell>
          <cell r="E55">
            <v>16</v>
          </cell>
          <cell r="F55">
            <v>12</v>
          </cell>
          <cell r="G55">
            <v>31</v>
          </cell>
          <cell r="H55">
            <v>3.3732317736670292E-2</v>
          </cell>
          <cell r="I55">
            <v>2.9898211805172759</v>
          </cell>
        </row>
        <row r="56">
          <cell r="B56" t="str">
            <v>9/64</v>
          </cell>
          <cell r="C56">
            <v>9</v>
          </cell>
          <cell r="D56">
            <v>304</v>
          </cell>
          <cell r="E56">
            <v>394</v>
          </cell>
          <cell r="F56">
            <v>42</v>
          </cell>
          <cell r="G56">
            <v>740</v>
          </cell>
          <cell r="H56">
            <v>0.8052230685527747</v>
          </cell>
          <cell r="I56">
            <v>3.7717563407969608</v>
          </cell>
        </row>
        <row r="57">
          <cell r="B57" t="str">
            <v>5/32</v>
          </cell>
          <cell r="C57">
            <v>10</v>
          </cell>
          <cell r="D57">
            <v>38</v>
          </cell>
          <cell r="E57">
            <v>90</v>
          </cell>
          <cell r="F57">
            <v>13</v>
          </cell>
          <cell r="G57">
            <v>141</v>
          </cell>
          <cell r="H57">
            <v>0.15342763873775844</v>
          </cell>
          <cell r="I57">
            <v>4.1688203440426639</v>
          </cell>
        </row>
        <row r="58">
          <cell r="B58" t="str">
            <v>11/64</v>
          </cell>
          <cell r="C58">
            <v>11</v>
          </cell>
          <cell r="D58">
            <v>0</v>
          </cell>
          <cell r="E58">
            <v>1</v>
          </cell>
          <cell r="F58">
            <v>1</v>
          </cell>
          <cell r="G58">
            <v>2</v>
          </cell>
          <cell r="H58">
            <v>2.176278563656148E-3</v>
          </cell>
          <cell r="I58">
            <v>3.4713815789473692</v>
          </cell>
        </row>
        <row r="59">
          <cell r="B59" t="str">
            <v>3/16</v>
          </cell>
          <cell r="C59">
            <v>12</v>
          </cell>
          <cell r="D59">
            <v>0</v>
          </cell>
          <cell r="E59">
            <v>1</v>
          </cell>
          <cell r="F59">
            <v>2</v>
          </cell>
          <cell r="G59">
            <v>3</v>
          </cell>
          <cell r="H59">
            <v>3.2644178454842221E-3</v>
          </cell>
          <cell r="I59">
            <v>3.5092653508771936</v>
          </cell>
        </row>
        <row r="60">
          <cell r="B60" t="str">
            <v>13/64</v>
          </cell>
          <cell r="C60">
            <v>13</v>
          </cell>
          <cell r="D60">
            <v>0</v>
          </cell>
          <cell r="E60">
            <v>0</v>
          </cell>
          <cell r="F60">
            <v>0</v>
          </cell>
          <cell r="G60">
            <v>0</v>
          </cell>
          <cell r="H60">
            <v>0</v>
          </cell>
        </row>
        <row r="61">
          <cell r="B61" t="str">
            <v>7/32</v>
          </cell>
          <cell r="C61">
            <v>14</v>
          </cell>
          <cell r="D61">
            <v>0</v>
          </cell>
          <cell r="E61">
            <v>1</v>
          </cell>
          <cell r="F61">
            <v>0</v>
          </cell>
          <cell r="G61">
            <v>1</v>
          </cell>
          <cell r="H61">
            <v>1.088139281828074E-3</v>
          </cell>
          <cell r="I61">
            <v>3</v>
          </cell>
        </row>
        <row r="62">
          <cell r="B62" t="str">
            <v>15/64</v>
          </cell>
          <cell r="C62">
            <v>15</v>
          </cell>
          <cell r="D62">
            <v>0</v>
          </cell>
          <cell r="E62">
            <v>1</v>
          </cell>
          <cell r="F62">
            <v>0</v>
          </cell>
          <cell r="G62">
            <v>1</v>
          </cell>
          <cell r="H62">
            <v>1.088139281828074E-3</v>
          </cell>
          <cell r="I62">
            <v>3</v>
          </cell>
        </row>
        <row r="64">
          <cell r="A64" t="str">
            <v>Flow rate for savings analysis</v>
          </cell>
        </row>
        <row r="65">
          <cell r="B65" t="str">
            <v>Assume that the 10/64 nozzle is the standard size, consistent with PacifiCorp program data</v>
          </cell>
        </row>
        <row r="66">
          <cell r="B66" t="str">
            <v>Assume pressures observed in ID study are more representative than the 50 psi estimate from PacifiCorp</v>
          </cell>
        </row>
        <row r="67">
          <cell r="B67" t="str">
            <v>Adjust rated flows from the ID study data as if all nozzles were replaced with 10/64, but the pressure was kept the same</v>
          </cell>
        </row>
        <row r="68">
          <cell r="C68" t="str">
            <v>To do this, use the ratio of flow rates from the PacifiCorp data</v>
          </cell>
        </row>
        <row r="70">
          <cell r="B70" t="str">
            <v>Nozzle diameter (inches)</v>
          </cell>
          <cell r="C70" t="str">
            <v>Nozzle Size (x1/64)</v>
          </cell>
          <cell r="D70" t="str">
            <v>% of all nozzles</v>
          </cell>
          <cell r="E70" t="str">
            <v>Average rated flow (gpm)</v>
          </cell>
          <cell r="F70" t="str">
            <v>Average rated flow for 10/64 nozzle at this pressure level</v>
          </cell>
        </row>
        <row r="71">
          <cell r="B71" t="str">
            <v>1/8</v>
          </cell>
          <cell r="C71">
            <v>8</v>
          </cell>
          <cell r="D71">
            <v>3.3732317736670292E-2</v>
          </cell>
          <cell r="E71">
            <v>2.9898211805172759</v>
          </cell>
          <cell r="F71">
            <v>4.530032091692842</v>
          </cell>
        </row>
        <row r="72">
          <cell r="B72" t="str">
            <v>9/64</v>
          </cell>
          <cell r="C72">
            <v>9</v>
          </cell>
          <cell r="D72">
            <v>0.8052230685527747</v>
          </cell>
          <cell r="E72">
            <v>3.7717563407969608</v>
          </cell>
          <cell r="F72">
            <v>4.4901861199963813</v>
          </cell>
        </row>
        <row r="73">
          <cell r="B73" t="str">
            <v>5/32</v>
          </cell>
          <cell r="C73">
            <v>10</v>
          </cell>
          <cell r="D73">
            <v>0.15342763873775844</v>
          </cell>
          <cell r="E73">
            <v>4.1688203440426639</v>
          </cell>
          <cell r="F73">
            <v>4.1688203440426639</v>
          </cell>
        </row>
        <row r="74">
          <cell r="B74" t="str">
            <v>11/64</v>
          </cell>
          <cell r="C74">
            <v>11</v>
          </cell>
          <cell r="D74">
            <v>2.176278563656148E-3</v>
          </cell>
          <cell r="E74">
            <v>3.4713815789473692</v>
          </cell>
          <cell r="F74">
            <v>2.8928179824561409</v>
          </cell>
        </row>
        <row r="75">
          <cell r="B75" t="str">
            <v>3/16</v>
          </cell>
          <cell r="C75">
            <v>12</v>
          </cell>
          <cell r="D75">
            <v>3.2644178454842221E-3</v>
          </cell>
          <cell r="E75">
            <v>3.5092653508771936</v>
          </cell>
          <cell r="F75">
            <v>2.5066181077694241</v>
          </cell>
        </row>
        <row r="76">
          <cell r="B76" t="str">
            <v>13/64</v>
          </cell>
          <cell r="C76">
            <v>13</v>
          </cell>
          <cell r="D76">
            <v>0</v>
          </cell>
          <cell r="E76">
            <v>0</v>
          </cell>
          <cell r="F76">
            <v>0</v>
          </cell>
        </row>
        <row r="77">
          <cell r="B77" t="str">
            <v>7/32</v>
          </cell>
          <cell r="C77">
            <v>14</v>
          </cell>
          <cell r="D77">
            <v>1.088139281828074E-3</v>
          </cell>
          <cell r="E77">
            <v>3</v>
          </cell>
          <cell r="F77">
            <v>1.5625</v>
          </cell>
        </row>
        <row r="78">
          <cell r="B78" t="str">
            <v>15/64</v>
          </cell>
          <cell r="C78">
            <v>15</v>
          </cell>
          <cell r="D78">
            <v>1.088139281828074E-3</v>
          </cell>
          <cell r="E78">
            <v>3</v>
          </cell>
          <cell r="F78">
            <v>1.3513513513513513</v>
          </cell>
        </row>
        <row r="79">
          <cell r="E79" t="str">
            <v>weighted average &gt;&gt;</v>
          </cell>
          <cell r="F79">
            <v>4.4256710922626636</v>
          </cell>
        </row>
      </sheetData>
      <sheetData sheetId="22">
        <row r="5">
          <cell r="A5" t="str">
            <v>Wheel line leaks, from Appendix A data</v>
          </cell>
          <cell r="O5" t="str">
            <v>System Type</v>
          </cell>
          <cell r="P5" t="str">
            <v>System</v>
          </cell>
          <cell r="Q5" t="str">
            <v>Number of Heads</v>
          </cell>
          <cell r="R5" t="str">
            <v>Number of Gasket Leaks</v>
          </cell>
          <cell r="S5" t="str">
            <v>Total Leakage Rate (gpm)</v>
          </cell>
          <cell r="T5" t="str">
            <v>Average Leakage Per Gasket (gpm)</v>
          </cell>
          <cell r="U5" t="str">
            <v>Average Leakage Per Leaking Gasket (gpm)</v>
          </cell>
          <cell r="W5" t="str">
            <v>System Type</v>
          </cell>
          <cell r="X5" t="str">
            <v>System</v>
          </cell>
          <cell r="Y5" t="str">
            <v>Number of Heads</v>
          </cell>
          <cell r="Z5" t="str">
            <v>Number of Gasket Leaks</v>
          </cell>
          <cell r="AA5" t="str">
            <v>Total Leakage Rate (gpm)</v>
          </cell>
          <cell r="AB5" t="str">
            <v>Average Leakage Per Gasket (gpm)</v>
          </cell>
          <cell r="AC5" t="str">
            <v>Average Leakage Per Leaking Gasket (gpm)</v>
          </cell>
          <cell r="AE5" t="str">
            <v>System Type</v>
          </cell>
          <cell r="AF5" t="str">
            <v>System</v>
          </cell>
          <cell r="AG5" t="str">
            <v>Number of Heads</v>
          </cell>
          <cell r="AH5" t="str">
            <v>Number of Drain Valve Leaks</v>
          </cell>
          <cell r="AI5" t="str">
            <v>Total Leakage Rate (gpm)</v>
          </cell>
          <cell r="AJ5" t="str">
            <v>Average Leakage Per Drain Valve (gpm)</v>
          </cell>
          <cell r="AK5" t="str">
            <v>Average Leakage Per Leaking Drain Valve (gpm)</v>
          </cell>
          <cell r="AM5" t="str">
            <v>System</v>
          </cell>
          <cell r="AN5" t="str">
            <v>Number of Heads</v>
          </cell>
        </row>
        <row r="6">
          <cell r="O6" t="str">
            <v>Wheel line</v>
          </cell>
          <cell r="P6" t="str">
            <v>WL1</v>
          </cell>
          <cell r="Q6">
            <v>33</v>
          </cell>
          <cell r="R6">
            <v>2</v>
          </cell>
          <cell r="S6">
            <v>4.3</v>
          </cell>
          <cell r="T6">
            <v>0.13030303030303031</v>
          </cell>
          <cell r="U6">
            <v>2.15</v>
          </cell>
          <cell r="W6" t="str">
            <v>Thunderbird</v>
          </cell>
          <cell r="X6" t="str">
            <v>TB1</v>
          </cell>
          <cell r="Y6">
            <v>32</v>
          </cell>
          <cell r="Z6">
            <v>0</v>
          </cell>
          <cell r="AA6">
            <v>0</v>
          </cell>
          <cell r="AB6">
            <v>0</v>
          </cell>
          <cell r="AC6" t="str">
            <v/>
          </cell>
          <cell r="AE6" t="str">
            <v>Wheel line</v>
          </cell>
          <cell r="AF6" t="str">
            <v>WL1</v>
          </cell>
          <cell r="AG6">
            <v>33</v>
          </cell>
          <cell r="AH6">
            <v>3</v>
          </cell>
          <cell r="AI6">
            <v>7.5</v>
          </cell>
          <cell r="AJ6">
            <v>0.22727272727272727</v>
          </cell>
          <cell r="AK6">
            <v>2.5</v>
          </cell>
          <cell r="AM6" t="str">
            <v>WL1</v>
          </cell>
          <cell r="AN6">
            <v>33</v>
          </cell>
        </row>
        <row r="7">
          <cell r="C7" t="str">
            <v>Joseph modified 12/14/12</v>
          </cell>
          <cell r="P7" t="str">
            <v>WL2</v>
          </cell>
          <cell r="Q7">
            <v>14</v>
          </cell>
          <cell r="R7">
            <v>9</v>
          </cell>
          <cell r="S7">
            <v>40.5</v>
          </cell>
          <cell r="T7">
            <v>2.8928571428571428</v>
          </cell>
          <cell r="U7">
            <v>4.5</v>
          </cell>
          <cell r="X7" t="str">
            <v>TB2</v>
          </cell>
          <cell r="Y7">
            <v>15</v>
          </cell>
          <cell r="Z7">
            <v>9</v>
          </cell>
          <cell r="AA7">
            <v>9.1</v>
          </cell>
          <cell r="AB7">
            <v>0.60666666666666669</v>
          </cell>
          <cell r="AC7">
            <v>1.0111111111111111</v>
          </cell>
          <cell r="AF7" t="str">
            <v>WL2</v>
          </cell>
          <cell r="AG7">
            <v>14</v>
          </cell>
          <cell r="AH7">
            <v>3</v>
          </cell>
          <cell r="AI7">
            <v>19.899999999999999</v>
          </cell>
          <cell r="AJ7">
            <v>1.4214285714285713</v>
          </cell>
          <cell r="AK7">
            <v>6.6333333333333329</v>
          </cell>
          <cell r="AM7" t="str">
            <v>WL2</v>
          </cell>
          <cell r="AN7">
            <v>14</v>
          </cell>
        </row>
        <row r="8">
          <cell r="P8" t="str">
            <v>WL3</v>
          </cell>
          <cell r="Q8">
            <v>32</v>
          </cell>
          <cell r="R8">
            <v>0</v>
          </cell>
          <cell r="S8">
            <v>0</v>
          </cell>
          <cell r="T8">
            <v>0</v>
          </cell>
          <cell r="U8" t="str">
            <v/>
          </cell>
          <cell r="X8" t="str">
            <v>TB3</v>
          </cell>
          <cell r="Y8">
            <v>30</v>
          </cell>
          <cell r="Z8">
            <v>7</v>
          </cell>
          <cell r="AA8">
            <v>1.75</v>
          </cell>
          <cell r="AB8">
            <v>5.8333333333333334E-2</v>
          </cell>
          <cell r="AC8">
            <v>0.25</v>
          </cell>
          <cell r="AF8" t="str">
            <v>WL3</v>
          </cell>
          <cell r="AG8">
            <v>32</v>
          </cell>
          <cell r="AH8">
            <v>0</v>
          </cell>
          <cell r="AI8">
            <v>0</v>
          </cell>
          <cell r="AJ8">
            <v>0</v>
          </cell>
          <cell r="AK8" t="str">
            <v/>
          </cell>
          <cell r="AM8" t="str">
            <v>WL3</v>
          </cell>
          <cell r="AN8">
            <v>32</v>
          </cell>
        </row>
        <row r="9">
          <cell r="P9" t="str">
            <v>WL4</v>
          </cell>
          <cell r="Q9">
            <v>37</v>
          </cell>
          <cell r="R9">
            <v>2</v>
          </cell>
          <cell r="S9">
            <v>9.4</v>
          </cell>
          <cell r="T9">
            <v>0.25405405405405407</v>
          </cell>
          <cell r="U9">
            <v>4.7</v>
          </cell>
          <cell r="X9" t="str">
            <v>TB4</v>
          </cell>
          <cell r="Y9">
            <v>29</v>
          </cell>
          <cell r="Z9">
            <v>12</v>
          </cell>
          <cell r="AA9">
            <v>19.45</v>
          </cell>
          <cell r="AB9">
            <v>0.67068965517241375</v>
          </cell>
          <cell r="AC9">
            <v>1.6208333333333333</v>
          </cell>
          <cell r="AF9" t="str">
            <v>WL4</v>
          </cell>
          <cell r="AG9">
            <v>37</v>
          </cell>
          <cell r="AH9">
            <v>0</v>
          </cell>
          <cell r="AI9">
            <v>0</v>
          </cell>
          <cell r="AJ9">
            <v>0</v>
          </cell>
          <cell r="AK9" t="str">
            <v/>
          </cell>
          <cell r="AM9" t="str">
            <v>WL4</v>
          </cell>
          <cell r="AN9">
            <v>37</v>
          </cell>
        </row>
        <row r="10">
          <cell r="P10" t="str">
            <v>WL5</v>
          </cell>
          <cell r="Q10">
            <v>26</v>
          </cell>
          <cell r="R10">
            <v>4</v>
          </cell>
          <cell r="S10">
            <v>1.5</v>
          </cell>
          <cell r="T10">
            <v>5.7692307692307696E-2</v>
          </cell>
          <cell r="U10">
            <v>0.375</v>
          </cell>
          <cell r="X10" t="str">
            <v>TB5</v>
          </cell>
          <cell r="Y10">
            <v>30</v>
          </cell>
          <cell r="Z10">
            <v>13</v>
          </cell>
          <cell r="AA10">
            <v>26.4</v>
          </cell>
          <cell r="AB10">
            <v>0.88</v>
          </cell>
          <cell r="AC10">
            <v>2.0307692307692307</v>
          </cell>
          <cell r="AF10" t="str">
            <v>WL5</v>
          </cell>
          <cell r="AG10">
            <v>26</v>
          </cell>
          <cell r="AH10">
            <v>2</v>
          </cell>
          <cell r="AI10">
            <v>0.60000000000000009</v>
          </cell>
          <cell r="AJ10">
            <v>2.3076923076923082E-2</v>
          </cell>
          <cell r="AK10">
            <v>0.30000000000000004</v>
          </cell>
          <cell r="AM10" t="str">
            <v>WL5</v>
          </cell>
          <cell r="AN10">
            <v>26</v>
          </cell>
        </row>
        <row r="11">
          <cell r="C11">
            <v>41072</v>
          </cell>
          <cell r="D11" t="str">
            <v>Field ID/System:</v>
          </cell>
          <cell r="F11" t="str">
            <v>Page 1 of 1</v>
          </cell>
          <cell r="G11" t="str">
            <v>LAT:</v>
          </cell>
          <cell r="P11" t="str">
            <v>WL6</v>
          </cell>
          <cell r="Q11">
            <v>25</v>
          </cell>
          <cell r="R11">
            <v>3</v>
          </cell>
          <cell r="S11">
            <v>1.8</v>
          </cell>
          <cell r="T11">
            <v>7.2000000000000008E-2</v>
          </cell>
          <cell r="U11">
            <v>0.6</v>
          </cell>
          <cell r="X11" t="str">
            <v>TB6</v>
          </cell>
          <cell r="Y11">
            <v>30</v>
          </cell>
          <cell r="Z11">
            <v>5</v>
          </cell>
          <cell r="AA11">
            <v>1.4200000000000002</v>
          </cell>
          <cell r="AB11">
            <v>4.7333333333333338E-2</v>
          </cell>
          <cell r="AC11">
            <v>0.28400000000000003</v>
          </cell>
          <cell r="AF11" t="str">
            <v>WL6</v>
          </cell>
          <cell r="AG11">
            <v>25</v>
          </cell>
          <cell r="AH11">
            <v>4</v>
          </cell>
          <cell r="AI11">
            <v>10.100000000000001</v>
          </cell>
          <cell r="AJ11">
            <v>0.40400000000000008</v>
          </cell>
          <cell r="AK11">
            <v>2.5250000000000004</v>
          </cell>
          <cell r="AM11" t="str">
            <v>WL6</v>
          </cell>
          <cell r="AN11">
            <v>25</v>
          </cell>
        </row>
        <row r="12">
          <cell r="G12" t="str">
            <v>42°30'41" N</v>
          </cell>
          <cell r="P12" t="str">
            <v>WL7</v>
          </cell>
          <cell r="Q12">
            <v>28</v>
          </cell>
          <cell r="R12">
            <v>0</v>
          </cell>
          <cell r="S12">
            <v>0</v>
          </cell>
          <cell r="T12">
            <v>0</v>
          </cell>
          <cell r="U12" t="str">
            <v/>
          </cell>
          <cell r="X12" t="str">
            <v>TB7</v>
          </cell>
          <cell r="Y12">
            <v>32</v>
          </cell>
          <cell r="Z12">
            <v>7</v>
          </cell>
          <cell r="AA12">
            <v>3.1999999999999997</v>
          </cell>
          <cell r="AB12">
            <v>9.9999999999999992E-2</v>
          </cell>
          <cell r="AC12">
            <v>0.45714285714285713</v>
          </cell>
          <cell r="AF12" t="str">
            <v>WL7</v>
          </cell>
          <cell r="AG12">
            <v>28</v>
          </cell>
          <cell r="AH12">
            <v>1</v>
          </cell>
          <cell r="AI12">
            <v>1</v>
          </cell>
          <cell r="AJ12">
            <v>3.5714285714285712E-2</v>
          </cell>
          <cell r="AK12">
            <v>1</v>
          </cell>
          <cell r="AM12" t="str">
            <v>WL7</v>
          </cell>
          <cell r="AN12">
            <v>28</v>
          </cell>
        </row>
        <row r="13">
          <cell r="D13" t="str">
            <v>Leal Schoessler/55PSI at pump/Gravity fed</v>
          </cell>
          <cell r="L13" t="str">
            <v>wheel line_leak type</v>
          </cell>
          <cell r="P13" t="str">
            <v>WL8</v>
          </cell>
          <cell r="Q13">
            <v>33</v>
          </cell>
          <cell r="R13">
            <v>0</v>
          </cell>
          <cell r="S13">
            <v>0</v>
          </cell>
          <cell r="T13">
            <v>0</v>
          </cell>
          <cell r="U13" t="str">
            <v/>
          </cell>
          <cell r="X13" t="str">
            <v>TB8</v>
          </cell>
          <cell r="Y13">
            <v>30</v>
          </cell>
          <cell r="Z13">
            <v>4</v>
          </cell>
          <cell r="AA13">
            <v>14.85</v>
          </cell>
          <cell r="AB13">
            <v>0.495</v>
          </cell>
          <cell r="AC13">
            <v>3.7124999999999999</v>
          </cell>
          <cell r="AF13" t="str">
            <v>WL8</v>
          </cell>
          <cell r="AG13">
            <v>33</v>
          </cell>
          <cell r="AH13">
            <v>0</v>
          </cell>
          <cell r="AI13">
            <v>0</v>
          </cell>
          <cell r="AJ13">
            <v>0</v>
          </cell>
          <cell r="AK13" t="str">
            <v/>
          </cell>
          <cell r="AM13" t="str">
            <v>WL8</v>
          </cell>
          <cell r="AN13">
            <v>33</v>
          </cell>
        </row>
        <row r="14">
          <cell r="D14" t="str">
            <v>Riser/Pipe</v>
          </cell>
          <cell r="E14" t="str">
            <v>Inches</v>
          </cell>
          <cell r="F14" t="str">
            <v>Leaks @ GPM</v>
          </cell>
          <cell r="G14" t="str">
            <v>Type of Leak</v>
          </cell>
          <cell r="H14" t="str">
            <v>Leak</v>
          </cell>
          <cell r="I14" t="str">
            <v>No Leak</v>
          </cell>
          <cell r="J14" t="str">
            <v>DV Leaks</v>
          </cell>
          <cell r="K14" t="str">
            <v>Gasket Leaks</v>
          </cell>
          <cell r="P14" t="str">
            <v>WL9</v>
          </cell>
          <cell r="Q14">
            <v>32</v>
          </cell>
          <cell r="R14">
            <v>1</v>
          </cell>
          <cell r="S14">
            <v>0.4</v>
          </cell>
          <cell r="T14">
            <v>1.2500000000000001E-2</v>
          </cell>
          <cell r="U14">
            <v>0.4</v>
          </cell>
          <cell r="X14" t="str">
            <v>TB9</v>
          </cell>
          <cell r="Y14">
            <v>21</v>
          </cell>
          <cell r="Z14">
            <v>19</v>
          </cell>
          <cell r="AA14">
            <v>17.5</v>
          </cell>
          <cell r="AB14">
            <v>0.83333333333333337</v>
          </cell>
          <cell r="AC14">
            <v>0.92105263157894735</v>
          </cell>
          <cell r="AF14" t="str">
            <v>WL9</v>
          </cell>
          <cell r="AG14">
            <v>32</v>
          </cell>
          <cell r="AH14">
            <v>0</v>
          </cell>
          <cell r="AI14">
            <v>0</v>
          </cell>
          <cell r="AJ14">
            <v>0</v>
          </cell>
          <cell r="AK14" t="str">
            <v/>
          </cell>
          <cell r="AM14" t="str">
            <v>WL9</v>
          </cell>
          <cell r="AN14">
            <v>32</v>
          </cell>
        </row>
        <row r="15">
          <cell r="C15" t="str">
            <v>WL1</v>
          </cell>
          <cell r="D15">
            <v>1</v>
          </cell>
          <cell r="F15">
            <v>4</v>
          </cell>
          <cell r="G15" t="str">
            <v>G</v>
          </cell>
          <cell r="I15">
            <v>1</v>
          </cell>
          <cell r="K15">
            <v>1</v>
          </cell>
          <cell r="L15" t="str">
            <v>WL1_G</v>
          </cell>
          <cell r="P15" t="str">
            <v>WL10</v>
          </cell>
          <cell r="Q15">
            <v>33</v>
          </cell>
          <cell r="R15">
            <v>0</v>
          </cell>
          <cell r="S15">
            <v>0</v>
          </cell>
          <cell r="T15">
            <v>0</v>
          </cell>
          <cell r="U15" t="str">
            <v/>
          </cell>
          <cell r="X15" t="str">
            <v>TB10</v>
          </cell>
          <cell r="Y15">
            <v>32</v>
          </cell>
          <cell r="Z15">
            <v>22</v>
          </cell>
          <cell r="AA15">
            <v>13.85</v>
          </cell>
          <cell r="AB15">
            <v>0.43281249999999999</v>
          </cell>
          <cell r="AC15">
            <v>0.62954545454545452</v>
          </cell>
          <cell r="AF15" t="str">
            <v>WL10</v>
          </cell>
          <cell r="AG15">
            <v>33</v>
          </cell>
          <cell r="AH15">
            <v>1</v>
          </cell>
          <cell r="AI15">
            <v>0.7</v>
          </cell>
          <cell r="AJ15">
            <v>2.121212121212121E-2</v>
          </cell>
          <cell r="AK15">
            <v>0.7</v>
          </cell>
          <cell r="AM15" t="str">
            <v>WL10</v>
          </cell>
          <cell r="AN15">
            <v>33</v>
          </cell>
        </row>
        <row r="16">
          <cell r="C16" t="str">
            <v>WL1</v>
          </cell>
          <cell r="D16">
            <v>2</v>
          </cell>
          <cell r="I16">
            <v>1</v>
          </cell>
          <cell r="L16" t="str">
            <v>WL1_</v>
          </cell>
          <cell r="P16" t="str">
            <v>WL11</v>
          </cell>
          <cell r="Q16">
            <v>32</v>
          </cell>
          <cell r="R16">
            <v>2</v>
          </cell>
          <cell r="S16">
            <v>1.9000000000000001</v>
          </cell>
          <cell r="T16">
            <v>5.9375000000000004E-2</v>
          </cell>
          <cell r="U16">
            <v>0.95000000000000007</v>
          </cell>
          <cell r="X16" t="str">
            <v>TB12</v>
          </cell>
          <cell r="Y16">
            <v>32</v>
          </cell>
          <cell r="Z16">
            <v>16</v>
          </cell>
          <cell r="AA16">
            <v>14.299999999999999</v>
          </cell>
          <cell r="AB16">
            <v>0.44687499999999997</v>
          </cell>
          <cell r="AC16">
            <v>0.89374999999999993</v>
          </cell>
          <cell r="AF16" t="str">
            <v>WL11</v>
          </cell>
          <cell r="AG16">
            <v>32</v>
          </cell>
          <cell r="AH16">
            <v>0</v>
          </cell>
          <cell r="AI16">
            <v>0</v>
          </cell>
          <cell r="AJ16">
            <v>0</v>
          </cell>
          <cell r="AK16" t="str">
            <v/>
          </cell>
          <cell r="AM16" t="str">
            <v>WL11</v>
          </cell>
          <cell r="AN16">
            <v>32</v>
          </cell>
        </row>
        <row r="17">
          <cell r="C17" t="str">
            <v>WL1</v>
          </cell>
          <cell r="D17">
            <v>3</v>
          </cell>
          <cell r="I17">
            <v>1</v>
          </cell>
          <cell r="L17" t="str">
            <v>WL1_</v>
          </cell>
          <cell r="P17" t="str">
            <v>WL12</v>
          </cell>
          <cell r="Q17">
            <v>32</v>
          </cell>
          <cell r="R17">
            <v>0</v>
          </cell>
          <cell r="S17">
            <v>0</v>
          </cell>
          <cell r="T17">
            <v>0</v>
          </cell>
          <cell r="U17" t="str">
            <v/>
          </cell>
          <cell r="X17" t="str">
            <v>TB13</v>
          </cell>
          <cell r="Y17">
            <v>32</v>
          </cell>
          <cell r="Z17">
            <v>9</v>
          </cell>
          <cell r="AA17">
            <v>9.6999999999999993</v>
          </cell>
          <cell r="AB17">
            <v>0.30312499999999998</v>
          </cell>
          <cell r="AC17">
            <v>1.0777777777777777</v>
          </cell>
          <cell r="AF17" t="str">
            <v>WL12</v>
          </cell>
          <cell r="AG17">
            <v>32</v>
          </cell>
          <cell r="AH17">
            <v>0</v>
          </cell>
          <cell r="AI17">
            <v>0</v>
          </cell>
          <cell r="AJ17">
            <v>0</v>
          </cell>
          <cell r="AK17" t="str">
            <v/>
          </cell>
          <cell r="AM17" t="str">
            <v>WL12</v>
          </cell>
          <cell r="AN17">
            <v>32</v>
          </cell>
        </row>
        <row r="18">
          <cell r="C18" t="str">
            <v>WL1</v>
          </cell>
          <cell r="D18">
            <v>4</v>
          </cell>
          <cell r="F18">
            <v>5.2</v>
          </cell>
          <cell r="G18" t="str">
            <v>DV</v>
          </cell>
          <cell r="I18">
            <v>1</v>
          </cell>
          <cell r="J18">
            <v>1</v>
          </cell>
          <cell r="L18" t="str">
            <v>WL1_DV</v>
          </cell>
          <cell r="P18" t="str">
            <v>WL13</v>
          </cell>
          <cell r="Q18">
            <v>48</v>
          </cell>
          <cell r="R18">
            <v>10</v>
          </cell>
          <cell r="S18">
            <v>5.55</v>
          </cell>
          <cell r="T18">
            <v>0.11562499999999999</v>
          </cell>
          <cell r="U18">
            <v>0.55499999999999994</v>
          </cell>
          <cell r="X18" t="str">
            <v>Total</v>
          </cell>
          <cell r="Y18">
            <v>345</v>
          </cell>
          <cell r="Z18">
            <v>123</v>
          </cell>
          <cell r="AA18">
            <v>131.51999999999998</v>
          </cell>
          <cell r="AB18">
            <v>0.38121739130434779</v>
          </cell>
          <cell r="AC18">
            <v>1.0692682926829267</v>
          </cell>
          <cell r="AF18" t="str">
            <v>WL13</v>
          </cell>
          <cell r="AG18">
            <v>48</v>
          </cell>
          <cell r="AH18">
            <v>0</v>
          </cell>
          <cell r="AI18">
            <v>0</v>
          </cell>
          <cell r="AJ18">
            <v>0</v>
          </cell>
          <cell r="AK18" t="str">
            <v/>
          </cell>
          <cell r="AM18" t="str">
            <v>WL13</v>
          </cell>
          <cell r="AN18">
            <v>48</v>
          </cell>
        </row>
        <row r="19">
          <cell r="C19" t="str">
            <v>WL1</v>
          </cell>
          <cell r="D19">
            <v>5</v>
          </cell>
          <cell r="F19">
            <v>0.3</v>
          </cell>
          <cell r="G19" t="str">
            <v>DV</v>
          </cell>
          <cell r="I19">
            <v>1</v>
          </cell>
          <cell r="J19">
            <v>1</v>
          </cell>
          <cell r="L19" t="str">
            <v>WL1_DV</v>
          </cell>
          <cell r="P19" t="str">
            <v>WL14</v>
          </cell>
          <cell r="Q19">
            <v>34</v>
          </cell>
          <cell r="R19">
            <v>3</v>
          </cell>
          <cell r="S19">
            <v>0.6</v>
          </cell>
          <cell r="T19">
            <v>1.7647058823529412E-2</v>
          </cell>
          <cell r="U19">
            <v>0.19999999999999998</v>
          </cell>
          <cell r="Y19" t="str">
            <v>25th percentile system &gt;&gt;</v>
          </cell>
          <cell r="AB19">
            <v>8.958333333333332E-2</v>
          </cell>
          <cell r="AF19" t="str">
            <v>WL14</v>
          </cell>
          <cell r="AG19">
            <v>34</v>
          </cell>
          <cell r="AH19">
            <v>2</v>
          </cell>
          <cell r="AI19">
            <v>18.3</v>
          </cell>
          <cell r="AJ19">
            <v>0.53823529411764703</v>
          </cell>
          <cell r="AK19">
            <v>9.15</v>
          </cell>
          <cell r="AM19" t="str">
            <v>WL14</v>
          </cell>
          <cell r="AN19">
            <v>34</v>
          </cell>
        </row>
        <row r="20">
          <cell r="C20" t="str">
            <v>WL1</v>
          </cell>
          <cell r="D20">
            <v>6</v>
          </cell>
          <cell r="I20">
            <v>1</v>
          </cell>
          <cell r="L20" t="str">
            <v>WL1_</v>
          </cell>
          <cell r="P20" t="str">
            <v>WL15</v>
          </cell>
          <cell r="Q20">
            <v>33</v>
          </cell>
          <cell r="R20">
            <v>1</v>
          </cell>
          <cell r="S20">
            <v>0.5</v>
          </cell>
          <cell r="T20">
            <v>1.5151515151515152E-2</v>
          </cell>
          <cell r="U20">
            <v>0.5</v>
          </cell>
          <cell r="Y20" t="str">
            <v>Savings &gt;&gt;</v>
          </cell>
          <cell r="AB20">
            <v>0.29163405797101449</v>
          </cell>
          <cell r="AF20" t="str">
            <v>WL15</v>
          </cell>
          <cell r="AG20">
            <v>33</v>
          </cell>
          <cell r="AH20">
            <v>12</v>
          </cell>
          <cell r="AI20">
            <v>36.1</v>
          </cell>
          <cell r="AJ20">
            <v>1.093939393939394</v>
          </cell>
          <cell r="AK20">
            <v>3.0083333333333333</v>
          </cell>
          <cell r="AM20" t="str">
            <v>WL15</v>
          </cell>
          <cell r="AN20">
            <v>33</v>
          </cell>
        </row>
        <row r="21">
          <cell r="C21" t="str">
            <v>WL1</v>
          </cell>
          <cell r="D21">
            <v>7</v>
          </cell>
          <cell r="F21">
            <v>0.5</v>
          </cell>
          <cell r="G21" t="str">
            <v>SP</v>
          </cell>
          <cell r="I21">
            <v>1</v>
          </cell>
          <cell r="K21">
            <v>1</v>
          </cell>
          <cell r="L21" t="str">
            <v>WL1_SP</v>
          </cell>
          <cell r="P21" t="str">
            <v>WL16</v>
          </cell>
          <cell r="Q21">
            <v>32</v>
          </cell>
          <cell r="R21">
            <v>3</v>
          </cell>
          <cell r="S21">
            <v>0.7</v>
          </cell>
          <cell r="T21">
            <v>2.1874999999999999E-2</v>
          </cell>
          <cell r="U21">
            <v>0.23333333333333331</v>
          </cell>
          <cell r="AF21" t="str">
            <v>WL16</v>
          </cell>
          <cell r="AG21">
            <v>32</v>
          </cell>
          <cell r="AH21">
            <v>2</v>
          </cell>
          <cell r="AI21">
            <v>0.8</v>
          </cell>
          <cell r="AJ21">
            <v>2.5000000000000001E-2</v>
          </cell>
          <cell r="AK21">
            <v>0.4</v>
          </cell>
          <cell r="AM21" t="str">
            <v>WL16</v>
          </cell>
          <cell r="AN21">
            <v>32</v>
          </cell>
        </row>
        <row r="22">
          <cell r="C22" t="str">
            <v>WL1</v>
          </cell>
          <cell r="D22">
            <v>8</v>
          </cell>
          <cell r="I22">
            <v>1</v>
          </cell>
          <cell r="L22" t="str">
            <v>WL1_</v>
          </cell>
          <cell r="O22" t="str">
            <v>Hand line</v>
          </cell>
          <cell r="P22" t="str">
            <v>Line 1</v>
          </cell>
          <cell r="Q22">
            <v>33</v>
          </cell>
          <cell r="R22">
            <v>4</v>
          </cell>
          <cell r="S22">
            <v>31.799999999999997</v>
          </cell>
          <cell r="T22">
            <v>0.96363636363636351</v>
          </cell>
          <cell r="U22">
            <v>7.9499999999999993</v>
          </cell>
          <cell r="AE22" t="str">
            <v>Thunderbird</v>
          </cell>
          <cell r="AF22" t="str">
            <v>TB1</v>
          </cell>
          <cell r="AG22">
            <v>32</v>
          </cell>
          <cell r="AH22">
            <v>1</v>
          </cell>
          <cell r="AI22">
            <v>0.1</v>
          </cell>
          <cell r="AJ22">
            <v>3.1250000000000002E-3</v>
          </cell>
          <cell r="AK22">
            <v>0.1</v>
          </cell>
          <cell r="AM22" t="str">
            <v>TB1</v>
          </cell>
          <cell r="AN22">
            <v>32</v>
          </cell>
        </row>
        <row r="23">
          <cell r="C23" t="str">
            <v>WL1</v>
          </cell>
          <cell r="D23">
            <v>9</v>
          </cell>
          <cell r="I23">
            <v>1</v>
          </cell>
          <cell r="L23" t="str">
            <v>WL1_</v>
          </cell>
          <cell r="P23" t="str">
            <v>Line 2</v>
          </cell>
          <cell r="Q23">
            <v>6</v>
          </cell>
          <cell r="R23">
            <v>1</v>
          </cell>
          <cell r="S23">
            <v>2.6</v>
          </cell>
          <cell r="T23">
            <v>0.43333333333333335</v>
          </cell>
          <cell r="U23">
            <v>2.6</v>
          </cell>
          <cell r="AF23" t="str">
            <v>TB2</v>
          </cell>
          <cell r="AG23">
            <v>15</v>
          </cell>
          <cell r="AH23">
            <v>0</v>
          </cell>
          <cell r="AI23">
            <v>0</v>
          </cell>
          <cell r="AJ23">
            <v>0</v>
          </cell>
          <cell r="AK23" t="str">
            <v/>
          </cell>
          <cell r="AM23" t="str">
            <v>TB2</v>
          </cell>
          <cell r="AN23">
            <v>15</v>
          </cell>
        </row>
        <row r="24">
          <cell r="C24" t="str">
            <v>WL1</v>
          </cell>
          <cell r="D24">
            <v>10</v>
          </cell>
          <cell r="I24">
            <v>1</v>
          </cell>
          <cell r="L24" t="str">
            <v>WL1_</v>
          </cell>
          <cell r="P24" t="str">
            <v>Line 3</v>
          </cell>
          <cell r="Q24">
            <v>6</v>
          </cell>
          <cell r="R24">
            <v>0</v>
          </cell>
          <cell r="S24">
            <v>0</v>
          </cell>
          <cell r="T24">
            <v>0</v>
          </cell>
          <cell r="U24" t="str">
            <v/>
          </cell>
          <cell r="AF24" t="str">
            <v>TB3</v>
          </cell>
          <cell r="AG24">
            <v>30</v>
          </cell>
          <cell r="AH24">
            <v>0</v>
          </cell>
          <cell r="AI24">
            <v>0</v>
          </cell>
          <cell r="AJ24">
            <v>0</v>
          </cell>
          <cell r="AK24" t="str">
            <v/>
          </cell>
          <cell r="AM24" t="str">
            <v>TB3</v>
          </cell>
          <cell r="AN24">
            <v>30</v>
          </cell>
        </row>
        <row r="25">
          <cell r="C25" t="str">
            <v>WL1</v>
          </cell>
          <cell r="D25">
            <v>11</v>
          </cell>
          <cell r="I25">
            <v>1</v>
          </cell>
          <cell r="L25" t="str">
            <v>WL1_</v>
          </cell>
          <cell r="P25" t="str">
            <v>Line 4</v>
          </cell>
          <cell r="Q25">
            <v>16</v>
          </cell>
          <cell r="R25">
            <v>1</v>
          </cell>
          <cell r="S25">
            <v>0.2</v>
          </cell>
          <cell r="T25">
            <v>1.2500000000000001E-2</v>
          </cell>
          <cell r="U25">
            <v>0.2</v>
          </cell>
          <cell r="AF25" t="str">
            <v>TB4</v>
          </cell>
          <cell r="AG25">
            <v>29</v>
          </cell>
          <cell r="AH25">
            <v>0</v>
          </cell>
          <cell r="AI25">
            <v>0</v>
          </cell>
          <cell r="AJ25">
            <v>0</v>
          </cell>
          <cell r="AK25" t="str">
            <v/>
          </cell>
          <cell r="AM25" t="str">
            <v>TB4</v>
          </cell>
          <cell r="AN25">
            <v>29</v>
          </cell>
        </row>
        <row r="26">
          <cell r="C26" t="str">
            <v>WL1</v>
          </cell>
          <cell r="D26">
            <v>12</v>
          </cell>
          <cell r="I26">
            <v>1</v>
          </cell>
          <cell r="L26" t="str">
            <v>WL1_</v>
          </cell>
          <cell r="P26" t="str">
            <v>Line 5</v>
          </cell>
          <cell r="Q26">
            <v>9</v>
          </cell>
          <cell r="R26">
            <v>0</v>
          </cell>
          <cell r="S26">
            <v>0</v>
          </cell>
          <cell r="T26">
            <v>0</v>
          </cell>
          <cell r="U26" t="str">
            <v/>
          </cell>
          <cell r="AF26" t="str">
            <v>TB5</v>
          </cell>
          <cell r="AG26">
            <v>30</v>
          </cell>
          <cell r="AH26">
            <v>0</v>
          </cell>
          <cell r="AI26">
            <v>0</v>
          </cell>
          <cell r="AJ26">
            <v>0</v>
          </cell>
          <cell r="AK26" t="str">
            <v/>
          </cell>
          <cell r="AM26" t="str">
            <v>TB5</v>
          </cell>
          <cell r="AN26">
            <v>30</v>
          </cell>
        </row>
        <row r="27">
          <cell r="C27" t="str">
            <v>WL1</v>
          </cell>
          <cell r="D27">
            <v>13</v>
          </cell>
          <cell r="I27">
            <v>1</v>
          </cell>
          <cell r="L27" t="str">
            <v>WL1_</v>
          </cell>
          <cell r="P27" t="str">
            <v>Total</v>
          </cell>
          <cell r="Q27">
            <v>574</v>
          </cell>
          <cell r="R27">
            <v>46</v>
          </cell>
          <cell r="S27">
            <v>101.74999999999999</v>
          </cell>
          <cell r="T27">
            <v>0.17726480836236932</v>
          </cell>
          <cell r="U27">
            <v>2.2119565217391299</v>
          </cell>
          <cell r="AF27" t="str">
            <v>TB6</v>
          </cell>
          <cell r="AG27">
            <v>30</v>
          </cell>
          <cell r="AH27">
            <v>1</v>
          </cell>
          <cell r="AI27">
            <v>0.7</v>
          </cell>
          <cell r="AJ27">
            <v>2.3333333333333331E-2</v>
          </cell>
          <cell r="AK27">
            <v>0.7</v>
          </cell>
          <cell r="AM27" t="str">
            <v>TB6</v>
          </cell>
          <cell r="AN27">
            <v>30</v>
          </cell>
        </row>
        <row r="28">
          <cell r="C28" t="str">
            <v>WL1</v>
          </cell>
          <cell r="D28">
            <v>14</v>
          </cell>
          <cell r="I28">
            <v>1</v>
          </cell>
          <cell r="L28" t="str">
            <v>WL1_</v>
          </cell>
          <cell r="Q28" t="str">
            <v>25th percentile system &gt;&gt;</v>
          </cell>
          <cell r="T28">
            <v>0</v>
          </cell>
          <cell r="AF28" t="str">
            <v>TB7</v>
          </cell>
          <cell r="AG28">
            <v>32</v>
          </cell>
          <cell r="AH28">
            <v>3</v>
          </cell>
          <cell r="AI28">
            <v>0.65</v>
          </cell>
          <cell r="AJ28">
            <v>2.0312500000000001E-2</v>
          </cell>
          <cell r="AK28">
            <v>0.21666666666666667</v>
          </cell>
          <cell r="AM28" t="str">
            <v>TB7</v>
          </cell>
          <cell r="AN28">
            <v>32</v>
          </cell>
        </row>
        <row r="29">
          <cell r="C29" t="str">
            <v>WL1</v>
          </cell>
          <cell r="D29">
            <v>15</v>
          </cell>
          <cell r="F29">
            <v>0.3</v>
          </cell>
          <cell r="G29" t="str">
            <v>G</v>
          </cell>
          <cell r="I29">
            <v>1</v>
          </cell>
          <cell r="K29">
            <v>1</v>
          </cell>
          <cell r="L29" t="str">
            <v>WL1_G</v>
          </cell>
          <cell r="Q29" t="str">
            <v>Savings &gt;&gt;</v>
          </cell>
          <cell r="T29">
            <v>0.17726480836236932</v>
          </cell>
          <cell r="AF29" t="str">
            <v>TB8</v>
          </cell>
          <cell r="AG29">
            <v>30</v>
          </cell>
          <cell r="AH29">
            <v>1</v>
          </cell>
          <cell r="AI29">
            <v>0.5</v>
          </cell>
          <cell r="AJ29">
            <v>1.6666666666666666E-2</v>
          </cell>
          <cell r="AK29">
            <v>0.5</v>
          </cell>
          <cell r="AM29" t="str">
            <v>TB8</v>
          </cell>
          <cell r="AN29">
            <v>30</v>
          </cell>
        </row>
        <row r="30">
          <cell r="C30" t="str">
            <v>WL1</v>
          </cell>
          <cell r="D30">
            <v>16</v>
          </cell>
          <cell r="I30">
            <v>1</v>
          </cell>
          <cell r="L30" t="str">
            <v>WL1_</v>
          </cell>
          <cell r="O30" t="str">
            <v>Note: Thunderbird wheel line hub gaskets are a separate measure application.  Tom Osborn (BPA) confirmed to RTF analysts that typically the entire hub is replaced, which is different than gaskets on other hand and wheel lines where only the gasket is replaced.</v>
          </cell>
          <cell r="AF30" t="str">
            <v>TB9</v>
          </cell>
          <cell r="AG30">
            <v>21</v>
          </cell>
          <cell r="AH30">
            <v>0</v>
          </cell>
          <cell r="AI30">
            <v>0</v>
          </cell>
          <cell r="AJ30">
            <v>0</v>
          </cell>
          <cell r="AK30" t="str">
            <v/>
          </cell>
          <cell r="AM30" t="str">
            <v>TB9</v>
          </cell>
          <cell r="AN30">
            <v>21</v>
          </cell>
        </row>
        <row r="31">
          <cell r="C31" t="str">
            <v>WL1</v>
          </cell>
          <cell r="D31">
            <v>17</v>
          </cell>
          <cell r="I31">
            <v>1</v>
          </cell>
          <cell r="L31" t="str">
            <v>WL1_</v>
          </cell>
          <cell r="AF31" t="str">
            <v>TB10</v>
          </cell>
          <cell r="AG31">
            <v>32</v>
          </cell>
          <cell r="AH31">
            <v>0</v>
          </cell>
          <cell r="AI31">
            <v>0</v>
          </cell>
          <cell r="AJ31">
            <v>0</v>
          </cell>
          <cell r="AK31" t="str">
            <v/>
          </cell>
          <cell r="AM31" t="str">
            <v>TB10</v>
          </cell>
          <cell r="AN31">
            <v>32</v>
          </cell>
        </row>
        <row r="32">
          <cell r="C32" t="str">
            <v>WL1</v>
          </cell>
          <cell r="D32">
            <v>18</v>
          </cell>
          <cell r="I32">
            <v>1</v>
          </cell>
          <cell r="L32" t="str">
            <v>WL1_</v>
          </cell>
          <cell r="AF32" t="str">
            <v>TB12</v>
          </cell>
          <cell r="AG32">
            <v>32</v>
          </cell>
          <cell r="AH32">
            <v>0</v>
          </cell>
          <cell r="AI32">
            <v>0</v>
          </cell>
          <cell r="AJ32">
            <v>0</v>
          </cell>
          <cell r="AK32" t="str">
            <v/>
          </cell>
          <cell r="AM32" t="str">
            <v>TB12</v>
          </cell>
          <cell r="AN32">
            <v>32</v>
          </cell>
        </row>
        <row r="33">
          <cell r="C33" t="str">
            <v>WL1</v>
          </cell>
          <cell r="D33">
            <v>19</v>
          </cell>
          <cell r="I33">
            <v>1</v>
          </cell>
          <cell r="L33" t="str">
            <v>WL1_</v>
          </cell>
          <cell r="AF33" t="str">
            <v>TB13</v>
          </cell>
          <cell r="AG33">
            <v>32</v>
          </cell>
          <cell r="AH33">
            <v>2</v>
          </cell>
          <cell r="AI33">
            <v>0.89999999999999991</v>
          </cell>
          <cell r="AJ33">
            <v>2.8124999999999997E-2</v>
          </cell>
          <cell r="AK33">
            <v>0.44999999999999996</v>
          </cell>
          <cell r="AM33" t="str">
            <v>TB13</v>
          </cell>
          <cell r="AN33">
            <v>32</v>
          </cell>
        </row>
        <row r="34">
          <cell r="C34" t="str">
            <v>WL1</v>
          </cell>
          <cell r="D34">
            <v>20</v>
          </cell>
          <cell r="I34">
            <v>1</v>
          </cell>
          <cell r="L34" t="str">
            <v>WL1_</v>
          </cell>
          <cell r="AF34" t="str">
            <v>Total</v>
          </cell>
          <cell r="AG34">
            <v>849</v>
          </cell>
          <cell r="AH34">
            <v>38</v>
          </cell>
          <cell r="AI34">
            <v>97.850000000000023</v>
          </cell>
          <cell r="AJ34">
            <v>0.11525323910482924</v>
          </cell>
          <cell r="AK34">
            <v>2.5750000000000006</v>
          </cell>
          <cell r="AM34" t="str">
            <v>Line 1</v>
          </cell>
          <cell r="AN34">
            <v>33</v>
          </cell>
        </row>
        <row r="35">
          <cell r="C35" t="str">
            <v>WL1</v>
          </cell>
          <cell r="D35">
            <v>21</v>
          </cell>
          <cell r="I35">
            <v>1</v>
          </cell>
          <cell r="L35" t="str">
            <v>WL1_</v>
          </cell>
          <cell r="AG35" t="str">
            <v>25th percentile system &gt;&gt;</v>
          </cell>
          <cell r="AJ35">
            <v>0</v>
          </cell>
          <cell r="AM35" t="str">
            <v>Line 2</v>
          </cell>
          <cell r="AN35">
            <v>6</v>
          </cell>
        </row>
        <row r="36">
          <cell r="C36" t="str">
            <v>WL1</v>
          </cell>
          <cell r="D36">
            <v>22</v>
          </cell>
          <cell r="I36">
            <v>1</v>
          </cell>
          <cell r="L36" t="str">
            <v>WL1_</v>
          </cell>
          <cell r="AG36" t="str">
            <v>Savings &gt;&gt;</v>
          </cell>
          <cell r="AJ36">
            <v>0.11525323910482924</v>
          </cell>
          <cell r="AM36" t="str">
            <v>Line 3</v>
          </cell>
          <cell r="AN36">
            <v>6</v>
          </cell>
        </row>
        <row r="37">
          <cell r="C37" t="str">
            <v>WL1</v>
          </cell>
          <cell r="D37">
            <v>23</v>
          </cell>
          <cell r="I37">
            <v>1</v>
          </cell>
          <cell r="L37" t="str">
            <v>WL1_</v>
          </cell>
          <cell r="AM37" t="str">
            <v>Line 4</v>
          </cell>
          <cell r="AN37">
            <v>16</v>
          </cell>
        </row>
        <row r="38">
          <cell r="C38" t="str">
            <v>WL1</v>
          </cell>
          <cell r="D38">
            <v>24</v>
          </cell>
          <cell r="I38">
            <v>1</v>
          </cell>
          <cell r="L38" t="str">
            <v>WL1_</v>
          </cell>
          <cell r="AM38" t="str">
            <v>Line 5</v>
          </cell>
          <cell r="AN38">
            <v>9</v>
          </cell>
        </row>
        <row r="39">
          <cell r="C39" t="str">
            <v>WL1</v>
          </cell>
          <cell r="D39">
            <v>25</v>
          </cell>
          <cell r="I39">
            <v>1</v>
          </cell>
          <cell r="L39" t="str">
            <v>WL1_</v>
          </cell>
        </row>
        <row r="40">
          <cell r="C40" t="str">
            <v>WL1</v>
          </cell>
          <cell r="D40">
            <v>26</v>
          </cell>
          <cell r="I40">
            <v>1</v>
          </cell>
          <cell r="L40" t="str">
            <v>WL1_</v>
          </cell>
        </row>
        <row r="41">
          <cell r="C41" t="str">
            <v>WL1</v>
          </cell>
          <cell r="D41">
            <v>27</v>
          </cell>
          <cell r="I41">
            <v>1</v>
          </cell>
          <cell r="L41" t="str">
            <v>WL1_</v>
          </cell>
        </row>
        <row r="42">
          <cell r="C42" t="str">
            <v>WL1</v>
          </cell>
          <cell r="D42">
            <v>28</v>
          </cell>
          <cell r="I42">
            <v>1</v>
          </cell>
          <cell r="L42" t="str">
            <v>WL1_</v>
          </cell>
        </row>
        <row r="43">
          <cell r="C43" t="str">
            <v>WL1</v>
          </cell>
          <cell r="D43">
            <v>29</v>
          </cell>
          <cell r="I43">
            <v>1</v>
          </cell>
          <cell r="L43" t="str">
            <v>WL1_</v>
          </cell>
        </row>
        <row r="44">
          <cell r="C44" t="str">
            <v>WL1</v>
          </cell>
          <cell r="D44">
            <v>30</v>
          </cell>
          <cell r="I44">
            <v>1</v>
          </cell>
          <cell r="L44" t="str">
            <v>WL1_</v>
          </cell>
        </row>
        <row r="45">
          <cell r="C45" t="str">
            <v>WL1</v>
          </cell>
          <cell r="D45">
            <v>31</v>
          </cell>
          <cell r="F45">
            <v>2</v>
          </cell>
          <cell r="G45" t="str">
            <v>DV</v>
          </cell>
          <cell r="I45">
            <v>1</v>
          </cell>
          <cell r="J45">
            <v>1</v>
          </cell>
          <cell r="L45" t="str">
            <v>WL1_DV</v>
          </cell>
        </row>
        <row r="46">
          <cell r="C46" t="str">
            <v>WL1</v>
          </cell>
          <cell r="D46">
            <v>32</v>
          </cell>
          <cell r="I46">
            <v>1</v>
          </cell>
          <cell r="L46" t="str">
            <v>WL1_</v>
          </cell>
        </row>
        <row r="47">
          <cell r="C47" t="str">
            <v>WL1</v>
          </cell>
          <cell r="D47">
            <v>33</v>
          </cell>
          <cell r="I47">
            <v>1</v>
          </cell>
          <cell r="L47" t="str">
            <v>WL1_</v>
          </cell>
        </row>
        <row r="48">
          <cell r="H48">
            <v>0</v>
          </cell>
          <cell r="I48">
            <v>33</v>
          </cell>
          <cell r="J48">
            <v>3</v>
          </cell>
          <cell r="K48">
            <v>3</v>
          </cell>
          <cell r="L48" t="str">
            <v>_</v>
          </cell>
        </row>
        <row r="49">
          <cell r="C49">
            <v>41072</v>
          </cell>
          <cell r="D49" t="str">
            <v>Field ID/System:</v>
          </cell>
          <cell r="F49" t="str">
            <v>Page 1 of 1</v>
          </cell>
          <cell r="G49" t="str">
            <v>LAT:</v>
          </cell>
          <cell r="L49" t="str">
            <v>41072_LAT:</v>
          </cell>
        </row>
        <row r="50">
          <cell r="G50" t="str">
            <v>42°30'52" N</v>
          </cell>
          <cell r="L50" t="str">
            <v>_42°30'52" N</v>
          </cell>
        </row>
        <row r="51">
          <cell r="D51" t="str">
            <v>Leal Schoessler/leaks only/55PSI at pump/Gravity fed</v>
          </cell>
          <cell r="L51" t="str">
            <v>_</v>
          </cell>
        </row>
        <row r="52">
          <cell r="D52" t="str">
            <v>Riser/Pipe</v>
          </cell>
          <cell r="E52" t="str">
            <v>Inches</v>
          </cell>
          <cell r="F52" t="str">
            <v>Leaks @ GPM</v>
          </cell>
          <cell r="G52" t="str">
            <v>Type of Leak</v>
          </cell>
          <cell r="H52" t="str">
            <v>Leak</v>
          </cell>
          <cell r="I52" t="str">
            <v>No Leak</v>
          </cell>
          <cell r="J52" t="str">
            <v>DV Leaks</v>
          </cell>
          <cell r="K52" t="str">
            <v>Gasket Leaks</v>
          </cell>
          <cell r="L52" t="str">
            <v>_Type of Leak</v>
          </cell>
        </row>
        <row r="53">
          <cell r="C53" t="str">
            <v>WL2</v>
          </cell>
          <cell r="D53">
            <v>1</v>
          </cell>
          <cell r="I53">
            <v>1</v>
          </cell>
          <cell r="L53" t="str">
            <v>WL2_</v>
          </cell>
        </row>
        <row r="54">
          <cell r="C54" t="str">
            <v>WL2</v>
          </cell>
          <cell r="D54">
            <v>2</v>
          </cell>
          <cell r="F54">
            <v>1.5</v>
          </cell>
          <cell r="G54" t="str">
            <v>G</v>
          </cell>
          <cell r="I54">
            <v>1</v>
          </cell>
          <cell r="K54">
            <v>1</v>
          </cell>
          <cell r="L54" t="str">
            <v>WL2_G</v>
          </cell>
        </row>
        <row r="55">
          <cell r="C55" t="str">
            <v>WL2</v>
          </cell>
          <cell r="D55">
            <v>3</v>
          </cell>
          <cell r="F55">
            <v>8</v>
          </cell>
          <cell r="G55" t="str">
            <v>DV</v>
          </cell>
          <cell r="I55">
            <v>1</v>
          </cell>
          <cell r="J55">
            <v>1</v>
          </cell>
          <cell r="L55" t="str">
            <v>WL2_DV</v>
          </cell>
        </row>
        <row r="56">
          <cell r="C56" t="str">
            <v>WL2</v>
          </cell>
          <cell r="D56">
            <v>4</v>
          </cell>
          <cell r="F56">
            <v>2</v>
          </cell>
          <cell r="G56" t="str">
            <v>G</v>
          </cell>
          <cell r="I56">
            <v>1</v>
          </cell>
          <cell r="K56">
            <v>1</v>
          </cell>
          <cell r="L56" t="str">
            <v>WL2_G</v>
          </cell>
        </row>
        <row r="57">
          <cell r="C57" t="str">
            <v>WL2</v>
          </cell>
          <cell r="D57">
            <v>5</v>
          </cell>
          <cell r="F57">
            <v>0.8</v>
          </cell>
          <cell r="G57" t="str">
            <v>SP</v>
          </cell>
          <cell r="H57">
            <v>1</v>
          </cell>
          <cell r="L57" t="str">
            <v>WL2_SP</v>
          </cell>
        </row>
        <row r="58">
          <cell r="C58" t="str">
            <v>WL2</v>
          </cell>
          <cell r="D58">
            <v>6</v>
          </cell>
          <cell r="F58">
            <v>2</v>
          </cell>
          <cell r="G58" t="str">
            <v>G</v>
          </cell>
          <cell r="I58">
            <v>1</v>
          </cell>
          <cell r="K58">
            <v>1</v>
          </cell>
          <cell r="L58" t="str">
            <v>WL2_G</v>
          </cell>
        </row>
        <row r="59">
          <cell r="C59" t="str">
            <v>WL2</v>
          </cell>
          <cell r="D59">
            <v>7</v>
          </cell>
          <cell r="F59">
            <v>0.8</v>
          </cell>
          <cell r="G59" t="str">
            <v>SP</v>
          </cell>
          <cell r="H59">
            <v>1</v>
          </cell>
          <cell r="L59" t="str">
            <v>WL2_SP</v>
          </cell>
        </row>
        <row r="60">
          <cell r="C60" t="str">
            <v>WL2</v>
          </cell>
          <cell r="D60">
            <v>7.5</v>
          </cell>
          <cell r="F60">
            <v>1</v>
          </cell>
          <cell r="G60" t="str">
            <v>G</v>
          </cell>
          <cell r="K60">
            <v>1</v>
          </cell>
          <cell r="L60" t="str">
            <v>WL2_G</v>
          </cell>
        </row>
        <row r="61">
          <cell r="C61" t="str">
            <v>WL2</v>
          </cell>
          <cell r="D61">
            <v>8</v>
          </cell>
          <cell r="F61">
            <v>9.9</v>
          </cell>
          <cell r="G61" t="str">
            <v>DV</v>
          </cell>
          <cell r="I61">
            <v>1</v>
          </cell>
          <cell r="J61">
            <v>1</v>
          </cell>
          <cell r="L61" t="str">
            <v>WL2_DV</v>
          </cell>
        </row>
        <row r="62">
          <cell r="C62" t="str">
            <v>WL2</v>
          </cell>
          <cell r="D62">
            <v>9</v>
          </cell>
          <cell r="F62">
            <v>2</v>
          </cell>
          <cell r="G62" t="str">
            <v>DV</v>
          </cell>
          <cell r="I62">
            <v>1</v>
          </cell>
          <cell r="J62">
            <v>1</v>
          </cell>
          <cell r="L62" t="str">
            <v>WL2_DV</v>
          </cell>
        </row>
        <row r="63">
          <cell r="C63" t="str">
            <v>WL2</v>
          </cell>
          <cell r="D63">
            <v>10</v>
          </cell>
          <cell r="F63">
            <v>7</v>
          </cell>
          <cell r="G63" t="str">
            <v>G</v>
          </cell>
          <cell r="I63">
            <v>1</v>
          </cell>
          <cell r="K63">
            <v>1</v>
          </cell>
          <cell r="L63" t="str">
            <v>WL2_G</v>
          </cell>
        </row>
        <row r="64">
          <cell r="C64" t="str">
            <v>WL2</v>
          </cell>
          <cell r="D64">
            <v>11</v>
          </cell>
          <cell r="F64">
            <v>8</v>
          </cell>
          <cell r="G64" t="str">
            <v>G</v>
          </cell>
          <cell r="I64">
            <v>1</v>
          </cell>
          <cell r="K64">
            <v>1</v>
          </cell>
          <cell r="L64" t="str">
            <v>WL2_G</v>
          </cell>
        </row>
        <row r="65">
          <cell r="C65" t="str">
            <v>WL2</v>
          </cell>
          <cell r="D65">
            <v>12</v>
          </cell>
          <cell r="F65">
            <v>4.5999999999999996</v>
          </cell>
          <cell r="G65" t="str">
            <v>G</v>
          </cell>
          <cell r="I65">
            <v>1</v>
          </cell>
          <cell r="K65">
            <v>1</v>
          </cell>
          <cell r="L65" t="str">
            <v>WL2_G</v>
          </cell>
        </row>
        <row r="66">
          <cell r="C66" t="str">
            <v>WL2</v>
          </cell>
          <cell r="D66">
            <v>13</v>
          </cell>
          <cell r="F66">
            <v>10</v>
          </cell>
          <cell r="G66" t="str">
            <v>G</v>
          </cell>
          <cell r="I66">
            <v>1</v>
          </cell>
          <cell r="K66">
            <v>1</v>
          </cell>
          <cell r="L66" t="str">
            <v>WL2_G</v>
          </cell>
        </row>
        <row r="67">
          <cell r="C67" t="str">
            <v>WL2</v>
          </cell>
          <cell r="D67">
            <v>14</v>
          </cell>
          <cell r="F67">
            <v>4.4000000000000004</v>
          </cell>
          <cell r="G67" t="str">
            <v>G</v>
          </cell>
          <cell r="I67">
            <v>1</v>
          </cell>
          <cell r="K67">
            <v>1</v>
          </cell>
          <cell r="L67" t="str">
            <v>WL2_G</v>
          </cell>
        </row>
        <row r="68">
          <cell r="H68">
            <v>2</v>
          </cell>
          <cell r="I68">
            <v>12</v>
          </cell>
          <cell r="J68">
            <v>3</v>
          </cell>
          <cell r="K68">
            <v>9</v>
          </cell>
          <cell r="L68" t="str">
            <v>_</v>
          </cell>
        </row>
        <row r="69">
          <cell r="C69">
            <v>41072</v>
          </cell>
          <cell r="D69" t="str">
            <v>Field ID/System:</v>
          </cell>
          <cell r="F69" t="str">
            <v>Page 1 of 1</v>
          </cell>
          <cell r="G69" t="str">
            <v>LAT:</v>
          </cell>
          <cell r="L69" t="str">
            <v>41072_LAT:</v>
          </cell>
        </row>
        <row r="70">
          <cell r="G70" t="str">
            <v>42°30'33" N</v>
          </cell>
          <cell r="L70" t="str">
            <v>_42°30'33" N</v>
          </cell>
        </row>
        <row r="71">
          <cell r="D71" t="str">
            <v>Leal Schoessler/wheat/55PSI at pump/Gravity fed</v>
          </cell>
          <cell r="L71" t="str">
            <v>_</v>
          </cell>
        </row>
        <row r="72">
          <cell r="D72" t="str">
            <v>Riser/Pipe</v>
          </cell>
          <cell r="E72" t="str">
            <v>Inches</v>
          </cell>
          <cell r="F72" t="str">
            <v>Leaks @ GPM</v>
          </cell>
          <cell r="G72" t="str">
            <v>Type of Leak</v>
          </cell>
          <cell r="H72" t="str">
            <v>Leak</v>
          </cell>
          <cell r="I72" t="str">
            <v>No Leak</v>
          </cell>
          <cell r="J72" t="str">
            <v>DV Leaks</v>
          </cell>
          <cell r="K72" t="str">
            <v>Gasket Leaks</v>
          </cell>
          <cell r="L72" t="str">
            <v>_Type of Leak</v>
          </cell>
        </row>
        <row r="73">
          <cell r="C73" t="str">
            <v>WL3</v>
          </cell>
          <cell r="D73">
            <v>1</v>
          </cell>
          <cell r="I73">
            <v>1</v>
          </cell>
          <cell r="L73" t="str">
            <v>WL3_</v>
          </cell>
        </row>
        <row r="74">
          <cell r="C74" t="str">
            <v>WL3</v>
          </cell>
          <cell r="D74">
            <v>2</v>
          </cell>
          <cell r="I74">
            <v>1</v>
          </cell>
          <cell r="L74" t="str">
            <v>WL3_</v>
          </cell>
        </row>
        <row r="75">
          <cell r="C75" t="str">
            <v>WL3</v>
          </cell>
          <cell r="D75">
            <v>3</v>
          </cell>
          <cell r="I75">
            <v>1</v>
          </cell>
          <cell r="L75" t="str">
            <v>WL3_</v>
          </cell>
        </row>
        <row r="76">
          <cell r="C76" t="str">
            <v>WL3</v>
          </cell>
          <cell r="D76">
            <v>4</v>
          </cell>
          <cell r="I76">
            <v>1</v>
          </cell>
          <cell r="L76" t="str">
            <v>WL3_</v>
          </cell>
        </row>
        <row r="77">
          <cell r="C77" t="str">
            <v>WL3</v>
          </cell>
          <cell r="D77">
            <v>5</v>
          </cell>
          <cell r="I77">
            <v>1</v>
          </cell>
          <cell r="L77" t="str">
            <v>WL3_</v>
          </cell>
        </row>
        <row r="78">
          <cell r="C78" t="str">
            <v>WL3</v>
          </cell>
          <cell r="D78">
            <v>6</v>
          </cell>
          <cell r="I78">
            <v>1</v>
          </cell>
          <cell r="L78" t="str">
            <v>WL3_</v>
          </cell>
        </row>
        <row r="79">
          <cell r="C79" t="str">
            <v>WL3</v>
          </cell>
          <cell r="D79">
            <v>7</v>
          </cell>
          <cell r="I79">
            <v>1</v>
          </cell>
          <cell r="L79" t="str">
            <v>WL3_</v>
          </cell>
        </row>
        <row r="80">
          <cell r="C80" t="str">
            <v>WL3</v>
          </cell>
          <cell r="D80">
            <v>8</v>
          </cell>
          <cell r="I80">
            <v>1</v>
          </cell>
          <cell r="L80" t="str">
            <v>WL3_</v>
          </cell>
        </row>
        <row r="81">
          <cell r="C81" t="str">
            <v>WL3</v>
          </cell>
          <cell r="D81">
            <v>9</v>
          </cell>
          <cell r="I81">
            <v>1</v>
          </cell>
          <cell r="L81" t="str">
            <v>WL3_</v>
          </cell>
        </row>
        <row r="82">
          <cell r="C82" t="str">
            <v>WL3</v>
          </cell>
          <cell r="D82">
            <v>10</v>
          </cell>
          <cell r="I82">
            <v>1</v>
          </cell>
          <cell r="L82" t="str">
            <v>WL3_</v>
          </cell>
        </row>
        <row r="83">
          <cell r="C83" t="str">
            <v>WL3</v>
          </cell>
          <cell r="D83">
            <v>11</v>
          </cell>
          <cell r="I83">
            <v>1</v>
          </cell>
          <cell r="L83" t="str">
            <v>WL3_</v>
          </cell>
        </row>
        <row r="84">
          <cell r="C84" t="str">
            <v>WL3</v>
          </cell>
          <cell r="D84">
            <v>12</v>
          </cell>
          <cell r="F84">
            <v>0.3</v>
          </cell>
          <cell r="G84" t="str">
            <v>R</v>
          </cell>
          <cell r="I84">
            <v>1</v>
          </cell>
          <cell r="L84" t="str">
            <v>WL3_R</v>
          </cell>
        </row>
        <row r="85">
          <cell r="C85" t="str">
            <v>WL3</v>
          </cell>
          <cell r="D85">
            <v>13</v>
          </cell>
          <cell r="I85">
            <v>1</v>
          </cell>
          <cell r="L85" t="str">
            <v>WL3_</v>
          </cell>
        </row>
        <row r="86">
          <cell r="C86" t="str">
            <v>WL3</v>
          </cell>
          <cell r="D86">
            <v>14</v>
          </cell>
          <cell r="I86">
            <v>1</v>
          </cell>
          <cell r="L86" t="str">
            <v>WL3_</v>
          </cell>
        </row>
        <row r="87">
          <cell r="C87" t="str">
            <v>WL3</v>
          </cell>
          <cell r="D87">
            <v>15</v>
          </cell>
          <cell r="I87">
            <v>1</v>
          </cell>
          <cell r="L87" t="str">
            <v>WL3_</v>
          </cell>
        </row>
        <row r="88">
          <cell r="C88" t="str">
            <v>WL3</v>
          </cell>
          <cell r="D88">
            <v>16</v>
          </cell>
          <cell r="I88">
            <v>1</v>
          </cell>
          <cell r="L88" t="str">
            <v>WL3_</v>
          </cell>
        </row>
        <row r="89">
          <cell r="C89" t="str">
            <v>WL3</v>
          </cell>
          <cell r="D89">
            <v>17</v>
          </cell>
          <cell r="I89">
            <v>1</v>
          </cell>
          <cell r="L89" t="str">
            <v>WL3_</v>
          </cell>
        </row>
        <row r="90">
          <cell r="C90" t="str">
            <v>WL3</v>
          </cell>
          <cell r="D90">
            <v>18</v>
          </cell>
          <cell r="I90">
            <v>1</v>
          </cell>
          <cell r="L90" t="str">
            <v>WL3_</v>
          </cell>
        </row>
        <row r="91">
          <cell r="C91" t="str">
            <v>WL3</v>
          </cell>
          <cell r="D91">
            <v>19</v>
          </cell>
          <cell r="I91">
            <v>1</v>
          </cell>
          <cell r="L91" t="str">
            <v>WL3_</v>
          </cell>
        </row>
        <row r="92">
          <cell r="C92" t="str">
            <v>WL3</v>
          </cell>
          <cell r="D92">
            <v>20</v>
          </cell>
          <cell r="I92">
            <v>1</v>
          </cell>
          <cell r="L92" t="str">
            <v>WL3_</v>
          </cell>
        </row>
        <row r="93">
          <cell r="C93" t="str">
            <v>WL3</v>
          </cell>
          <cell r="D93">
            <v>21</v>
          </cell>
          <cell r="I93">
            <v>1</v>
          </cell>
          <cell r="L93" t="str">
            <v>WL3_</v>
          </cell>
        </row>
        <row r="94">
          <cell r="C94" t="str">
            <v>WL3</v>
          </cell>
          <cell r="D94">
            <v>22</v>
          </cell>
          <cell r="I94">
            <v>1</v>
          </cell>
          <cell r="L94" t="str">
            <v>WL3_</v>
          </cell>
        </row>
        <row r="95">
          <cell r="C95" t="str">
            <v>WL3</v>
          </cell>
          <cell r="D95">
            <v>23</v>
          </cell>
          <cell r="F95">
            <v>0.4</v>
          </cell>
          <cell r="G95" t="str">
            <v>R</v>
          </cell>
          <cell r="I95">
            <v>1</v>
          </cell>
          <cell r="L95" t="str">
            <v>WL3_R</v>
          </cell>
        </row>
        <row r="96">
          <cell r="C96" t="str">
            <v>WL3</v>
          </cell>
          <cell r="D96">
            <v>24</v>
          </cell>
          <cell r="I96">
            <v>1</v>
          </cell>
          <cell r="L96" t="str">
            <v>WL3_</v>
          </cell>
        </row>
        <row r="97">
          <cell r="C97" t="str">
            <v>WL3</v>
          </cell>
          <cell r="D97">
            <v>25</v>
          </cell>
          <cell r="I97">
            <v>1</v>
          </cell>
          <cell r="L97" t="str">
            <v>WL3_</v>
          </cell>
        </row>
        <row r="98">
          <cell r="C98" t="str">
            <v>WL3</v>
          </cell>
          <cell r="D98">
            <v>26</v>
          </cell>
          <cell r="F98">
            <v>0.2</v>
          </cell>
          <cell r="G98" t="str">
            <v>R</v>
          </cell>
          <cell r="I98">
            <v>1</v>
          </cell>
          <cell r="L98" t="str">
            <v>WL3_R</v>
          </cell>
        </row>
        <row r="99">
          <cell r="C99" t="str">
            <v>WL3</v>
          </cell>
          <cell r="D99">
            <v>27</v>
          </cell>
          <cell r="I99">
            <v>1</v>
          </cell>
          <cell r="L99" t="str">
            <v>WL3_</v>
          </cell>
        </row>
        <row r="100">
          <cell r="C100" t="str">
            <v>WL3</v>
          </cell>
          <cell r="D100">
            <v>28</v>
          </cell>
          <cell r="I100">
            <v>1</v>
          </cell>
          <cell r="L100" t="str">
            <v>WL3_</v>
          </cell>
        </row>
        <row r="101">
          <cell r="C101" t="str">
            <v>WL3</v>
          </cell>
          <cell r="D101">
            <v>29</v>
          </cell>
          <cell r="I101">
            <v>1</v>
          </cell>
          <cell r="L101" t="str">
            <v>WL3_</v>
          </cell>
        </row>
        <row r="102">
          <cell r="C102" t="str">
            <v>WL3</v>
          </cell>
          <cell r="D102">
            <v>30</v>
          </cell>
          <cell r="I102">
            <v>1</v>
          </cell>
          <cell r="L102" t="str">
            <v>WL3_</v>
          </cell>
        </row>
        <row r="103">
          <cell r="C103" t="str">
            <v>WL3</v>
          </cell>
          <cell r="D103">
            <v>31</v>
          </cell>
          <cell r="I103">
            <v>1</v>
          </cell>
          <cell r="L103" t="str">
            <v>WL3_</v>
          </cell>
        </row>
        <row r="104">
          <cell r="C104" t="str">
            <v>WL3</v>
          </cell>
          <cell r="D104">
            <v>32</v>
          </cell>
          <cell r="I104">
            <v>1</v>
          </cell>
          <cell r="L104" t="str">
            <v>WL3_</v>
          </cell>
        </row>
        <row r="105">
          <cell r="I105">
            <v>32</v>
          </cell>
          <cell r="L105" t="str">
            <v>_</v>
          </cell>
        </row>
        <row r="106">
          <cell r="C106">
            <v>41073</v>
          </cell>
          <cell r="D106" t="str">
            <v>Field ID/System:</v>
          </cell>
          <cell r="F106" t="str">
            <v>Page 1 of 1</v>
          </cell>
          <cell r="G106" t="str">
            <v>LAT:</v>
          </cell>
          <cell r="L106" t="str">
            <v>41073_LAT:</v>
          </cell>
        </row>
        <row r="107">
          <cell r="G107" t="str">
            <v>42°30'50" N</v>
          </cell>
          <cell r="L107" t="str">
            <v>_42°30'50" N</v>
          </cell>
        </row>
        <row r="108">
          <cell r="D108" t="str">
            <v>Leal Schoessler/beans/55PSI at pump/Gravity fed</v>
          </cell>
          <cell r="L108" t="str">
            <v>_</v>
          </cell>
        </row>
        <row r="109">
          <cell r="D109" t="str">
            <v>Riser/Pipe</v>
          </cell>
          <cell r="E109" t="str">
            <v>Inches</v>
          </cell>
          <cell r="F109" t="str">
            <v>Leaks @ GPM</v>
          </cell>
          <cell r="G109" t="str">
            <v>Type of Leak</v>
          </cell>
          <cell r="H109" t="str">
            <v>Leak</v>
          </cell>
          <cell r="I109" t="str">
            <v>No Leak</v>
          </cell>
          <cell r="J109" t="str">
            <v>DV Leaks</v>
          </cell>
          <cell r="K109" t="str">
            <v>Gasket Leaks</v>
          </cell>
          <cell r="L109" t="str">
            <v>_Type of Leak</v>
          </cell>
        </row>
        <row r="110">
          <cell r="C110" t="str">
            <v>WL4</v>
          </cell>
          <cell r="D110">
            <v>1</v>
          </cell>
          <cell r="F110">
            <v>4.2</v>
          </cell>
          <cell r="G110" t="str">
            <v>G</v>
          </cell>
          <cell r="I110">
            <v>1</v>
          </cell>
          <cell r="K110">
            <v>1</v>
          </cell>
          <cell r="L110" t="str">
            <v>WL4_G</v>
          </cell>
        </row>
        <row r="111">
          <cell r="C111" t="str">
            <v>WL4</v>
          </cell>
          <cell r="D111">
            <v>2</v>
          </cell>
          <cell r="F111">
            <v>5.2</v>
          </cell>
          <cell r="G111" t="str">
            <v>G</v>
          </cell>
          <cell r="I111">
            <v>1</v>
          </cell>
          <cell r="K111">
            <v>1</v>
          </cell>
          <cell r="L111" t="str">
            <v>WL4_G</v>
          </cell>
        </row>
        <row r="112">
          <cell r="C112" t="str">
            <v>WL4</v>
          </cell>
          <cell r="D112">
            <v>3</v>
          </cell>
          <cell r="I112">
            <v>1</v>
          </cell>
          <cell r="L112" t="str">
            <v>WL4_</v>
          </cell>
        </row>
        <row r="113">
          <cell r="C113" t="str">
            <v>WL4</v>
          </cell>
          <cell r="D113">
            <v>4</v>
          </cell>
          <cell r="I113">
            <v>1</v>
          </cell>
          <cell r="L113" t="str">
            <v>WL4_</v>
          </cell>
        </row>
        <row r="114">
          <cell r="C114" t="str">
            <v>WL4</v>
          </cell>
          <cell r="D114">
            <v>5</v>
          </cell>
          <cell r="I114">
            <v>1</v>
          </cell>
          <cell r="L114" t="str">
            <v>WL4_</v>
          </cell>
        </row>
        <row r="115">
          <cell r="C115" t="str">
            <v>WL4</v>
          </cell>
          <cell r="D115">
            <v>6</v>
          </cell>
          <cell r="I115">
            <v>1</v>
          </cell>
          <cell r="L115" t="str">
            <v>WL4_</v>
          </cell>
        </row>
        <row r="116">
          <cell r="C116" t="str">
            <v>WL4</v>
          </cell>
          <cell r="D116">
            <v>7</v>
          </cell>
          <cell r="I116">
            <v>1</v>
          </cell>
          <cell r="L116" t="str">
            <v>WL4_</v>
          </cell>
        </row>
        <row r="117">
          <cell r="C117" t="str">
            <v>WL4</v>
          </cell>
          <cell r="D117">
            <v>8</v>
          </cell>
          <cell r="I117">
            <v>1</v>
          </cell>
          <cell r="L117" t="str">
            <v>WL4_</v>
          </cell>
        </row>
        <row r="118">
          <cell r="C118" t="str">
            <v>WL4</v>
          </cell>
          <cell r="D118">
            <v>9</v>
          </cell>
          <cell r="I118">
            <v>1</v>
          </cell>
          <cell r="L118" t="str">
            <v>WL4_</v>
          </cell>
        </row>
        <row r="119">
          <cell r="C119" t="str">
            <v>WL4</v>
          </cell>
          <cell r="D119">
            <v>10</v>
          </cell>
          <cell r="I119">
            <v>1</v>
          </cell>
          <cell r="L119" t="str">
            <v>WL4_</v>
          </cell>
        </row>
        <row r="120">
          <cell r="C120" t="str">
            <v>WL4</v>
          </cell>
          <cell r="D120">
            <v>11</v>
          </cell>
          <cell r="I120">
            <v>1</v>
          </cell>
          <cell r="L120" t="str">
            <v>WL4_</v>
          </cell>
        </row>
        <row r="121">
          <cell r="C121" t="str">
            <v>WL4</v>
          </cell>
          <cell r="D121">
            <v>12</v>
          </cell>
          <cell r="I121">
            <v>1</v>
          </cell>
          <cell r="L121" t="str">
            <v>WL4_</v>
          </cell>
        </row>
        <row r="122">
          <cell r="C122" t="str">
            <v>WL4</v>
          </cell>
          <cell r="D122">
            <v>13</v>
          </cell>
          <cell r="I122">
            <v>1</v>
          </cell>
          <cell r="L122" t="str">
            <v>WL4_</v>
          </cell>
        </row>
        <row r="123">
          <cell r="C123" t="str">
            <v>WL4</v>
          </cell>
          <cell r="D123">
            <v>14</v>
          </cell>
          <cell r="I123">
            <v>1</v>
          </cell>
          <cell r="L123" t="str">
            <v>WL4_</v>
          </cell>
        </row>
        <row r="124">
          <cell r="C124" t="str">
            <v>WL4</v>
          </cell>
          <cell r="D124">
            <v>15</v>
          </cell>
          <cell r="I124">
            <v>1</v>
          </cell>
          <cell r="L124" t="str">
            <v>WL4_</v>
          </cell>
        </row>
        <row r="125">
          <cell r="C125" t="str">
            <v>WL4</v>
          </cell>
          <cell r="D125">
            <v>16</v>
          </cell>
          <cell r="I125">
            <v>1</v>
          </cell>
          <cell r="L125" t="str">
            <v>WL4_</v>
          </cell>
        </row>
        <row r="126">
          <cell r="C126" t="str">
            <v>WL4</v>
          </cell>
          <cell r="D126">
            <v>17</v>
          </cell>
          <cell r="I126">
            <v>1</v>
          </cell>
          <cell r="L126" t="str">
            <v>WL4_</v>
          </cell>
        </row>
        <row r="127">
          <cell r="C127" t="str">
            <v>WL4</v>
          </cell>
          <cell r="D127">
            <v>18</v>
          </cell>
          <cell r="I127">
            <v>1</v>
          </cell>
          <cell r="L127" t="str">
            <v>WL4_</v>
          </cell>
        </row>
      </sheetData>
      <sheetData sheetId="23">
        <row r="4">
          <cell r="A4" t="str">
            <v>HP2</v>
          </cell>
          <cell r="B4">
            <v>3</v>
          </cell>
          <cell r="C4">
            <v>1</v>
          </cell>
          <cell r="D4" t="str">
            <v>B</v>
          </cell>
          <cell r="G4" t="str">
            <v>DV=</v>
          </cell>
          <cell r="H4" t="str">
            <v>Drain Valve</v>
          </cell>
        </row>
        <row r="5">
          <cell r="C5">
            <v>0.5</v>
          </cell>
          <cell r="D5" t="str">
            <v>B</v>
          </cell>
          <cell r="G5" t="str">
            <v>G=</v>
          </cell>
          <cell r="H5" t="str">
            <v>Gasket</v>
          </cell>
        </row>
        <row r="6">
          <cell r="C6">
            <v>0.25</v>
          </cell>
          <cell r="D6" t="str">
            <v>B</v>
          </cell>
          <cell r="G6" t="str">
            <v>GF=</v>
          </cell>
          <cell r="H6" t="str">
            <v>Gear Flange</v>
          </cell>
        </row>
        <row r="7">
          <cell r="A7" t="str">
            <v>HP3</v>
          </cell>
          <cell r="B7">
            <v>3</v>
          </cell>
          <cell r="C7">
            <v>0.4</v>
          </cell>
          <cell r="D7" t="str">
            <v>B</v>
          </cell>
          <cell r="G7" t="str">
            <v>R=</v>
          </cell>
          <cell r="H7" t="str">
            <v>Rotator/Nelson</v>
          </cell>
        </row>
        <row r="8">
          <cell r="C8">
            <v>0.6</v>
          </cell>
          <cell r="D8" t="str">
            <v>B</v>
          </cell>
          <cell r="G8" t="str">
            <v>B=</v>
          </cell>
          <cell r="H8" t="str">
            <v>Bird Impact Sprinkler</v>
          </cell>
        </row>
        <row r="9">
          <cell r="C9">
            <v>0.7</v>
          </cell>
          <cell r="D9" t="str">
            <v>B</v>
          </cell>
          <cell r="G9" t="str">
            <v>P=</v>
          </cell>
          <cell r="H9" t="str">
            <v>Puncture</v>
          </cell>
        </row>
        <row r="10">
          <cell r="C10">
            <v>1.3</v>
          </cell>
          <cell r="D10" t="str">
            <v>B</v>
          </cell>
          <cell r="G10" t="str">
            <v>W=</v>
          </cell>
          <cell r="H10" t="str">
            <v>Split Weld</v>
          </cell>
        </row>
        <row r="11">
          <cell r="C11">
            <v>0.1</v>
          </cell>
          <cell r="D11" t="str">
            <v>B</v>
          </cell>
          <cell r="G11" t="str">
            <v>S=</v>
          </cell>
          <cell r="H11" t="str">
            <v>Split</v>
          </cell>
        </row>
        <row r="12">
          <cell r="C12">
            <v>0.5</v>
          </cell>
          <cell r="D12" t="str">
            <v>B</v>
          </cell>
          <cell r="G12" t="str">
            <v>RL=</v>
          </cell>
          <cell r="H12" t="str">
            <v>Riser Leak</v>
          </cell>
        </row>
        <row r="13">
          <cell r="A13" t="str">
            <v>HP4</v>
          </cell>
          <cell r="B13">
            <v>8</v>
          </cell>
          <cell r="C13" t="str">
            <v>[none]</v>
          </cell>
          <cell r="G13" t="str">
            <v>H=</v>
          </cell>
          <cell r="H13" t="str">
            <v>Hose</v>
          </cell>
        </row>
        <row r="14">
          <cell r="G14" t="str">
            <v>SP=</v>
          </cell>
          <cell r="H14" t="str">
            <v>Sprinkler positioner</v>
          </cell>
        </row>
        <row r="15">
          <cell r="A15" t="str">
            <v>LP1</v>
          </cell>
          <cell r="B15">
            <v>3</v>
          </cell>
          <cell r="C15" t="str">
            <v>[none]</v>
          </cell>
          <cell r="G15" t="str">
            <v>RE=</v>
          </cell>
          <cell r="H15" t="str">
            <v>Riser Elbow</v>
          </cell>
        </row>
        <row r="16">
          <cell r="A16" t="str">
            <v>LP2</v>
          </cell>
          <cell r="B16">
            <v>8</v>
          </cell>
          <cell r="C16" t="str">
            <v>[none]</v>
          </cell>
        </row>
        <row r="17">
          <cell r="A17" t="str">
            <v>LP3</v>
          </cell>
          <cell r="B17">
            <v>8</v>
          </cell>
          <cell r="C17">
            <v>1.4</v>
          </cell>
          <cell r="D17" t="str">
            <v>Boot</v>
          </cell>
          <cell r="E17" t="str">
            <v>x</v>
          </cell>
        </row>
        <row r="18">
          <cell r="C18">
            <v>0.1</v>
          </cell>
          <cell r="D18" t="str">
            <v>DV</v>
          </cell>
        </row>
        <row r="19">
          <cell r="C19">
            <v>0.45</v>
          </cell>
          <cell r="D19" t="str">
            <v>DV</v>
          </cell>
        </row>
        <row r="20">
          <cell r="C20">
            <v>0.4</v>
          </cell>
          <cell r="D20" t="str">
            <v>Boot</v>
          </cell>
          <cell r="E20" t="str">
            <v>x</v>
          </cell>
        </row>
        <row r="21">
          <cell r="C21">
            <v>7</v>
          </cell>
          <cell r="D21" t="str">
            <v>Missing nozzle</v>
          </cell>
        </row>
        <row r="22">
          <cell r="A22" t="str">
            <v>LP4</v>
          </cell>
          <cell r="B22">
            <v>5</v>
          </cell>
          <cell r="C22">
            <v>1.2</v>
          </cell>
          <cell r="D22" t="str">
            <v>DV</v>
          </cell>
        </row>
        <row r="23">
          <cell r="C23">
            <v>0.3</v>
          </cell>
          <cell r="D23" t="str">
            <v>H</v>
          </cell>
        </row>
        <row r="24">
          <cell r="C24">
            <v>0.25</v>
          </cell>
          <cell r="D24" t="str">
            <v>H</v>
          </cell>
        </row>
        <row r="25">
          <cell r="C25">
            <v>1</v>
          </cell>
          <cell r="D25" t="str">
            <v>H</v>
          </cell>
        </row>
        <row r="26">
          <cell r="C26">
            <v>2.2000000000000002</v>
          </cell>
          <cell r="D26" t="str">
            <v>DV</v>
          </cell>
        </row>
        <row r="27">
          <cell r="A27" t="str">
            <v>LP5</v>
          </cell>
          <cell r="B27">
            <v>6</v>
          </cell>
          <cell r="C27" t="str">
            <v>[none]</v>
          </cell>
        </row>
        <row r="28">
          <cell r="A28" t="str">
            <v xml:space="preserve">LP6 </v>
          </cell>
          <cell r="B28">
            <v>3</v>
          </cell>
          <cell r="C28" t="str">
            <v>[none]</v>
          </cell>
        </row>
        <row r="29">
          <cell r="A29" t="str">
            <v>LP7</v>
          </cell>
          <cell r="B29">
            <v>5</v>
          </cell>
          <cell r="C29">
            <v>0.1</v>
          </cell>
          <cell r="D29" t="str">
            <v>H</v>
          </cell>
        </row>
        <row r="30">
          <cell r="C30">
            <v>0.3</v>
          </cell>
          <cell r="D30" t="str">
            <v>DV</v>
          </cell>
        </row>
        <row r="31">
          <cell r="C31">
            <v>0.2</v>
          </cell>
          <cell r="D31" t="str">
            <v>DV</v>
          </cell>
        </row>
        <row r="32">
          <cell r="A32" t="str">
            <v>LP8</v>
          </cell>
          <cell r="B32">
            <v>3</v>
          </cell>
          <cell r="C32">
            <v>0.3</v>
          </cell>
          <cell r="D32" t="str">
            <v>Flange</v>
          </cell>
        </row>
        <row r="33">
          <cell r="C33">
            <v>0.5</v>
          </cell>
          <cell r="D33" t="str">
            <v>G</v>
          </cell>
        </row>
        <row r="34">
          <cell r="C34">
            <v>0.2</v>
          </cell>
          <cell r="D34" t="str">
            <v>RE</v>
          </cell>
        </row>
        <row r="35">
          <cell r="A35" t="str">
            <v>LP9</v>
          </cell>
          <cell r="B35">
            <v>7</v>
          </cell>
          <cell r="C35" t="str">
            <v>[none]</v>
          </cell>
        </row>
        <row r="36">
          <cell r="A36" t="str">
            <v>LP10</v>
          </cell>
          <cell r="B36">
            <v>7</v>
          </cell>
          <cell r="C36">
            <v>0.2</v>
          </cell>
          <cell r="D36" t="str">
            <v>DV</v>
          </cell>
        </row>
        <row r="37">
          <cell r="C37">
            <v>0.3</v>
          </cell>
          <cell r="D37" t="str">
            <v>DV</v>
          </cell>
        </row>
        <row r="38">
          <cell r="C38">
            <v>0.2</v>
          </cell>
          <cell r="D38" t="str">
            <v>DV</v>
          </cell>
        </row>
        <row r="39">
          <cell r="A39" t="str">
            <v>LP11</v>
          </cell>
          <cell r="B39">
            <v>4</v>
          </cell>
          <cell r="C39" t="str">
            <v>[none]</v>
          </cell>
        </row>
        <row r="40">
          <cell r="A40" t="str">
            <v>LP12</v>
          </cell>
          <cell r="B40">
            <v>5</v>
          </cell>
          <cell r="C40" t="str">
            <v>[none]</v>
          </cell>
        </row>
        <row r="41">
          <cell r="A41" t="str">
            <v>LP13</v>
          </cell>
          <cell r="B41">
            <v>9</v>
          </cell>
          <cell r="C41" t="str">
            <v>[none]</v>
          </cell>
        </row>
        <row r="42">
          <cell r="A42" t="str">
            <v>LP14</v>
          </cell>
          <cell r="B42">
            <v>1</v>
          </cell>
          <cell r="C42" t="str">
            <v>[none]</v>
          </cell>
        </row>
        <row r="43">
          <cell r="A43" t="str">
            <v>LP15</v>
          </cell>
          <cell r="B43">
            <v>6</v>
          </cell>
          <cell r="C43">
            <v>0.2</v>
          </cell>
          <cell r="D43" t="str">
            <v>G</v>
          </cell>
        </row>
        <row r="44">
          <cell r="C44">
            <v>0.5</v>
          </cell>
          <cell r="D44" t="str">
            <v>R</v>
          </cell>
        </row>
        <row r="45">
          <cell r="C45">
            <v>0.2</v>
          </cell>
          <cell r="D45" t="str">
            <v>G</v>
          </cell>
        </row>
        <row r="46">
          <cell r="A46" t="str">
            <v>LP16</v>
          </cell>
          <cell r="B46" t="str">
            <v>?</v>
          </cell>
          <cell r="C46">
            <v>0.1</v>
          </cell>
          <cell r="D46" t="str">
            <v>DV</v>
          </cell>
        </row>
        <row r="47">
          <cell r="C47">
            <v>0.1</v>
          </cell>
          <cell r="D47" t="str">
            <v>DV</v>
          </cell>
        </row>
        <row r="48">
          <cell r="C48">
            <v>0.6</v>
          </cell>
          <cell r="D48" t="str">
            <v>Rubber</v>
          </cell>
        </row>
        <row r="49">
          <cell r="C49">
            <v>6.9</v>
          </cell>
          <cell r="D49" t="str">
            <v>Seal</v>
          </cell>
        </row>
        <row r="50">
          <cell r="C50">
            <v>1.4</v>
          </cell>
          <cell r="D50" t="str">
            <v>Rubber</v>
          </cell>
        </row>
        <row r="51">
          <cell r="C51">
            <v>0.1</v>
          </cell>
          <cell r="D51" t="str">
            <v>Rubber</v>
          </cell>
        </row>
        <row r="52">
          <cell r="C52">
            <v>1.5</v>
          </cell>
          <cell r="D52" t="str">
            <v>Rubber</v>
          </cell>
        </row>
        <row r="53">
          <cell r="A53" t="str">
            <v>LP17</v>
          </cell>
          <cell r="B53">
            <v>8</v>
          </cell>
          <cell r="C53" t="str">
            <v>[none]</v>
          </cell>
        </row>
        <row r="54">
          <cell r="A54" t="str">
            <v>LP18</v>
          </cell>
          <cell r="B54">
            <v>4</v>
          </cell>
          <cell r="C54" t="str">
            <v>[none]</v>
          </cell>
        </row>
        <row r="55">
          <cell r="A55" t="str">
            <v>LP19</v>
          </cell>
          <cell r="B55">
            <v>8</v>
          </cell>
          <cell r="C55" t="str">
            <v>[none]</v>
          </cell>
        </row>
        <row r="56">
          <cell r="A56" t="str">
            <v>LP20</v>
          </cell>
          <cell r="B56">
            <v>7</v>
          </cell>
          <cell r="C56" t="str">
            <v>[none]</v>
          </cell>
        </row>
        <row r="57">
          <cell r="A57" t="str">
            <v>LP21</v>
          </cell>
          <cell r="B57">
            <v>3</v>
          </cell>
          <cell r="C57" t="str">
            <v>[none]</v>
          </cell>
        </row>
        <row r="58">
          <cell r="A58" t="str">
            <v>LP22</v>
          </cell>
          <cell r="B58">
            <v>4</v>
          </cell>
          <cell r="C58" t="str">
            <v>[none]</v>
          </cell>
        </row>
        <row r="59">
          <cell r="A59" t="str">
            <v>LP23</v>
          </cell>
          <cell r="B59">
            <v>3</v>
          </cell>
          <cell r="C59" t="str">
            <v>[none]</v>
          </cell>
        </row>
        <row r="60">
          <cell r="A60" t="str">
            <v>LP24</v>
          </cell>
          <cell r="B60">
            <v>3</v>
          </cell>
          <cell r="C60" t="str">
            <v>[none]</v>
          </cell>
        </row>
        <row r="61">
          <cell r="A61" t="str">
            <v>LP25</v>
          </cell>
          <cell r="B61">
            <v>8</v>
          </cell>
          <cell r="C61" t="str">
            <v>[none]</v>
          </cell>
        </row>
        <row r="64">
          <cell r="A64" t="str">
            <v>Table 9. Summary statistics for center pivot system leaks.</v>
          </cell>
        </row>
        <row r="65">
          <cell r="A65" t="str">
            <v>System
ID#</v>
          </cell>
          <cell r="B65" t="str">
            <v>System age, years</v>
          </cell>
          <cell r="C65" t="str">
            <v>Years since maintenance</v>
          </cell>
          <cell r="D65" t="str">
            <v>Total leaks</v>
          </cell>
          <cell r="E65" t="str">
            <v>Number and type of leaks</v>
          </cell>
          <cell r="F65" t="str">
            <v>Total leaks for type, gpm</v>
          </cell>
          <cell r="G65" t="str">
            <v>Total system leaks, gpm</v>
          </cell>
          <cell r="H65" t="str">
            <v>Excess water applied,
%</v>
          </cell>
          <cell r="I65" t="str">
            <v>Excess annual
energy
use, kWh/ac (assumes
2000h)</v>
          </cell>
          <cell r="K65" t="str">
            <v>Tower boot gasket?</v>
          </cell>
          <cell r="L65" t="str">
            <v>Total leaks (gpm)</v>
          </cell>
          <cell r="M65" t="str">
            <v>Leak per gasket (gpm)</v>
          </cell>
        </row>
        <row r="66">
          <cell r="A66" t="str">
            <v>HP1</v>
          </cell>
          <cell r="B66" t="str">
            <v>20+</v>
          </cell>
          <cell r="C66" t="str">
            <v>20+</v>
          </cell>
          <cell r="D66">
            <v>0</v>
          </cell>
          <cell r="H66">
            <v>0</v>
          </cell>
          <cell r="I66">
            <v>0</v>
          </cell>
          <cell r="P66" t="str">
            <v>Number of tower boot gaskets in sample</v>
          </cell>
          <cell r="Q66">
            <v>144</v>
          </cell>
        </row>
        <row r="67">
          <cell r="A67" t="str">
            <v>HP2</v>
          </cell>
          <cell r="B67" t="str">
            <v>20+</v>
          </cell>
          <cell r="C67" t="str">
            <v>20+</v>
          </cell>
          <cell r="D67">
            <v>3</v>
          </cell>
          <cell r="E67" t="str">
            <v>3 Tower boot</v>
          </cell>
          <cell r="F67">
            <v>1.75</v>
          </cell>
          <cell r="G67">
            <v>1.75</v>
          </cell>
          <cell r="H67">
            <v>1.44</v>
          </cell>
          <cell r="I67">
            <v>11.2</v>
          </cell>
          <cell r="K67">
            <v>3</v>
          </cell>
          <cell r="L67">
            <v>1.75</v>
          </cell>
          <cell r="M67">
            <v>0.58333333333333337</v>
          </cell>
          <cell r="P67" t="str">
            <v>Total boot gasket leaks</v>
          </cell>
          <cell r="Q67">
            <v>8.7999999999999989</v>
          </cell>
        </row>
        <row r="68">
          <cell r="A68" t="str">
            <v>HP3</v>
          </cell>
          <cell r="B68" t="str">
            <v>20+</v>
          </cell>
          <cell r="C68" t="str">
            <v>20+</v>
          </cell>
          <cell r="D68">
            <v>8</v>
          </cell>
          <cell r="E68" t="str">
            <v>8 sprinkler bearing</v>
          </cell>
          <cell r="F68">
            <v>4.0999999999999996</v>
          </cell>
          <cell r="G68">
            <v>4.0999999999999996</v>
          </cell>
          <cell r="H68">
            <v>3.38</v>
          </cell>
          <cell r="I68">
            <v>26.24</v>
          </cell>
          <cell r="P68" t="str">
            <v>Average leakage</v>
          </cell>
          <cell r="Q68">
            <v>6.1111111111111102E-2</v>
          </cell>
        </row>
        <row r="69">
          <cell r="A69" t="str">
            <v>HP4</v>
          </cell>
          <cell r="B69">
            <v>20</v>
          </cell>
          <cell r="C69">
            <v>20</v>
          </cell>
          <cell r="D69">
            <v>0</v>
          </cell>
          <cell r="H69">
            <v>0</v>
          </cell>
          <cell r="P69" t="str">
            <v>Average leakage per leaking gasket</v>
          </cell>
          <cell r="Q69">
            <v>0.67692307692307685</v>
          </cell>
        </row>
        <row r="70">
          <cell r="A70" t="str">
            <v>Avg.</v>
          </cell>
          <cell r="H70">
            <v>2.41</v>
          </cell>
          <cell r="I70">
            <v>18.72</v>
          </cell>
          <cell r="P70" t="str">
            <v>25th Percentile leakage</v>
          </cell>
          <cell r="Q70">
            <v>0</v>
          </cell>
          <cell r="R70" t="str">
            <v>more than a quarter of the pivots did not have leaks</v>
          </cell>
        </row>
        <row r="71">
          <cell r="A71" t="str">
            <v>LP1</v>
          </cell>
          <cell r="B71">
            <v>5</v>
          </cell>
          <cell r="C71">
            <v>5</v>
          </cell>
          <cell r="D71">
            <v>0</v>
          </cell>
          <cell r="H71">
            <v>0</v>
          </cell>
          <cell r="P71" t="str">
            <v>Savings (gpm/tower boot gasket)</v>
          </cell>
          <cell r="Q71">
            <v>6.1111111111111102E-2</v>
          </cell>
        </row>
        <row r="72">
          <cell r="A72" t="str">
            <v>LP2</v>
          </cell>
          <cell r="B72">
            <v>3</v>
          </cell>
          <cell r="C72">
            <v>3</v>
          </cell>
          <cell r="D72">
            <v>0</v>
          </cell>
          <cell r="H72">
            <v>0</v>
          </cell>
        </row>
        <row r="73">
          <cell r="A73" t="str">
            <v>LP3</v>
          </cell>
          <cell r="B73" t="str">
            <v>20+</v>
          </cell>
          <cell r="C73" t="str">
            <v>20+</v>
          </cell>
          <cell r="D73">
            <v>5</v>
          </cell>
          <cell r="E73" t="str">
            <v>2 Tower boot</v>
          </cell>
          <cell r="F73">
            <v>1.8</v>
          </cell>
          <cell r="G73">
            <v>9.35</v>
          </cell>
          <cell r="H73">
            <v>1.53</v>
          </cell>
          <cell r="I73">
            <v>11.87</v>
          </cell>
          <cell r="K73">
            <v>2</v>
          </cell>
          <cell r="L73">
            <v>1.8</v>
          </cell>
          <cell r="M73">
            <v>0.9</v>
          </cell>
        </row>
        <row r="74">
          <cell r="E74" t="str">
            <v>2 Drain valve</v>
          </cell>
          <cell r="F74">
            <v>0.55000000000000004</v>
          </cell>
        </row>
        <row r="75">
          <cell r="E75" t="str">
            <v>1 missing nozzle</v>
          </cell>
          <cell r="F75">
            <v>7</v>
          </cell>
        </row>
        <row r="76">
          <cell r="A76" t="str">
            <v>LP4</v>
          </cell>
          <cell r="B76">
            <v>15</v>
          </cell>
          <cell r="C76" t="str">
            <v>4-6</v>
          </cell>
          <cell r="D76">
            <v>1</v>
          </cell>
          <cell r="E76" t="str">
            <v>Booster pump</v>
          </cell>
          <cell r="F76">
            <v>8.1</v>
          </cell>
          <cell r="G76">
            <v>8.1</v>
          </cell>
          <cell r="H76">
            <v>4.7699999999999996</v>
          </cell>
          <cell r="I76">
            <v>37</v>
          </cell>
        </row>
        <row r="77">
          <cell r="A77" t="str">
            <v>LP5</v>
          </cell>
          <cell r="B77" t="str">
            <v>30-35</v>
          </cell>
          <cell r="C77" t="str">
            <v>4-6</v>
          </cell>
          <cell r="D77">
            <v>5</v>
          </cell>
          <cell r="E77" t="str">
            <v>3 Tower boot</v>
          </cell>
          <cell r="F77">
            <v>1.55</v>
          </cell>
          <cell r="G77">
            <v>4.95</v>
          </cell>
          <cell r="H77">
            <v>2.5499999999999998</v>
          </cell>
          <cell r="I77">
            <v>19.79</v>
          </cell>
          <cell r="K77">
            <v>3</v>
          </cell>
          <cell r="L77">
            <v>1.55</v>
          </cell>
          <cell r="M77">
            <v>0.51666666666666672</v>
          </cell>
        </row>
        <row r="78">
          <cell r="E78" t="str">
            <v>2 Drain valve</v>
          </cell>
          <cell r="F78">
            <v>3.4</v>
          </cell>
        </row>
        <row r="79">
          <cell r="A79" t="str">
            <v>LP6</v>
          </cell>
          <cell r="B79">
            <v>15</v>
          </cell>
          <cell r="C79" t="str">
            <v>4-6</v>
          </cell>
          <cell r="D79">
            <v>0</v>
          </cell>
          <cell r="H79">
            <v>0</v>
          </cell>
          <cell r="I79">
            <v>0</v>
          </cell>
        </row>
        <row r="80">
          <cell r="A80" t="str">
            <v>LP7</v>
          </cell>
          <cell r="B80" t="str">
            <v>16-20</v>
          </cell>
          <cell r="C80" t="str">
            <v>4-6</v>
          </cell>
          <cell r="D80">
            <v>3</v>
          </cell>
          <cell r="E80" t="str">
            <v>2 Drain valve</v>
          </cell>
          <cell r="F80">
            <v>0.5</v>
          </cell>
          <cell r="G80">
            <v>0.6</v>
          </cell>
          <cell r="H80">
            <v>0.22</v>
          </cell>
          <cell r="I80">
            <v>1.73</v>
          </cell>
        </row>
        <row r="81">
          <cell r="E81" t="str">
            <v>1 Tower boot</v>
          </cell>
          <cell r="F81">
            <v>0.1</v>
          </cell>
          <cell r="K81">
            <v>1</v>
          </cell>
          <cell r="L81">
            <v>0.1</v>
          </cell>
          <cell r="M81">
            <v>0.1</v>
          </cell>
        </row>
        <row r="82">
          <cell r="A82" t="str">
            <v>LP8</v>
          </cell>
          <cell r="B82">
            <v>40</v>
          </cell>
          <cell r="C82" t="str">
            <v>4-6</v>
          </cell>
          <cell r="D82">
            <v>3</v>
          </cell>
          <cell r="E82" t="str">
            <v>1 Pivot boot</v>
          </cell>
          <cell r="F82">
            <v>0.5</v>
          </cell>
          <cell r="G82">
            <v>1</v>
          </cell>
          <cell r="H82">
            <v>1.37</v>
          </cell>
          <cell r="I82">
            <v>10.64</v>
          </cell>
        </row>
        <row r="83">
          <cell r="E83" t="str">
            <v>2 pipe leaks</v>
          </cell>
          <cell r="F83">
            <v>0.5</v>
          </cell>
        </row>
        <row r="84">
          <cell r="A84" t="str">
            <v>LP9</v>
          </cell>
          <cell r="B84">
            <v>21</v>
          </cell>
          <cell r="C84" t="str">
            <v>4-6</v>
          </cell>
          <cell r="D84">
            <v>1</v>
          </cell>
          <cell r="E84" t="str">
            <v>1 Drain valve</v>
          </cell>
          <cell r="F84">
            <v>2.4</v>
          </cell>
          <cell r="G84">
            <v>2.4</v>
          </cell>
          <cell r="H84">
            <v>0.51</v>
          </cell>
          <cell r="I84">
            <v>3.92</v>
          </cell>
        </row>
        <row r="85">
          <cell r="A85" t="str">
            <v>LP10</v>
          </cell>
          <cell r="B85">
            <v>20</v>
          </cell>
          <cell r="C85">
            <v>20</v>
          </cell>
          <cell r="D85">
            <v>3</v>
          </cell>
          <cell r="E85" t="str">
            <v>3 Drain valve</v>
          </cell>
          <cell r="F85">
            <v>0.7</v>
          </cell>
          <cell r="G85">
            <v>0.7</v>
          </cell>
          <cell r="H85">
            <v>0.11</v>
          </cell>
          <cell r="I85">
            <v>0.89</v>
          </cell>
        </row>
        <row r="86">
          <cell r="A86" t="str">
            <v>LP11</v>
          </cell>
          <cell r="B86" t="str">
            <v>used</v>
          </cell>
          <cell r="C86">
            <v>0</v>
          </cell>
          <cell r="D86">
            <v>0</v>
          </cell>
          <cell r="H86">
            <v>0</v>
          </cell>
        </row>
        <row r="87">
          <cell r="A87" t="str">
            <v>LP12</v>
          </cell>
          <cell r="B87" t="str">
            <v>used</v>
          </cell>
          <cell r="C87">
            <v>0</v>
          </cell>
          <cell r="D87">
            <v>0</v>
          </cell>
          <cell r="H87">
            <v>0</v>
          </cell>
        </row>
        <row r="88">
          <cell r="A88" t="str">
            <v>LP13</v>
          </cell>
          <cell r="B88">
            <v>0</v>
          </cell>
          <cell r="C88">
            <v>0</v>
          </cell>
          <cell r="D88">
            <v>0</v>
          </cell>
          <cell r="H88">
            <v>0</v>
          </cell>
        </row>
        <row r="89">
          <cell r="A89" t="str">
            <v>LP14</v>
          </cell>
          <cell r="B89">
            <v>13</v>
          </cell>
          <cell r="C89">
            <v>13</v>
          </cell>
          <cell r="D89">
            <v>0</v>
          </cell>
          <cell r="H89">
            <v>0</v>
          </cell>
        </row>
        <row r="90">
          <cell r="A90" t="str">
            <v>LP15</v>
          </cell>
          <cell r="B90">
            <v>13</v>
          </cell>
          <cell r="C90">
            <v>13</v>
          </cell>
          <cell r="D90">
            <v>3</v>
          </cell>
          <cell r="E90" t="str">
            <v>2 pivot riser gasket leaks</v>
          </cell>
          <cell r="F90">
            <v>0.4</v>
          </cell>
          <cell r="G90">
            <v>0.4</v>
          </cell>
          <cell r="H90">
            <v>0.2</v>
          </cell>
          <cell r="I90">
            <v>1.53</v>
          </cell>
        </row>
        <row r="91">
          <cell r="E91" t="str">
            <v>1 gooseneck</v>
          </cell>
          <cell r="F91">
            <v>0.5</v>
          </cell>
          <cell r="G91">
            <v>0.5</v>
          </cell>
        </row>
        <row r="92">
          <cell r="A92" t="str">
            <v>LP16</v>
          </cell>
          <cell r="B92">
            <v>5</v>
          </cell>
          <cell r="C92">
            <v>5</v>
          </cell>
          <cell r="D92">
            <v>7</v>
          </cell>
          <cell r="E92" t="str">
            <v>4 Tower boot</v>
          </cell>
          <cell r="F92">
            <v>3.6</v>
          </cell>
          <cell r="G92">
            <v>10.7</v>
          </cell>
          <cell r="H92">
            <v>1.24</v>
          </cell>
          <cell r="I92">
            <v>9.58</v>
          </cell>
          <cell r="K92">
            <v>4</v>
          </cell>
          <cell r="L92">
            <v>3.6</v>
          </cell>
          <cell r="M92">
            <v>0.9</v>
          </cell>
        </row>
        <row r="93">
          <cell r="E93" t="str">
            <v>2 Drain valve</v>
          </cell>
          <cell r="F93">
            <v>0.2</v>
          </cell>
        </row>
        <row r="94">
          <cell r="E94" t="str">
            <v>1 pipe flange</v>
          </cell>
          <cell r="F94">
            <v>6.9</v>
          </cell>
        </row>
        <row r="95">
          <cell r="A95" t="str">
            <v>LP17</v>
          </cell>
          <cell r="B95">
            <v>13</v>
          </cell>
          <cell r="C95">
            <v>13</v>
          </cell>
          <cell r="D95">
            <v>0</v>
          </cell>
          <cell r="H95">
            <v>0</v>
          </cell>
          <cell r="I95">
            <v>0</v>
          </cell>
        </row>
        <row r="96">
          <cell r="A96" t="str">
            <v>LP18</v>
          </cell>
          <cell r="B96">
            <v>11</v>
          </cell>
          <cell r="C96">
            <v>11</v>
          </cell>
          <cell r="D96">
            <v>1</v>
          </cell>
          <cell r="E96" t="str">
            <v>Hose off fitting</v>
          </cell>
          <cell r="F96">
            <v>1.9</v>
          </cell>
          <cell r="G96">
            <v>1.9</v>
          </cell>
          <cell r="H96">
            <v>1.1200000000000001</v>
          </cell>
          <cell r="I96">
            <v>8.68</v>
          </cell>
        </row>
        <row r="97">
          <cell r="A97" t="str">
            <v>LP19</v>
          </cell>
          <cell r="B97">
            <v>9</v>
          </cell>
          <cell r="C97">
            <v>9</v>
          </cell>
          <cell r="D97">
            <v>0</v>
          </cell>
          <cell r="H97">
            <v>0</v>
          </cell>
        </row>
        <row r="98">
          <cell r="A98" t="str">
            <v>LP20</v>
          </cell>
          <cell r="B98">
            <v>13</v>
          </cell>
          <cell r="C98">
            <v>13</v>
          </cell>
          <cell r="D98">
            <v>0</v>
          </cell>
          <cell r="H98">
            <v>0</v>
          </cell>
        </row>
        <row r="99">
          <cell r="A99" t="str">
            <v>LP21</v>
          </cell>
          <cell r="B99">
            <v>11</v>
          </cell>
          <cell r="C99">
            <v>11</v>
          </cell>
          <cell r="D99">
            <v>0</v>
          </cell>
          <cell r="H99">
            <v>0</v>
          </cell>
        </row>
        <row r="100">
          <cell r="A100" t="str">
            <v>LP22</v>
          </cell>
          <cell r="B100">
            <v>11</v>
          </cell>
          <cell r="C100">
            <v>11</v>
          </cell>
          <cell r="D100">
            <v>0</v>
          </cell>
          <cell r="H100">
            <v>0</v>
          </cell>
        </row>
        <row r="101">
          <cell r="A101" t="str">
            <v>LP23</v>
          </cell>
          <cell r="B101">
            <v>11</v>
          </cell>
          <cell r="C101">
            <v>11</v>
          </cell>
          <cell r="D101">
            <v>0</v>
          </cell>
          <cell r="H101">
            <v>0</v>
          </cell>
        </row>
        <row r="102">
          <cell r="A102" t="str">
            <v>LP24</v>
          </cell>
          <cell r="B102">
            <v>11</v>
          </cell>
          <cell r="C102">
            <v>11</v>
          </cell>
          <cell r="D102">
            <v>0</v>
          </cell>
          <cell r="H102">
            <v>0</v>
          </cell>
        </row>
        <row r="103">
          <cell r="A103" t="str">
            <v>LP25</v>
          </cell>
          <cell r="B103">
            <v>13</v>
          </cell>
          <cell r="C103">
            <v>13</v>
          </cell>
          <cell r="D103">
            <v>0</v>
          </cell>
          <cell r="H103">
            <v>0</v>
          </cell>
        </row>
        <row r="104">
          <cell r="A104" t="str">
            <v>Avg.</v>
          </cell>
          <cell r="H104">
            <v>1.36</v>
          </cell>
          <cell r="I104">
            <v>10.56</v>
          </cell>
        </row>
      </sheetData>
      <sheetData sheetId="24">
        <row r="4">
          <cell r="A4" t="str">
            <v>Wheel line</v>
          </cell>
        </row>
        <row r="5">
          <cell r="B5" t="str">
            <v>Table 11. Summary statistics for standard wheel line worn nozzles.</v>
          </cell>
        </row>
        <row r="6">
          <cell r="B6" t="str">
            <v>System
ID#</v>
          </cell>
          <cell r="C6" t="str">
            <v>Low /high
Flow</v>
          </cell>
          <cell r="D6" t="str">
            <v>Mean excess
flow,
gpm</v>
          </cell>
          <cell r="E6" t="str">
            <v>Std
Dev of excess flow</v>
          </cell>
          <cell r="F6" t="str">
            <v>Total
Excess Flow, gpm</v>
          </cell>
          <cell r="G6" t="str">
            <v>Excess flow, % of
system
flow</v>
          </cell>
          <cell r="H6" t="str">
            <v>Extra kWh/ac served by line due to worn
nozzles
(assumes 2000h)</v>
          </cell>
          <cell r="J6" t="str">
            <v>Number of Heads</v>
          </cell>
          <cell r="K6" t="str">
            <v>Mean Excess Flow (gpm)</v>
          </cell>
          <cell r="L6" t="str">
            <v>Implied rated flow</v>
          </cell>
          <cell r="M6" t="str">
            <v>% Extra Required</v>
          </cell>
          <cell r="N6" t="str">
            <v>Weight</v>
          </cell>
          <cell r="O6" t="str">
            <v>Rank</v>
          </cell>
          <cell r="P6" t="str">
            <v>Weight %</v>
          </cell>
          <cell r="R6" t="str">
            <v>Rank</v>
          </cell>
          <cell r="S6" t="str">
            <v>% Extra Required</v>
          </cell>
          <cell r="T6" t="str">
            <v>Weight %</v>
          </cell>
          <cell r="U6" t="str">
            <v>Cumulative weight</v>
          </cell>
          <cell r="V6" t="str">
            <v>Excess %</v>
          </cell>
        </row>
        <row r="7">
          <cell r="B7" t="str">
            <v>WL1</v>
          </cell>
          <cell r="C7" t="str">
            <v>-0.32/1.02</v>
          </cell>
          <cell r="D7">
            <v>0.41</v>
          </cell>
          <cell r="E7">
            <v>0.36</v>
          </cell>
          <cell r="F7">
            <v>13.45</v>
          </cell>
          <cell r="G7">
            <v>10.32</v>
          </cell>
          <cell r="H7">
            <v>122.97</v>
          </cell>
          <cell r="J7">
            <v>33</v>
          </cell>
          <cell r="K7">
            <v>0.41</v>
          </cell>
          <cell r="L7">
            <v>3.9728682170542635</v>
          </cell>
          <cell r="M7">
            <v>0.1032</v>
          </cell>
          <cell r="N7">
            <v>33</v>
          </cell>
          <cell r="O7">
            <v>8</v>
          </cell>
          <cell r="P7">
            <v>6.7346938775510207E-2</v>
          </cell>
          <cell r="R7">
            <v>1</v>
          </cell>
          <cell r="S7">
            <v>1.04E-2</v>
          </cell>
          <cell r="T7">
            <v>6.5306122448979598E-2</v>
          </cell>
          <cell r="U7">
            <v>6.5306122448979598E-2</v>
          </cell>
          <cell r="V7" t="str">
            <v>Weighted Average</v>
          </cell>
          <cell r="W7">
            <v>0.137215306122449</v>
          </cell>
        </row>
        <row r="8">
          <cell r="B8" t="str">
            <v>WL2</v>
          </cell>
          <cell r="C8" t="str">
            <v>NT</v>
          </cell>
          <cell r="E8" t="str">
            <v>NT</v>
          </cell>
          <cell r="F8" t="str">
            <v>NT</v>
          </cell>
          <cell r="G8" t="str">
            <v>NT</v>
          </cell>
          <cell r="H8" t="str">
            <v>NT</v>
          </cell>
          <cell r="R8">
            <v>2</v>
          </cell>
          <cell r="S8">
            <v>1.37E-2</v>
          </cell>
          <cell r="T8">
            <v>7.5510204081632656E-2</v>
          </cell>
          <cell r="U8">
            <v>0.14081632653061227</v>
          </cell>
          <cell r="V8" t="str">
            <v>25th Percentile</v>
          </cell>
          <cell r="W8">
            <v>5.4800000000000001E-2</v>
          </cell>
        </row>
        <row r="9">
          <cell r="B9" t="str">
            <v>WL3</v>
          </cell>
          <cell r="C9" t="str">
            <v>-0.17/1.19</v>
          </cell>
          <cell r="D9">
            <v>0.24</v>
          </cell>
          <cell r="E9">
            <v>0.19</v>
          </cell>
          <cell r="F9">
            <v>7.6</v>
          </cell>
          <cell r="G9">
            <v>6.25</v>
          </cell>
          <cell r="H9">
            <v>71.66</v>
          </cell>
          <cell r="J9">
            <v>32</v>
          </cell>
          <cell r="K9">
            <v>0.24</v>
          </cell>
          <cell r="L9">
            <v>3.84</v>
          </cell>
          <cell r="M9">
            <v>6.25E-2</v>
          </cell>
          <cell r="N9">
            <v>32</v>
          </cell>
          <cell r="O9">
            <v>4</v>
          </cell>
          <cell r="P9">
            <v>6.5306122448979598E-2</v>
          </cell>
          <cell r="R9">
            <v>3</v>
          </cell>
          <cell r="S9">
            <v>5.4800000000000001E-2</v>
          </cell>
          <cell r="T9">
            <v>5.7142857142857141E-2</v>
          </cell>
          <cell r="U9">
            <v>0.1979591836734694</v>
          </cell>
          <cell r="V9" t="str">
            <v>Average rated flow (gpm)</v>
          </cell>
          <cell r="W9">
            <v>3.9096003471585932</v>
          </cell>
        </row>
        <row r="10">
          <cell r="B10" t="str">
            <v>WL4</v>
          </cell>
          <cell r="C10" t="str">
            <v>-0.75/0.35</v>
          </cell>
          <cell r="D10">
            <v>0.05</v>
          </cell>
          <cell r="E10">
            <v>0.22</v>
          </cell>
          <cell r="F10">
            <v>1.9</v>
          </cell>
          <cell r="G10">
            <v>1.37</v>
          </cell>
          <cell r="H10">
            <v>15.49</v>
          </cell>
          <cell r="J10">
            <v>37</v>
          </cell>
          <cell r="K10">
            <v>0.05</v>
          </cell>
          <cell r="L10">
            <v>3.6496350364963503</v>
          </cell>
          <cell r="M10">
            <v>1.37E-2</v>
          </cell>
          <cell r="N10">
            <v>37</v>
          </cell>
          <cell r="O10">
            <v>2</v>
          </cell>
          <cell r="P10">
            <v>7.5510204081632656E-2</v>
          </cell>
          <cell r="R10">
            <v>4</v>
          </cell>
          <cell r="S10">
            <v>6.25E-2</v>
          </cell>
          <cell r="T10">
            <v>6.5306122448979598E-2</v>
          </cell>
          <cell r="U10">
            <v>0.26326530612244903</v>
          </cell>
        </row>
        <row r="11">
          <cell r="B11" t="str">
            <v>WL5</v>
          </cell>
          <cell r="C11" t="str">
            <v>-0.85/1.15</v>
          </cell>
          <cell r="D11">
            <v>0.32</v>
          </cell>
          <cell r="E11">
            <v>0.55000000000000004</v>
          </cell>
          <cell r="F11">
            <v>8.3000000000000007</v>
          </cell>
          <cell r="G11">
            <v>6.26</v>
          </cell>
          <cell r="H11">
            <v>96.32</v>
          </cell>
          <cell r="J11">
            <v>26</v>
          </cell>
          <cell r="K11">
            <v>0.32</v>
          </cell>
          <cell r="L11">
            <v>5.1118210862619806</v>
          </cell>
          <cell r="M11">
            <v>6.2600000000000003E-2</v>
          </cell>
          <cell r="N11">
            <v>26</v>
          </cell>
          <cell r="O11">
            <v>5</v>
          </cell>
          <cell r="P11">
            <v>5.3061224489795916E-2</v>
          </cell>
          <cell r="R11">
            <v>5</v>
          </cell>
          <cell r="S11">
            <v>6.2600000000000003E-2</v>
          </cell>
          <cell r="T11">
            <v>5.3061224489795916E-2</v>
          </cell>
          <cell r="U11">
            <v>0.31632653061224492</v>
          </cell>
        </row>
        <row r="12">
          <cell r="B12" t="str">
            <v>WL6</v>
          </cell>
          <cell r="C12" t="str">
            <v>-0.36/1.80</v>
          </cell>
          <cell r="D12">
            <v>0.63</v>
          </cell>
          <cell r="E12">
            <v>0.43</v>
          </cell>
          <cell r="F12">
            <v>15.75</v>
          </cell>
          <cell r="G12">
            <v>14.48</v>
          </cell>
          <cell r="H12">
            <v>190.08</v>
          </cell>
          <cell r="J12">
            <v>25</v>
          </cell>
          <cell r="K12">
            <v>0.63</v>
          </cell>
          <cell r="L12">
            <v>4.3508287292817673</v>
          </cell>
          <cell r="M12">
            <v>0.14480000000000001</v>
          </cell>
          <cell r="N12">
            <v>25</v>
          </cell>
          <cell r="O12">
            <v>12</v>
          </cell>
          <cell r="P12">
            <v>5.1020408163265307E-2</v>
          </cell>
          <cell r="R12">
            <v>6</v>
          </cell>
          <cell r="S12">
            <v>7.4700000000000003E-2</v>
          </cell>
          <cell r="T12">
            <v>6.7346938775510207E-2</v>
          </cell>
          <cell r="U12">
            <v>0.38367346938775515</v>
          </cell>
        </row>
        <row r="13">
          <cell r="B13" t="str">
            <v>WL7</v>
          </cell>
          <cell r="C13" t="str">
            <v>0.1/0.5</v>
          </cell>
          <cell r="D13">
            <v>0.26</v>
          </cell>
          <cell r="E13">
            <v>0.14000000000000001</v>
          </cell>
          <cell r="F13">
            <v>6.9</v>
          </cell>
          <cell r="G13">
            <v>5.48</v>
          </cell>
          <cell r="H13">
            <v>74.349999999999994</v>
          </cell>
          <cell r="J13">
            <v>28</v>
          </cell>
          <cell r="K13">
            <v>0.26</v>
          </cell>
          <cell r="L13">
            <v>4.7445255474452557</v>
          </cell>
          <cell r="M13">
            <v>5.4800000000000001E-2</v>
          </cell>
          <cell r="N13">
            <v>28</v>
          </cell>
          <cell r="O13">
            <v>3</v>
          </cell>
          <cell r="P13">
            <v>5.7142857142857141E-2</v>
          </cell>
          <cell r="R13">
            <v>7</v>
          </cell>
          <cell r="S13">
            <v>9.1899999999999996E-2</v>
          </cell>
          <cell r="T13">
            <v>6.9387755102040816E-2</v>
          </cell>
          <cell r="U13">
            <v>0.45306122448979597</v>
          </cell>
        </row>
        <row r="14">
          <cell r="B14" t="str">
            <v>WL8</v>
          </cell>
          <cell r="C14" t="str">
            <v>0/1.75</v>
          </cell>
          <cell r="D14">
            <v>0.3</v>
          </cell>
          <cell r="E14">
            <v>0.36</v>
          </cell>
          <cell r="F14">
            <v>10.02</v>
          </cell>
          <cell r="G14">
            <v>7.47</v>
          </cell>
          <cell r="H14">
            <v>91.61</v>
          </cell>
          <cell r="J14">
            <v>33</v>
          </cell>
          <cell r="K14">
            <v>0.3</v>
          </cell>
          <cell r="L14">
            <v>4.0160642570281118</v>
          </cell>
          <cell r="M14">
            <v>7.4700000000000003E-2</v>
          </cell>
          <cell r="N14">
            <v>33</v>
          </cell>
          <cell r="O14">
            <v>6</v>
          </cell>
          <cell r="P14">
            <v>6.7346938775510207E-2</v>
          </cell>
          <cell r="R14">
            <v>8</v>
          </cell>
          <cell r="S14">
            <v>0.1032</v>
          </cell>
          <cell r="T14">
            <v>6.7346938775510207E-2</v>
          </cell>
          <cell r="U14">
            <v>0.52040816326530615</v>
          </cell>
        </row>
        <row r="15">
          <cell r="B15" t="str">
            <v>WL9</v>
          </cell>
          <cell r="C15" t="str">
            <v>-0.26/5.0</v>
          </cell>
          <cell r="D15">
            <v>1.36</v>
          </cell>
          <cell r="E15">
            <v>0.8</v>
          </cell>
          <cell r="F15">
            <v>43.55</v>
          </cell>
          <cell r="G15">
            <v>47.99</v>
          </cell>
          <cell r="H15">
            <v>410.61</v>
          </cell>
          <cell r="J15">
            <v>32</v>
          </cell>
          <cell r="K15">
            <v>1.36</v>
          </cell>
          <cell r="L15">
            <v>2.8339237341112735</v>
          </cell>
          <cell r="M15">
            <v>0.47989999999999999</v>
          </cell>
          <cell r="N15">
            <v>32</v>
          </cell>
          <cell r="O15">
            <v>15</v>
          </cell>
          <cell r="P15">
            <v>6.5306122448979598E-2</v>
          </cell>
          <cell r="R15">
            <v>9</v>
          </cell>
          <cell r="S15">
            <v>0.11449999999999999</v>
          </cell>
          <cell r="T15">
            <v>6.5306122448979598E-2</v>
          </cell>
          <cell r="U15">
            <v>0.58571428571428574</v>
          </cell>
        </row>
        <row r="16">
          <cell r="B16" t="str">
            <v>WL10</v>
          </cell>
          <cell r="C16" t="str">
            <v>-0.75/3.06</v>
          </cell>
          <cell r="D16">
            <v>0.52</v>
          </cell>
          <cell r="E16">
            <v>0.56000000000000005</v>
          </cell>
          <cell r="F16">
            <v>17.13</v>
          </cell>
          <cell r="G16">
            <v>13.56</v>
          </cell>
          <cell r="H16">
            <v>156.62</v>
          </cell>
          <cell r="J16">
            <v>33</v>
          </cell>
          <cell r="K16">
            <v>0.52</v>
          </cell>
          <cell r="L16">
            <v>3.834808259587021</v>
          </cell>
          <cell r="M16">
            <v>0.1356</v>
          </cell>
          <cell r="N16">
            <v>33</v>
          </cell>
          <cell r="O16">
            <v>11</v>
          </cell>
          <cell r="P16">
            <v>6.7346938775510207E-2</v>
          </cell>
          <cell r="R16">
            <v>10</v>
          </cell>
          <cell r="S16">
            <v>0.12480000000000001</v>
          </cell>
          <cell r="T16">
            <v>9.7959183673469383E-2</v>
          </cell>
          <cell r="U16">
            <v>0.68367346938775508</v>
          </cell>
        </row>
        <row r="17">
          <cell r="B17" t="str">
            <v>WL11</v>
          </cell>
          <cell r="C17" t="str">
            <v>-0.45/0.95</v>
          </cell>
          <cell r="D17">
            <v>0.48</v>
          </cell>
          <cell r="E17">
            <v>0.23</v>
          </cell>
          <cell r="F17">
            <v>15.3</v>
          </cell>
          <cell r="G17">
            <v>11.45</v>
          </cell>
          <cell r="H17">
            <v>144.26</v>
          </cell>
          <cell r="J17">
            <v>32</v>
          </cell>
          <cell r="K17">
            <v>0.48</v>
          </cell>
          <cell r="L17">
            <v>4.1921397379912664</v>
          </cell>
          <cell r="M17">
            <v>0.11449999999999999</v>
          </cell>
          <cell r="N17">
            <v>32</v>
          </cell>
          <cell r="O17">
            <v>9</v>
          </cell>
          <cell r="P17">
            <v>6.5306122448979598E-2</v>
          </cell>
          <cell r="R17">
            <v>11</v>
          </cell>
          <cell r="S17">
            <v>0.1356</v>
          </cell>
          <cell r="T17">
            <v>6.7346938775510207E-2</v>
          </cell>
          <cell r="U17">
            <v>0.75102040816326532</v>
          </cell>
        </row>
        <row r="18">
          <cell r="B18" t="str">
            <v>WL12</v>
          </cell>
          <cell r="C18" t="str">
            <v>-035/2.02</v>
          </cell>
          <cell r="D18">
            <v>0.94</v>
          </cell>
          <cell r="E18">
            <v>0.47</v>
          </cell>
          <cell r="F18">
            <v>30.18</v>
          </cell>
          <cell r="G18">
            <v>25.17</v>
          </cell>
          <cell r="H18">
            <v>284.55</v>
          </cell>
          <cell r="J18">
            <v>32</v>
          </cell>
          <cell r="K18">
            <v>0.94</v>
          </cell>
          <cell r="L18">
            <v>3.7346046881207782</v>
          </cell>
          <cell r="M18">
            <v>0.25170000000000003</v>
          </cell>
          <cell r="N18">
            <v>32</v>
          </cell>
          <cell r="O18">
            <v>13</v>
          </cell>
          <cell r="P18">
            <v>6.5306122448979598E-2</v>
          </cell>
          <cell r="R18">
            <v>12</v>
          </cell>
          <cell r="S18">
            <v>0.14480000000000001</v>
          </cell>
          <cell r="T18">
            <v>5.1020408163265307E-2</v>
          </cell>
          <cell r="U18">
            <v>0.80204081632653068</v>
          </cell>
        </row>
        <row r="19">
          <cell r="B19" t="str">
            <v>WL13</v>
          </cell>
          <cell r="C19" t="str">
            <v>-0.20/1.90</v>
          </cell>
          <cell r="D19">
            <v>0.41</v>
          </cell>
          <cell r="E19">
            <v>0.38</v>
          </cell>
          <cell r="F19">
            <v>19.100000000000001</v>
          </cell>
          <cell r="G19">
            <v>12.48</v>
          </cell>
          <cell r="H19">
            <v>120.06</v>
          </cell>
          <cell r="J19">
            <v>48</v>
          </cell>
          <cell r="K19">
            <v>0.41</v>
          </cell>
          <cell r="L19">
            <v>3.2852564102564097</v>
          </cell>
          <cell r="M19">
            <v>0.12480000000000001</v>
          </cell>
          <cell r="N19">
            <v>48</v>
          </cell>
          <cell r="O19">
            <v>10</v>
          </cell>
          <cell r="P19">
            <v>9.7959183673469383E-2</v>
          </cell>
          <cell r="R19">
            <v>13</v>
          </cell>
          <cell r="S19">
            <v>0.25170000000000003</v>
          </cell>
          <cell r="T19">
            <v>6.5306122448979598E-2</v>
          </cell>
          <cell r="U19">
            <v>0.86734693877551028</v>
          </cell>
        </row>
        <row r="20">
          <cell r="B20" t="str">
            <v>WL14</v>
          </cell>
          <cell r="C20" t="str">
            <v>-1.19/320</v>
          </cell>
          <cell r="D20">
            <v>0.44</v>
          </cell>
          <cell r="E20">
            <v>0.83</v>
          </cell>
          <cell r="F20">
            <v>14.43</v>
          </cell>
          <cell r="G20">
            <v>9.19</v>
          </cell>
          <cell r="H20">
            <v>128.05000000000001</v>
          </cell>
          <cell r="J20">
            <v>34</v>
          </cell>
          <cell r="K20">
            <v>0.44</v>
          </cell>
          <cell r="L20">
            <v>4.787812840043526</v>
          </cell>
          <cell r="M20">
            <v>9.1899999999999996E-2</v>
          </cell>
          <cell r="N20">
            <v>34</v>
          </cell>
          <cell r="O20">
            <v>7</v>
          </cell>
          <cell r="P20">
            <v>6.9387755102040816E-2</v>
          </cell>
          <cell r="R20">
            <v>14</v>
          </cell>
          <cell r="S20">
            <v>0.3357</v>
          </cell>
          <cell r="T20">
            <v>6.7346938775510207E-2</v>
          </cell>
          <cell r="U20">
            <v>0.93469387755102051</v>
          </cell>
        </row>
        <row r="21">
          <cell r="B21" t="str">
            <v>WL15</v>
          </cell>
          <cell r="C21" t="str">
            <v>0.21/4.01</v>
          </cell>
          <cell r="D21">
            <v>1.07</v>
          </cell>
          <cell r="E21">
            <v>0.73</v>
          </cell>
          <cell r="F21">
            <v>33.25</v>
          </cell>
          <cell r="G21">
            <v>33.57</v>
          </cell>
          <cell r="H21">
            <v>304</v>
          </cell>
          <cell r="J21">
            <v>33</v>
          </cell>
          <cell r="K21">
            <v>1.07</v>
          </cell>
          <cell r="L21">
            <v>3.1873696753053324</v>
          </cell>
          <cell r="M21">
            <v>0.3357</v>
          </cell>
          <cell r="N21">
            <v>33</v>
          </cell>
          <cell r="O21">
            <v>14</v>
          </cell>
          <cell r="P21">
            <v>6.7346938775510207E-2</v>
          </cell>
          <cell r="R21">
            <v>15</v>
          </cell>
          <cell r="S21">
            <v>0.47989999999999999</v>
          </cell>
          <cell r="T21">
            <v>6.5306122448979598E-2</v>
          </cell>
          <cell r="U21">
            <v>1</v>
          </cell>
        </row>
        <row r="22">
          <cell r="B22" t="str">
            <v>WL16</v>
          </cell>
          <cell r="C22" t="str">
            <v>-0.42/0.27</v>
          </cell>
          <cell r="D22">
            <v>0.04</v>
          </cell>
          <cell r="E22">
            <v>0.12</v>
          </cell>
          <cell r="F22">
            <v>1.32</v>
          </cell>
          <cell r="G22">
            <v>1.04</v>
          </cell>
          <cell r="H22">
            <v>12.45</v>
          </cell>
          <cell r="J22">
            <v>32</v>
          </cell>
          <cell r="K22">
            <v>0.04</v>
          </cell>
          <cell r="L22">
            <v>3.8461538461538463</v>
          </cell>
          <cell r="M22">
            <v>1.04E-2</v>
          </cell>
          <cell r="N22">
            <v>32</v>
          </cell>
          <cell r="O22">
            <v>1</v>
          </cell>
          <cell r="P22">
            <v>6.5306122448979598E-2</v>
          </cell>
        </row>
        <row r="23">
          <cell r="B23" t="str">
            <v>Average</v>
          </cell>
          <cell r="D23">
            <v>0.49</v>
          </cell>
          <cell r="E23">
            <v>0.44</v>
          </cell>
          <cell r="F23">
            <v>15.82</v>
          </cell>
          <cell r="G23">
            <v>13.6</v>
          </cell>
          <cell r="H23">
            <v>148.21</v>
          </cell>
        </row>
        <row r="25">
          <cell r="A25" t="str">
            <v>Thunderbird wheel line</v>
          </cell>
        </row>
        <row r="26">
          <cell r="B26" t="str">
            <v>Table 12. Summary statistics for Thunderbird® wheel line worn nozzles.</v>
          </cell>
        </row>
        <row r="27">
          <cell r="B27" t="str">
            <v>System
ID#</v>
          </cell>
          <cell r="C27" t="str">
            <v>Low /high
Flow</v>
          </cell>
          <cell r="D27" t="str">
            <v>Mean excess
flow,
gpm</v>
          </cell>
          <cell r="E27" t="str">
            <v>Std. Dev of
excess
flow</v>
          </cell>
          <cell r="F27" t="str">
            <v>Total
Excess Flow, gpm</v>
          </cell>
          <cell r="G27" t="str">
            <v>Excess flow, % of
system
flow</v>
          </cell>
          <cell r="H27" t="str">
            <v>Extra kWh/ac served by line due to worn
nozzles
(assumes 2000h)</v>
          </cell>
          <cell r="J27" t="str">
            <v>Number of Heads</v>
          </cell>
          <cell r="K27" t="str">
            <v>Mean Excess flow (gpm)</v>
          </cell>
          <cell r="L27" t="str">
            <v>Implied rated flow</v>
          </cell>
          <cell r="M27" t="str">
            <v>% Extra Required</v>
          </cell>
          <cell r="N27" t="str">
            <v>Weight</v>
          </cell>
          <cell r="O27" t="str">
            <v>Rank</v>
          </cell>
          <cell r="P27" t="str">
            <v>Weight %</v>
          </cell>
          <cell r="R27" t="str">
            <v>Rank</v>
          </cell>
          <cell r="S27" t="str">
            <v>% Extra Required</v>
          </cell>
          <cell r="T27" t="str">
            <v>Weight %</v>
          </cell>
          <cell r="U27" t="str">
            <v>Cumulative weight</v>
          </cell>
          <cell r="V27" t="str">
            <v>Excess %</v>
          </cell>
        </row>
        <row r="28">
          <cell r="B28" t="str">
            <v>TB1</v>
          </cell>
          <cell r="C28" t="str">
            <v>0.15/1.07</v>
          </cell>
          <cell r="D28">
            <v>0.49</v>
          </cell>
          <cell r="E28">
            <v>0.23</v>
          </cell>
          <cell r="F28">
            <v>15.74</v>
          </cell>
          <cell r="G28">
            <v>10.28</v>
          </cell>
          <cell r="H28">
            <v>148.41</v>
          </cell>
          <cell r="J28">
            <v>32</v>
          </cell>
          <cell r="K28">
            <v>0.49</v>
          </cell>
          <cell r="L28">
            <v>4.7665369649805456</v>
          </cell>
          <cell r="M28">
            <v>0.10279999999999999</v>
          </cell>
          <cell r="N28">
            <v>32</v>
          </cell>
          <cell r="O28">
            <v>8</v>
          </cell>
          <cell r="P28">
            <v>9.2753623188405798E-2</v>
          </cell>
          <cell r="R28">
            <v>1</v>
          </cell>
          <cell r="S28">
            <v>6.2300000000000001E-2</v>
          </cell>
          <cell r="T28">
            <v>8.4057971014492749E-2</v>
          </cell>
          <cell r="U28">
            <v>8.4057971014492749E-2</v>
          </cell>
          <cell r="V28" t="str">
            <v>Weighted Average</v>
          </cell>
          <cell r="W28">
            <v>0.11180144927536231</v>
          </cell>
        </row>
        <row r="29">
          <cell r="B29" t="str">
            <v>TB2</v>
          </cell>
          <cell r="C29" t="str">
            <v>0.11/1.56</v>
          </cell>
          <cell r="D29">
            <v>0.49</v>
          </cell>
          <cell r="E29">
            <v>0.4</v>
          </cell>
          <cell r="F29">
            <v>7.38</v>
          </cell>
          <cell r="G29">
            <v>10.54</v>
          </cell>
          <cell r="H29">
            <v>148.44</v>
          </cell>
          <cell r="J29">
            <v>15</v>
          </cell>
          <cell r="K29">
            <v>0.49</v>
          </cell>
          <cell r="L29">
            <v>4.6489563567362433</v>
          </cell>
          <cell r="M29">
            <v>0.10539999999999999</v>
          </cell>
          <cell r="N29">
            <v>15</v>
          </cell>
          <cell r="O29">
            <v>9</v>
          </cell>
          <cell r="P29">
            <v>4.3478260869565216E-2</v>
          </cell>
          <cell r="R29">
            <v>2</v>
          </cell>
          <cell r="S29">
            <v>6.3200000000000006E-2</v>
          </cell>
          <cell r="T29">
            <v>9.2753623188405798E-2</v>
          </cell>
          <cell r="U29">
            <v>0.17681159420289855</v>
          </cell>
          <cell r="V29" t="str">
            <v>25th Percentile</v>
          </cell>
          <cell r="W29">
            <v>6.3200000000000006E-2</v>
          </cell>
        </row>
        <row r="30">
          <cell r="B30" t="str">
            <v>TB3</v>
          </cell>
          <cell r="C30" t="str">
            <v>0.85/1.65</v>
          </cell>
          <cell r="D30">
            <v>1.44</v>
          </cell>
          <cell r="E30">
            <v>0.12</v>
          </cell>
          <cell r="F30">
            <v>43.09</v>
          </cell>
          <cell r="G30">
            <v>28.88</v>
          </cell>
          <cell r="H30">
            <v>433.36</v>
          </cell>
          <cell r="J30">
            <v>30</v>
          </cell>
          <cell r="K30">
            <v>1.44</v>
          </cell>
          <cell r="L30">
            <v>4.9861495844875341</v>
          </cell>
          <cell r="M30">
            <v>0.2888</v>
          </cell>
          <cell r="N30">
            <v>30</v>
          </cell>
          <cell r="O30">
            <v>12</v>
          </cell>
          <cell r="P30">
            <v>8.6956521739130432E-2</v>
          </cell>
          <cell r="R30">
            <v>3</v>
          </cell>
          <cell r="S30">
            <v>7.5899999999999995E-2</v>
          </cell>
          <cell r="T30">
            <v>8.6956521739130432E-2</v>
          </cell>
          <cell r="U30">
            <v>0.26376811594202898</v>
          </cell>
          <cell r="V30" t="str">
            <v>Average rated flow (gpm)</v>
          </cell>
          <cell r="W30">
            <v>4.6385342488123547</v>
          </cell>
        </row>
        <row r="31">
          <cell r="B31" t="str">
            <v>TB4</v>
          </cell>
          <cell r="C31" t="str">
            <v>0.02/0.51</v>
          </cell>
          <cell r="D31">
            <v>0.28999999999999998</v>
          </cell>
          <cell r="E31">
            <v>0.13800000000000001</v>
          </cell>
          <cell r="F31">
            <v>8.3699999999999992</v>
          </cell>
          <cell r="G31">
            <v>6.23</v>
          </cell>
          <cell r="H31">
            <v>87.08</v>
          </cell>
          <cell r="J31">
            <v>29</v>
          </cell>
          <cell r="K31">
            <v>0.28999999999999998</v>
          </cell>
          <cell r="L31">
            <v>4.6548956661316208</v>
          </cell>
          <cell r="M31">
            <v>6.2300000000000001E-2</v>
          </cell>
          <cell r="N31">
            <v>29</v>
          </cell>
          <cell r="O31">
            <v>1</v>
          </cell>
          <cell r="P31">
            <v>8.4057971014492749E-2</v>
          </cell>
          <cell r="R31">
            <v>4</v>
          </cell>
          <cell r="S31">
            <v>7.7800000000000008E-2</v>
          </cell>
          <cell r="T31">
            <v>8.6956521739130432E-2</v>
          </cell>
          <cell r="U31">
            <v>0.35072463768115941</v>
          </cell>
        </row>
        <row r="32">
          <cell r="B32" t="str">
            <v>TB5</v>
          </cell>
          <cell r="C32" t="str">
            <v>-0.09/0.73</v>
          </cell>
          <cell r="D32">
            <v>0.34</v>
          </cell>
          <cell r="E32">
            <v>1.81</v>
          </cell>
          <cell r="F32">
            <v>10.23</v>
          </cell>
          <cell r="G32">
            <v>7.59</v>
          </cell>
          <cell r="H32">
            <v>102.88</v>
          </cell>
          <cell r="J32">
            <v>30</v>
          </cell>
          <cell r="K32">
            <v>0.34</v>
          </cell>
          <cell r="L32">
            <v>4.4795783926218711</v>
          </cell>
          <cell r="M32">
            <v>7.5899999999999995E-2</v>
          </cell>
          <cell r="N32">
            <v>30</v>
          </cell>
          <cell r="O32">
            <v>3</v>
          </cell>
          <cell r="P32">
            <v>8.6956521739130432E-2</v>
          </cell>
          <cell r="R32">
            <v>5</v>
          </cell>
          <cell r="S32">
            <v>7.8200000000000006E-2</v>
          </cell>
          <cell r="T32">
            <v>8.6956521739130432E-2</v>
          </cell>
          <cell r="U32">
            <v>0.43768115942028984</v>
          </cell>
        </row>
        <row r="33">
          <cell r="B33" t="str">
            <v>TB6</v>
          </cell>
          <cell r="C33" t="str">
            <v>-0.23/1.02</v>
          </cell>
          <cell r="D33">
            <v>0.36</v>
          </cell>
          <cell r="E33">
            <v>0.28999999999999998</v>
          </cell>
          <cell r="F33">
            <v>10.44</v>
          </cell>
          <cell r="G33">
            <v>7.82</v>
          </cell>
          <cell r="H33">
            <v>105</v>
          </cell>
          <cell r="J33">
            <v>30</v>
          </cell>
          <cell r="K33">
            <v>0.36</v>
          </cell>
          <cell r="L33">
            <v>4.6035805626598458</v>
          </cell>
          <cell r="M33">
            <v>7.8200000000000006E-2</v>
          </cell>
          <cell r="N33">
            <v>30</v>
          </cell>
          <cell r="O33">
            <v>5</v>
          </cell>
          <cell r="P33">
            <v>8.6956521739130432E-2</v>
          </cell>
          <cell r="R33">
            <v>6</v>
          </cell>
          <cell r="S33">
            <v>8.5999999999999993E-2</v>
          </cell>
          <cell r="T33">
            <v>6.0869565217391307E-2</v>
          </cell>
          <cell r="U33">
            <v>0.49855072463768113</v>
          </cell>
        </row>
        <row r="34">
          <cell r="B34" t="str">
            <v>TB7</v>
          </cell>
          <cell r="C34" t="str">
            <v>-0.19/2.10</v>
          </cell>
          <cell r="D34">
            <v>0.83</v>
          </cell>
          <cell r="E34">
            <v>0.32</v>
          </cell>
          <cell r="F34">
            <v>25.85</v>
          </cell>
          <cell r="G34">
            <v>15.67</v>
          </cell>
          <cell r="H34">
            <v>243.73</v>
          </cell>
          <cell r="J34">
            <v>32</v>
          </cell>
          <cell r="K34">
            <v>0.83</v>
          </cell>
          <cell r="L34">
            <v>5.296745373324824</v>
          </cell>
          <cell r="M34">
            <v>0.15670000000000001</v>
          </cell>
          <cell r="N34">
            <v>32</v>
          </cell>
          <cell r="O34">
            <v>11</v>
          </cell>
          <cell r="P34">
            <v>9.2753623188405798E-2</v>
          </cell>
          <cell r="R34">
            <v>7</v>
          </cell>
          <cell r="S34">
            <v>9.5399999999999985E-2</v>
          </cell>
          <cell r="T34">
            <v>9.2753623188405798E-2</v>
          </cell>
          <cell r="U34">
            <v>0.59130434782608687</v>
          </cell>
        </row>
        <row r="35">
          <cell r="B35" t="str">
            <v>TB8</v>
          </cell>
          <cell r="C35" t="str">
            <v>-0.32/0.78</v>
          </cell>
          <cell r="D35">
            <v>0.37</v>
          </cell>
          <cell r="E35">
            <v>0.27</v>
          </cell>
          <cell r="F35">
            <v>11</v>
          </cell>
          <cell r="G35">
            <v>7.78</v>
          </cell>
          <cell r="H35">
            <v>110.63</v>
          </cell>
          <cell r="J35">
            <v>30</v>
          </cell>
          <cell r="K35">
            <v>0.37</v>
          </cell>
          <cell r="L35">
            <v>4.7557840616966578</v>
          </cell>
          <cell r="M35">
            <v>7.7800000000000008E-2</v>
          </cell>
          <cell r="N35">
            <v>30</v>
          </cell>
          <cell r="O35">
            <v>4</v>
          </cell>
          <cell r="P35">
            <v>8.6956521739130432E-2</v>
          </cell>
          <cell r="R35">
            <v>8</v>
          </cell>
          <cell r="S35">
            <v>0.10279999999999999</v>
          </cell>
          <cell r="T35">
            <v>9.2753623188405798E-2</v>
          </cell>
          <cell r="U35">
            <v>0.68405797101449273</v>
          </cell>
        </row>
        <row r="36">
          <cell r="B36" t="str">
            <v>TB9</v>
          </cell>
          <cell r="C36" t="str">
            <v>0.25/0.61</v>
          </cell>
          <cell r="D36">
            <v>0.42</v>
          </cell>
          <cell r="E36">
            <v>0.11</v>
          </cell>
          <cell r="F36">
            <v>8.35</v>
          </cell>
          <cell r="G36">
            <v>8.6</v>
          </cell>
          <cell r="H36">
            <v>119.97</v>
          </cell>
          <cell r="J36">
            <v>21</v>
          </cell>
          <cell r="K36">
            <v>0.42</v>
          </cell>
          <cell r="L36">
            <v>4.8837209302325579</v>
          </cell>
          <cell r="M36">
            <v>8.5999999999999993E-2</v>
          </cell>
          <cell r="N36">
            <v>21</v>
          </cell>
          <cell r="O36">
            <v>6</v>
          </cell>
          <cell r="P36">
            <v>6.0869565217391307E-2</v>
          </cell>
          <cell r="R36">
            <v>9</v>
          </cell>
          <cell r="S36">
            <v>0.10539999999999999</v>
          </cell>
          <cell r="T36">
            <v>4.3478260869565216E-2</v>
          </cell>
          <cell r="U36">
            <v>0.72753623188405792</v>
          </cell>
        </row>
        <row r="37">
          <cell r="B37" t="str">
            <v>TB10</v>
          </cell>
          <cell r="C37" t="str">
            <v>0.13/1.95</v>
          </cell>
          <cell r="D37">
            <v>0.37</v>
          </cell>
          <cell r="E37">
            <v>0.37</v>
          </cell>
          <cell r="F37">
            <v>12.15</v>
          </cell>
          <cell r="G37">
            <v>9.5399999999999991</v>
          </cell>
          <cell r="H37">
            <v>114.56</v>
          </cell>
          <cell r="J37">
            <v>32</v>
          </cell>
          <cell r="K37">
            <v>0.37</v>
          </cell>
          <cell r="L37">
            <v>3.8784067085953886</v>
          </cell>
          <cell r="M37">
            <v>9.5399999999999985E-2</v>
          </cell>
          <cell r="N37">
            <v>32</v>
          </cell>
          <cell r="O37">
            <v>7</v>
          </cell>
          <cell r="P37">
            <v>9.2753623188405798E-2</v>
          </cell>
          <cell r="R37">
            <v>10</v>
          </cell>
          <cell r="S37">
            <v>0.1368</v>
          </cell>
          <cell r="T37">
            <v>9.2753623188405798E-2</v>
          </cell>
          <cell r="U37">
            <v>0.82028985507246377</v>
          </cell>
        </row>
        <row r="38">
          <cell r="B38" t="str">
            <v>TB11</v>
          </cell>
          <cell r="C38" t="str">
            <v>-0.38/2.20</v>
          </cell>
          <cell r="D38">
            <v>0.6</v>
          </cell>
          <cell r="E38">
            <v>0.42</v>
          </cell>
          <cell r="F38">
            <v>19.14</v>
          </cell>
          <cell r="G38">
            <v>13.68</v>
          </cell>
          <cell r="H38">
            <v>180.46</v>
          </cell>
          <cell r="J38">
            <v>32</v>
          </cell>
          <cell r="K38">
            <v>0.6</v>
          </cell>
          <cell r="L38">
            <v>4.3859649122807012</v>
          </cell>
          <cell r="M38">
            <v>0.1368</v>
          </cell>
          <cell r="N38">
            <v>32</v>
          </cell>
          <cell r="O38">
            <v>10</v>
          </cell>
          <cell r="P38">
            <v>9.2753623188405798E-2</v>
          </cell>
          <cell r="R38">
            <v>11</v>
          </cell>
          <cell r="S38">
            <v>0.15670000000000001</v>
          </cell>
          <cell r="T38">
            <v>9.2753623188405798E-2</v>
          </cell>
          <cell r="U38">
            <v>0.91304347826086962</v>
          </cell>
        </row>
        <row r="39">
          <cell r="B39" t="str">
            <v>TB12</v>
          </cell>
          <cell r="C39" t="str">
            <v>-0.12/1.18</v>
          </cell>
          <cell r="D39">
            <v>0.28000000000000003</v>
          </cell>
          <cell r="E39">
            <v>0.28000000000000003</v>
          </cell>
          <cell r="F39">
            <v>8.9700000000000006</v>
          </cell>
          <cell r="G39">
            <v>6.32</v>
          </cell>
          <cell r="H39">
            <v>84.57</v>
          </cell>
          <cell r="J39">
            <v>32</v>
          </cell>
          <cell r="K39">
            <v>0.28000000000000003</v>
          </cell>
          <cell r="L39">
            <v>4.4303797468354427</v>
          </cell>
          <cell r="M39">
            <v>6.3200000000000006E-2</v>
          </cell>
          <cell r="N39">
            <v>32</v>
          </cell>
          <cell r="O39">
            <v>2</v>
          </cell>
          <cell r="P39">
            <v>9.2753623188405798E-2</v>
          </cell>
          <cell r="R39">
            <v>12</v>
          </cell>
          <cell r="S39">
            <v>0.2888</v>
          </cell>
          <cell r="T39">
            <v>8.6956521739130432E-2</v>
          </cell>
          <cell r="U39">
            <v>1</v>
          </cell>
        </row>
        <row r="40">
          <cell r="B40" t="str">
            <v>Average</v>
          </cell>
          <cell r="D40">
            <v>0.52</v>
          </cell>
          <cell r="E40">
            <v>0.4</v>
          </cell>
          <cell r="F40">
            <v>15.06</v>
          </cell>
          <cell r="G40">
            <v>11.08</v>
          </cell>
          <cell r="H40">
            <v>156.59</v>
          </cell>
        </row>
        <row r="42">
          <cell r="A42" t="str">
            <v>Hand line</v>
          </cell>
        </row>
        <row r="43">
          <cell r="B43" t="str">
            <v>Table 13. Summary statistics for hand line worn nozzles.</v>
          </cell>
        </row>
        <row r="44">
          <cell r="B44" t="str">
            <v>System
ID#</v>
          </cell>
          <cell r="C44" t="str">
            <v>Low /high
Flow</v>
          </cell>
          <cell r="D44" t="str">
            <v>Mean excess
flow,
gpm</v>
          </cell>
          <cell r="E44" t="str">
            <v>Std. Dev of
excess
flow</v>
          </cell>
          <cell r="F44" t="str">
            <v>Total
Excess Flow, gpm</v>
          </cell>
          <cell r="G44" t="str">
            <v>Excess flow, % of
system
flow</v>
          </cell>
          <cell r="H44" t="str">
            <v>Extra kWh used per acre served by line
(assumes 2000h)
due to worn nozzles</v>
          </cell>
          <cell r="J44" t="str">
            <v>Number of Heads</v>
          </cell>
          <cell r="K44" t="str">
            <v>Mean Excess flow (gpm)</v>
          </cell>
          <cell r="L44" t="str">
            <v>Implied rated flow</v>
          </cell>
          <cell r="M44" t="str">
            <v>% Extra Required</v>
          </cell>
          <cell r="N44" t="str">
            <v>Weight</v>
          </cell>
          <cell r="O44" t="str">
            <v>Rank</v>
          </cell>
          <cell r="P44" t="str">
            <v>Weight %</v>
          </cell>
          <cell r="R44" t="str">
            <v>Rank</v>
          </cell>
          <cell r="S44" t="str">
            <v>% Extra Required</v>
          </cell>
          <cell r="T44" t="str">
            <v>Weight %</v>
          </cell>
          <cell r="U44" t="str">
            <v>Cumulative weight</v>
          </cell>
          <cell r="V44" t="str">
            <v>Excess %</v>
          </cell>
        </row>
        <row r="45">
          <cell r="B45" t="str">
            <v>Line 1</v>
          </cell>
          <cell r="C45" t="str">
            <v>-0.41/2.25</v>
          </cell>
          <cell r="D45">
            <v>0.39</v>
          </cell>
          <cell r="E45">
            <v>0.59</v>
          </cell>
          <cell r="F45">
            <v>14.1</v>
          </cell>
          <cell r="G45">
            <v>12.51</v>
          </cell>
          <cell r="H45">
            <v>128.91</v>
          </cell>
          <cell r="J45">
            <v>33</v>
          </cell>
          <cell r="K45">
            <v>0.39</v>
          </cell>
          <cell r="L45">
            <v>3.1175059952038375</v>
          </cell>
          <cell r="M45">
            <v>0.12509999999999999</v>
          </cell>
          <cell r="N45">
            <v>33</v>
          </cell>
          <cell r="O45">
            <v>3</v>
          </cell>
          <cell r="P45">
            <v>0.54098360655737709</v>
          </cell>
          <cell r="R45">
            <v>1</v>
          </cell>
          <cell r="S45">
            <v>0.1157</v>
          </cell>
          <cell r="T45">
            <v>9.8360655737704916E-2</v>
          </cell>
          <cell r="U45">
            <v>9.8360655737704916E-2</v>
          </cell>
          <cell r="V45" t="str">
            <v>Weighted Average</v>
          </cell>
          <cell r="W45">
            <v>0.13571311475409836</v>
          </cell>
        </row>
        <row r="46">
          <cell r="B46" t="str">
            <v>Line 2</v>
          </cell>
          <cell r="C46" t="str">
            <v>-0.18/0.85</v>
          </cell>
          <cell r="D46">
            <v>0.3</v>
          </cell>
          <cell r="E46">
            <v>0.41</v>
          </cell>
          <cell r="F46">
            <v>2.39</v>
          </cell>
          <cell r="G46">
            <v>11.57</v>
          </cell>
          <cell r="H46">
            <v>120.18</v>
          </cell>
          <cell r="J46">
            <v>6</v>
          </cell>
          <cell r="K46">
            <v>0.3</v>
          </cell>
          <cell r="L46">
            <v>2.5929127052722558</v>
          </cell>
          <cell r="M46">
            <v>0.1157</v>
          </cell>
          <cell r="N46">
            <v>6</v>
          </cell>
          <cell r="O46">
            <v>1</v>
          </cell>
          <cell r="P46">
            <v>9.8360655737704916E-2</v>
          </cell>
          <cell r="R46">
            <v>2</v>
          </cell>
          <cell r="S46">
            <v>0.1182</v>
          </cell>
          <cell r="T46">
            <v>0.26229508196721313</v>
          </cell>
          <cell r="U46">
            <v>0.36065573770491804</v>
          </cell>
          <cell r="V46" t="str">
            <v>25th Percentile</v>
          </cell>
          <cell r="W46">
            <v>0.1157</v>
          </cell>
        </row>
        <row r="47">
          <cell r="B47" t="str">
            <v>Line 3</v>
          </cell>
          <cell r="C47" t="str">
            <v>-0.10/1.81</v>
          </cell>
          <cell r="D47">
            <v>0.81</v>
          </cell>
          <cell r="E47">
            <v>0.66</v>
          </cell>
          <cell r="F47">
            <v>4.84</v>
          </cell>
          <cell r="G47">
            <v>26.08</v>
          </cell>
          <cell r="H47">
            <v>243.38</v>
          </cell>
          <cell r="J47">
            <v>6</v>
          </cell>
          <cell r="K47">
            <v>0.81</v>
          </cell>
          <cell r="L47">
            <v>3.1058282208588963</v>
          </cell>
          <cell r="M47">
            <v>0.26079999999999998</v>
          </cell>
          <cell r="N47">
            <v>6</v>
          </cell>
          <cell r="O47">
            <v>4</v>
          </cell>
          <cell r="P47">
            <v>9.8360655737704916E-2</v>
          </cell>
          <cell r="R47">
            <v>3</v>
          </cell>
          <cell r="S47">
            <v>0.12509999999999999</v>
          </cell>
          <cell r="T47">
            <v>0.54098360655737709</v>
          </cell>
          <cell r="U47">
            <v>0.90163934426229519</v>
          </cell>
          <cell r="V47" t="str">
            <v>Average rated flow (gpm)</v>
          </cell>
          <cell r="W47">
            <v>2.934965874692006</v>
          </cell>
        </row>
        <row r="48">
          <cell r="B48" t="str">
            <v>Line 4</v>
          </cell>
          <cell r="C48" t="str">
            <v>-0.50/2.01</v>
          </cell>
          <cell r="D48">
            <v>0.31</v>
          </cell>
          <cell r="E48">
            <v>0.59</v>
          </cell>
          <cell r="F48">
            <v>5.32</v>
          </cell>
          <cell r="G48">
            <v>11.82</v>
          </cell>
          <cell r="H48">
            <v>100.32</v>
          </cell>
          <cell r="J48">
            <v>16</v>
          </cell>
          <cell r="K48">
            <v>0.31</v>
          </cell>
          <cell r="L48">
            <v>2.6226734348561758</v>
          </cell>
          <cell r="M48">
            <v>0.1182</v>
          </cell>
          <cell r="N48">
            <v>16</v>
          </cell>
          <cell r="O48">
            <v>2</v>
          </cell>
          <cell r="P48">
            <v>0.26229508196721313</v>
          </cell>
          <cell r="R48">
            <v>4</v>
          </cell>
          <cell r="S48">
            <v>0.26079999999999998</v>
          </cell>
          <cell r="T48">
            <v>9.8360655737704916E-2</v>
          </cell>
          <cell r="U48">
            <v>1</v>
          </cell>
        </row>
        <row r="49">
          <cell r="B49" t="str">
            <v>Average</v>
          </cell>
          <cell r="D49">
            <v>0.45</v>
          </cell>
          <cell r="E49">
            <v>0.56000000000000005</v>
          </cell>
          <cell r="F49">
            <v>6.66</v>
          </cell>
          <cell r="G49">
            <v>15.49</v>
          </cell>
          <cell r="H49">
            <v>148.19999999999999</v>
          </cell>
        </row>
        <row r="52">
          <cell r="A52" t="str">
            <v>All wheel lines and hand lines</v>
          </cell>
        </row>
        <row r="54">
          <cell r="I54" t="str">
            <v>System
ID#</v>
          </cell>
          <cell r="J54" t="str">
            <v>Number of Heads</v>
          </cell>
          <cell r="K54" t="str">
            <v>Mean Excess Flow (gpm)</v>
          </cell>
          <cell r="L54" t="str">
            <v>Implied rated flow</v>
          </cell>
          <cell r="M54" t="str">
            <v>% Extra Required</v>
          </cell>
          <cell r="N54" t="str">
            <v>Weight</v>
          </cell>
          <cell r="O54" t="str">
            <v>Rank</v>
          </cell>
          <cell r="R54" t="str">
            <v>Rank</v>
          </cell>
          <cell r="S54" t="str">
            <v>% Extra Required</v>
          </cell>
          <cell r="T54" t="str">
            <v>Weight %</v>
          </cell>
          <cell r="U54" t="str">
            <v>Cumulative weight</v>
          </cell>
          <cell r="V54" t="str">
            <v>Excess %</v>
          </cell>
          <cell r="X54" t="str">
            <v>System Type</v>
          </cell>
          <cell r="Y54" t="str">
            <v>System
ID#</v>
          </cell>
          <cell r="Z54" t="str">
            <v>Number of Heads</v>
          </cell>
          <cell r="AA54" t="str">
            <v>Rated flow (gpm)</v>
          </cell>
          <cell r="AB54" t="str">
            <v>Mean Excess Flow (gpm)</v>
          </cell>
          <cell r="AC54" t="str">
            <v>Mean Excess Flow (%)</v>
          </cell>
        </row>
        <row r="55">
          <cell r="I55" t="str">
            <v>WL1</v>
          </cell>
          <cell r="J55">
            <v>33</v>
          </cell>
          <cell r="K55">
            <v>0.41</v>
          </cell>
          <cell r="L55">
            <v>3.9728682170542635</v>
          </cell>
          <cell r="M55">
            <v>0.1032</v>
          </cell>
          <cell r="N55">
            <v>3.6830357142857144E-2</v>
          </cell>
          <cell r="O55">
            <v>16</v>
          </cell>
          <cell r="R55">
            <v>1</v>
          </cell>
          <cell r="S55">
            <v>1.04E-2</v>
          </cell>
          <cell r="T55">
            <v>3.5714285714285712E-2</v>
          </cell>
          <cell r="U55">
            <v>3.5714285714285712E-2</v>
          </cell>
          <cell r="V55" t="str">
            <v>Weighted Average</v>
          </cell>
          <cell r="W55">
            <v>0.12732756696428571</v>
          </cell>
          <cell r="X55" t="str">
            <v>Wheel line</v>
          </cell>
          <cell r="Y55" t="str">
            <v>WL1</v>
          </cell>
          <cell r="Z55">
            <v>33</v>
          </cell>
          <cell r="AA55">
            <v>3.9728682170542635</v>
          </cell>
          <cell r="AB55">
            <v>0.41</v>
          </cell>
          <cell r="AC55">
            <v>0.1032</v>
          </cell>
        </row>
        <row r="56">
          <cell r="I56" t="str">
            <v>WL3</v>
          </cell>
          <cell r="J56">
            <v>32</v>
          </cell>
          <cell r="K56">
            <v>0.24</v>
          </cell>
          <cell r="L56">
            <v>3.84</v>
          </cell>
          <cell r="M56">
            <v>6.25E-2</v>
          </cell>
          <cell r="N56">
            <v>3.5714285714285712E-2</v>
          </cell>
          <cell r="O56">
            <v>5</v>
          </cell>
          <cell r="R56">
            <v>2</v>
          </cell>
          <cell r="S56">
            <v>1.37E-2</v>
          </cell>
          <cell r="T56">
            <v>4.1294642857142856E-2</v>
          </cell>
          <cell r="U56">
            <v>7.7008928571428575E-2</v>
          </cell>
          <cell r="V56" t="str">
            <v>25th Percentile</v>
          </cell>
          <cell r="W56">
            <v>6.3200000000000006E-2</v>
          </cell>
          <cell r="Y56" t="str">
            <v>WL3</v>
          </cell>
          <cell r="Z56">
            <v>32</v>
          </cell>
          <cell r="AA56">
            <v>3.84</v>
          </cell>
          <cell r="AB56">
            <v>0.24</v>
          </cell>
          <cell r="AC56">
            <v>6.25E-2</v>
          </cell>
        </row>
        <row r="57">
          <cell r="I57" t="str">
            <v>WL4</v>
          </cell>
          <cell r="J57">
            <v>37</v>
          </cell>
          <cell r="K57">
            <v>0.05</v>
          </cell>
          <cell r="L57">
            <v>3.6496350364963503</v>
          </cell>
          <cell r="M57">
            <v>1.37E-2</v>
          </cell>
          <cell r="N57">
            <v>4.1294642857142856E-2</v>
          </cell>
          <cell r="O57">
            <v>2</v>
          </cell>
          <cell r="R57">
            <v>3</v>
          </cell>
          <cell r="S57">
            <v>5.4800000000000001E-2</v>
          </cell>
          <cell r="T57">
            <v>3.125E-2</v>
          </cell>
          <cell r="U57">
            <v>0.10825892857142858</v>
          </cell>
          <cell r="V57" t="str">
            <v>Average rated flow (gpm)</v>
          </cell>
          <cell r="W57">
            <v>4.1239189780180645</v>
          </cell>
          <cell r="Y57" t="str">
            <v>WL4</v>
          </cell>
          <cell r="Z57">
            <v>37</v>
          </cell>
          <cell r="AA57">
            <v>3.6496350364963503</v>
          </cell>
          <cell r="AB57">
            <v>0.05</v>
          </cell>
          <cell r="AC57">
            <v>1.37E-2</v>
          </cell>
        </row>
        <row r="58">
          <cell r="I58" t="str">
            <v>WL5</v>
          </cell>
          <cell r="J58">
            <v>26</v>
          </cell>
          <cell r="K58">
            <v>0.32</v>
          </cell>
          <cell r="L58">
            <v>5.1118210862619806</v>
          </cell>
          <cell r="M58">
            <v>6.2600000000000003E-2</v>
          </cell>
          <cell r="N58">
            <v>2.9017857142857144E-2</v>
          </cell>
          <cell r="O58">
            <v>6</v>
          </cell>
          <cell r="R58">
            <v>4</v>
          </cell>
          <cell r="S58">
            <v>6.2300000000000001E-2</v>
          </cell>
          <cell r="T58">
            <v>3.2366071428571432E-2</v>
          </cell>
          <cell r="U58">
            <v>0.140625</v>
          </cell>
          <cell r="Y58" t="str">
            <v>WL5</v>
          </cell>
          <cell r="Z58">
            <v>26</v>
          </cell>
          <cell r="AA58">
            <v>5.1118210862619806</v>
          </cell>
          <cell r="AB58">
            <v>0.32</v>
          </cell>
          <cell r="AC58">
            <v>6.2600000000000003E-2</v>
          </cell>
        </row>
        <row r="59">
          <cell r="I59" t="str">
            <v>WL6</v>
          </cell>
          <cell r="J59">
            <v>25</v>
          </cell>
          <cell r="K59">
            <v>0.63</v>
          </cell>
          <cell r="L59">
            <v>4.3508287292817673</v>
          </cell>
          <cell r="M59">
            <v>0.14480000000000001</v>
          </cell>
          <cell r="N59">
            <v>2.7901785714285716E-2</v>
          </cell>
          <cell r="O59">
            <v>25</v>
          </cell>
          <cell r="R59">
            <v>5</v>
          </cell>
          <cell r="S59">
            <v>6.25E-2</v>
          </cell>
          <cell r="T59">
            <v>3.5714285714285712E-2</v>
          </cell>
          <cell r="U59">
            <v>0.1763392857142857</v>
          </cell>
          <cell r="Y59" t="str">
            <v>WL6</v>
          </cell>
          <cell r="Z59">
            <v>25</v>
          </cell>
          <cell r="AA59">
            <v>4.3508287292817673</v>
          </cell>
          <cell r="AB59">
            <v>0.63</v>
          </cell>
          <cell r="AC59">
            <v>0.14480000000000001</v>
          </cell>
        </row>
        <row r="60">
          <cell r="I60" t="str">
            <v>WL7</v>
          </cell>
          <cell r="J60">
            <v>28</v>
          </cell>
          <cell r="K60">
            <v>0.26</v>
          </cell>
          <cell r="L60">
            <v>4.7445255474452557</v>
          </cell>
          <cell r="M60">
            <v>5.4800000000000001E-2</v>
          </cell>
          <cell r="N60">
            <v>3.125E-2</v>
          </cell>
          <cell r="O60">
            <v>3</v>
          </cell>
          <cell r="R60">
            <v>6</v>
          </cell>
          <cell r="S60">
            <v>6.2600000000000003E-2</v>
          </cell>
          <cell r="T60">
            <v>2.9017857142857144E-2</v>
          </cell>
          <cell r="U60">
            <v>0.20535714285714285</v>
          </cell>
          <cell r="Y60" t="str">
            <v>WL7</v>
          </cell>
          <cell r="Z60">
            <v>28</v>
          </cell>
          <cell r="AA60">
            <v>4.7445255474452557</v>
          </cell>
          <cell r="AB60">
            <v>0.26</v>
          </cell>
          <cell r="AC60">
            <v>5.4800000000000001E-2</v>
          </cell>
        </row>
        <row r="61">
          <cell r="I61" t="str">
            <v>WL8</v>
          </cell>
          <cell r="J61">
            <v>33</v>
          </cell>
          <cell r="K61">
            <v>0.3</v>
          </cell>
          <cell r="L61">
            <v>4.0160642570281118</v>
          </cell>
          <cell r="M61">
            <v>7.4700000000000003E-2</v>
          </cell>
          <cell r="N61">
            <v>3.6830357142857144E-2</v>
          </cell>
          <cell r="O61">
            <v>8</v>
          </cell>
          <cell r="R61">
            <v>7</v>
          </cell>
          <cell r="S61">
            <v>6.3200000000000006E-2</v>
          </cell>
          <cell r="T61">
            <v>3.5714285714285712E-2</v>
          </cell>
          <cell r="U61">
            <v>0.24107142857142855</v>
          </cell>
          <cell r="Y61" t="str">
            <v>WL8</v>
          </cell>
          <cell r="Z61">
            <v>33</v>
          </cell>
          <cell r="AA61">
            <v>4.0160642570281118</v>
          </cell>
          <cell r="AB61">
            <v>0.3</v>
          </cell>
          <cell r="AC61">
            <v>7.4700000000000003E-2</v>
          </cell>
        </row>
        <row r="62">
          <cell r="I62" t="str">
            <v>WL9</v>
          </cell>
          <cell r="J62">
            <v>32</v>
          </cell>
          <cell r="K62">
            <v>1.36</v>
          </cell>
          <cell r="L62">
            <v>2.8339237341112735</v>
          </cell>
          <cell r="M62">
            <v>0.47989999999999999</v>
          </cell>
          <cell r="N62">
            <v>3.5714285714285712E-2</v>
          </cell>
          <cell r="O62">
            <v>31</v>
          </cell>
          <cell r="R62">
            <v>8</v>
          </cell>
          <cell r="S62">
            <v>7.4700000000000003E-2</v>
          </cell>
          <cell r="T62">
            <v>3.6830357142857144E-2</v>
          </cell>
          <cell r="U62">
            <v>0.2779017857142857</v>
          </cell>
          <cell r="Y62" t="str">
            <v>WL9</v>
          </cell>
          <cell r="Z62">
            <v>32</v>
          </cell>
          <cell r="AA62">
            <v>2.8339237341112735</v>
          </cell>
          <cell r="AB62">
            <v>1.36</v>
          </cell>
          <cell r="AC62">
            <v>0.47989999999999999</v>
          </cell>
        </row>
        <row r="63">
          <cell r="I63" t="str">
            <v>WL10</v>
          </cell>
          <cell r="J63">
            <v>33</v>
          </cell>
          <cell r="K63">
            <v>0.52</v>
          </cell>
          <cell r="L63">
            <v>3.834808259587021</v>
          </cell>
          <cell r="M63">
            <v>0.1356</v>
          </cell>
          <cell r="N63">
            <v>3.6830357142857144E-2</v>
          </cell>
          <cell r="O63">
            <v>23</v>
          </cell>
          <cell r="R63">
            <v>9</v>
          </cell>
          <cell r="S63">
            <v>7.5899999999999995E-2</v>
          </cell>
          <cell r="T63">
            <v>3.3482142857142856E-2</v>
          </cell>
          <cell r="U63">
            <v>0.31138392857142855</v>
          </cell>
          <cell r="Y63" t="str">
            <v>WL10</v>
          </cell>
          <cell r="Z63">
            <v>33</v>
          </cell>
          <cell r="AA63">
            <v>3.834808259587021</v>
          </cell>
          <cell r="AB63">
            <v>0.52</v>
          </cell>
          <cell r="AC63">
            <v>0.1356</v>
          </cell>
        </row>
        <row r="64">
          <cell r="I64" t="str">
            <v>WL11</v>
          </cell>
          <cell r="J64">
            <v>32</v>
          </cell>
          <cell r="K64">
            <v>0.48</v>
          </cell>
          <cell r="L64">
            <v>4.1921397379912664</v>
          </cell>
          <cell r="M64">
            <v>0.11449999999999999</v>
          </cell>
          <cell r="N64">
            <v>3.5714285714285712E-2</v>
          </cell>
          <cell r="O64">
            <v>18</v>
          </cell>
          <cell r="R64">
            <v>10</v>
          </cell>
          <cell r="S64">
            <v>7.7800000000000008E-2</v>
          </cell>
          <cell r="T64">
            <v>3.3482142857142856E-2</v>
          </cell>
          <cell r="U64">
            <v>0.3448660714285714</v>
          </cell>
          <cell r="Y64" t="str">
            <v>WL11</v>
          </cell>
          <cell r="Z64">
            <v>32</v>
          </cell>
          <cell r="AA64">
            <v>4.1921397379912664</v>
          </cell>
          <cell r="AB64">
            <v>0.48</v>
          </cell>
          <cell r="AC64">
            <v>0.11449999999999999</v>
          </cell>
        </row>
        <row r="65">
          <cell r="I65" t="str">
            <v>WL12</v>
          </cell>
          <cell r="J65">
            <v>32</v>
          </cell>
          <cell r="K65">
            <v>0.94</v>
          </cell>
          <cell r="L65">
            <v>3.7346046881207782</v>
          </cell>
          <cell r="M65">
            <v>0.25170000000000003</v>
          </cell>
          <cell r="N65">
            <v>3.5714285714285712E-2</v>
          </cell>
          <cell r="O65">
            <v>27</v>
          </cell>
          <cell r="R65">
            <v>11</v>
          </cell>
          <cell r="S65">
            <v>7.8200000000000006E-2</v>
          </cell>
          <cell r="T65">
            <v>3.3482142857142856E-2</v>
          </cell>
          <cell r="U65">
            <v>0.37834821428571425</v>
          </cell>
          <cell r="Y65" t="str">
            <v>WL12</v>
          </cell>
          <cell r="Z65">
            <v>32</v>
          </cell>
          <cell r="AA65">
            <v>3.7346046881207782</v>
          </cell>
          <cell r="AB65">
            <v>0.94</v>
          </cell>
          <cell r="AC65">
            <v>0.25170000000000003</v>
          </cell>
        </row>
        <row r="66">
          <cell r="I66" t="str">
            <v>WL13</v>
          </cell>
          <cell r="J66">
            <v>48</v>
          </cell>
          <cell r="K66">
            <v>0.41</v>
          </cell>
          <cell r="L66">
            <v>3.2852564102564097</v>
          </cell>
          <cell r="M66">
            <v>0.12480000000000001</v>
          </cell>
          <cell r="N66">
            <v>5.3571428571428568E-2</v>
          </cell>
          <cell r="O66">
            <v>21</v>
          </cell>
          <cell r="R66">
            <v>12</v>
          </cell>
          <cell r="S66">
            <v>8.5999999999999993E-2</v>
          </cell>
          <cell r="T66">
            <v>2.34375E-2</v>
          </cell>
          <cell r="U66">
            <v>0.40178571428571425</v>
          </cell>
          <cell r="Y66" t="str">
            <v>WL13</v>
          </cell>
          <cell r="Z66">
            <v>48</v>
          </cell>
          <cell r="AA66">
            <v>3.2852564102564097</v>
          </cell>
          <cell r="AB66">
            <v>0.41</v>
          </cell>
          <cell r="AC66">
            <v>0.12480000000000001</v>
          </cell>
        </row>
        <row r="67">
          <cell r="I67" t="str">
            <v>WL14</v>
          </cell>
          <cell r="J67">
            <v>34</v>
          </cell>
          <cell r="K67">
            <v>0.44</v>
          </cell>
          <cell r="L67">
            <v>4.787812840043526</v>
          </cell>
          <cell r="M67">
            <v>9.1899999999999996E-2</v>
          </cell>
          <cell r="N67">
            <v>3.7946428571428568E-2</v>
          </cell>
          <cell r="O67">
            <v>13</v>
          </cell>
          <cell r="R67">
            <v>13</v>
          </cell>
          <cell r="S67">
            <v>9.1899999999999996E-2</v>
          </cell>
          <cell r="T67">
            <v>3.7946428571428568E-2</v>
          </cell>
          <cell r="U67">
            <v>0.43973214285714279</v>
          </cell>
          <cell r="Y67" t="str">
            <v>WL14</v>
          </cell>
          <cell r="Z67">
            <v>34</v>
          </cell>
          <cell r="AA67">
            <v>4.787812840043526</v>
          </cell>
          <cell r="AB67">
            <v>0.44</v>
          </cell>
          <cell r="AC67">
            <v>9.1899999999999996E-2</v>
          </cell>
        </row>
        <row r="68">
          <cell r="I68" t="str">
            <v>WL15</v>
          </cell>
          <cell r="J68">
            <v>33</v>
          </cell>
          <cell r="K68">
            <v>1.07</v>
          </cell>
          <cell r="L68">
            <v>3.1873696753053324</v>
          </cell>
          <cell r="M68">
            <v>0.3357</v>
          </cell>
          <cell r="N68">
            <v>3.6830357142857144E-2</v>
          </cell>
          <cell r="O68">
            <v>30</v>
          </cell>
          <cell r="R68">
            <v>14</v>
          </cell>
          <cell r="S68">
            <v>9.5399999999999985E-2</v>
          </cell>
          <cell r="T68">
            <v>3.5714285714285712E-2</v>
          </cell>
          <cell r="U68">
            <v>0.47544642857142849</v>
          </cell>
          <cell r="Y68" t="str">
            <v>WL15</v>
          </cell>
          <cell r="Z68">
            <v>33</v>
          </cell>
          <cell r="AA68">
            <v>3.1873696753053324</v>
          </cell>
          <cell r="AB68">
            <v>1.07</v>
          </cell>
          <cell r="AC68">
            <v>0.3357</v>
          </cell>
        </row>
        <row r="69">
          <cell r="I69" t="str">
            <v>WL16</v>
          </cell>
          <cell r="J69">
            <v>32</v>
          </cell>
          <cell r="K69">
            <v>0.04</v>
          </cell>
          <cell r="L69">
            <v>3.8461538461538463</v>
          </cell>
          <cell r="M69">
            <v>1.04E-2</v>
          </cell>
          <cell r="N69">
            <v>3.5714285714285712E-2</v>
          </cell>
          <cell r="O69">
            <v>1</v>
          </cell>
          <cell r="R69">
            <v>15</v>
          </cell>
          <cell r="S69">
            <v>0.10279999999999999</v>
          </cell>
          <cell r="T69">
            <v>3.5714285714285712E-2</v>
          </cell>
          <cell r="U69">
            <v>0.51116071428571419</v>
          </cell>
          <cell r="Y69" t="str">
            <v>WL16</v>
          </cell>
          <cell r="Z69">
            <v>32</v>
          </cell>
          <cell r="AA69">
            <v>3.8461538461538463</v>
          </cell>
          <cell r="AB69">
            <v>0.04</v>
          </cell>
          <cell r="AC69">
            <v>1.04E-2</v>
          </cell>
        </row>
        <row r="70">
          <cell r="I70" t="str">
            <v>TB1</v>
          </cell>
          <cell r="J70">
            <v>32</v>
          </cell>
          <cell r="K70">
            <v>0.49</v>
          </cell>
          <cell r="L70">
            <v>4.7665369649805456</v>
          </cell>
          <cell r="M70">
            <v>0.10279999999999999</v>
          </cell>
          <cell r="N70">
            <v>3.5714285714285712E-2</v>
          </cell>
          <cell r="O70">
            <v>15</v>
          </cell>
          <cell r="R70">
            <v>16</v>
          </cell>
          <cell r="S70">
            <v>0.1032</v>
          </cell>
          <cell r="T70">
            <v>3.6830357142857144E-2</v>
          </cell>
          <cell r="U70">
            <v>0.54799107142857129</v>
          </cell>
          <cell r="X70" t="str">
            <v>Thunderbird</v>
          </cell>
          <cell r="Y70" t="str">
            <v>TB1</v>
          </cell>
          <cell r="Z70">
            <v>32</v>
          </cell>
          <cell r="AA70">
            <v>4.7665369649805456</v>
          </cell>
          <cell r="AB70">
            <v>0.49</v>
          </cell>
          <cell r="AC70">
            <v>0.10279999999999999</v>
          </cell>
        </row>
        <row r="71">
          <cell r="I71" t="str">
            <v>TB2</v>
          </cell>
          <cell r="J71">
            <v>15</v>
          </cell>
          <cell r="K71">
            <v>0.49</v>
          </cell>
          <cell r="L71">
            <v>4.6489563567362433</v>
          </cell>
          <cell r="M71">
            <v>0.10539999999999999</v>
          </cell>
          <cell r="N71">
            <v>1.6741071428571428E-2</v>
          </cell>
          <cell r="O71">
            <v>17</v>
          </cell>
          <cell r="R71">
            <v>17</v>
          </cell>
          <cell r="S71">
            <v>0.10539999999999999</v>
          </cell>
          <cell r="T71">
            <v>1.6741071428571428E-2</v>
          </cell>
          <cell r="U71">
            <v>0.56473214285714268</v>
          </cell>
          <cell r="Y71" t="str">
            <v>TB2</v>
          </cell>
          <cell r="Z71">
            <v>15</v>
          </cell>
          <cell r="AA71">
            <v>4.6489563567362433</v>
          </cell>
          <cell r="AB71">
            <v>0.49</v>
          </cell>
          <cell r="AC71">
            <v>0.10539999999999999</v>
          </cell>
        </row>
        <row r="72">
          <cell r="I72" t="str">
            <v>TB3</v>
          </cell>
          <cell r="J72">
            <v>30</v>
          </cell>
          <cell r="K72">
            <v>1.44</v>
          </cell>
          <cell r="L72">
            <v>4.9861495844875341</v>
          </cell>
          <cell r="M72">
            <v>0.2888</v>
          </cell>
          <cell r="N72">
            <v>3.3482142857142856E-2</v>
          </cell>
          <cell r="O72">
            <v>29</v>
          </cell>
          <cell r="R72">
            <v>18</v>
          </cell>
          <cell r="S72">
            <v>0.11449999999999999</v>
          </cell>
          <cell r="T72">
            <v>3.5714285714285712E-2</v>
          </cell>
          <cell r="U72">
            <v>0.60044642857142838</v>
          </cell>
          <cell r="Y72" t="str">
            <v>TB3</v>
          </cell>
          <cell r="Z72">
            <v>30</v>
          </cell>
          <cell r="AA72">
            <v>4.9861495844875341</v>
          </cell>
          <cell r="AB72">
            <v>1.44</v>
          </cell>
          <cell r="AC72">
            <v>0.2888</v>
          </cell>
        </row>
        <row r="73">
          <cell r="I73" t="str">
            <v>TB4</v>
          </cell>
          <cell r="J73">
            <v>29</v>
          </cell>
          <cell r="K73">
            <v>0.28999999999999998</v>
          </cell>
          <cell r="L73">
            <v>4.6548956661316208</v>
          </cell>
          <cell r="M73">
            <v>6.2300000000000001E-2</v>
          </cell>
          <cell r="N73">
            <v>3.2366071428571432E-2</v>
          </cell>
          <cell r="O73">
            <v>4</v>
          </cell>
          <cell r="R73">
            <v>19</v>
          </cell>
          <cell r="S73">
            <v>0.1157</v>
          </cell>
          <cell r="T73">
            <v>6.6964285714285711E-3</v>
          </cell>
          <cell r="U73">
            <v>0.60714285714285698</v>
          </cell>
          <cell r="Y73" t="str">
            <v>TB4</v>
          </cell>
          <cell r="Z73">
            <v>29</v>
          </cell>
          <cell r="AA73">
            <v>4.6548956661316208</v>
          </cell>
          <cell r="AB73">
            <v>0.28999999999999998</v>
          </cell>
          <cell r="AC73">
            <v>6.2300000000000001E-2</v>
          </cell>
        </row>
        <row r="74">
          <cell r="I74" t="str">
            <v>TB5</v>
          </cell>
          <cell r="J74">
            <v>30</v>
          </cell>
          <cell r="K74">
            <v>0.34</v>
          </cell>
          <cell r="L74">
            <v>4.4795783926218711</v>
          </cell>
          <cell r="M74">
            <v>7.5899999999999995E-2</v>
          </cell>
          <cell r="N74">
            <v>3.3482142857142856E-2</v>
          </cell>
          <cell r="O74">
            <v>9</v>
          </cell>
          <cell r="R74">
            <v>20</v>
          </cell>
          <cell r="S74">
            <v>0.1182</v>
          </cell>
          <cell r="T74">
            <v>1.7857142857142856E-2</v>
          </cell>
          <cell r="U74">
            <v>0.62499999999999989</v>
          </cell>
          <cell r="Y74" t="str">
            <v>TB5</v>
          </cell>
          <cell r="Z74">
            <v>30</v>
          </cell>
          <cell r="AA74">
            <v>4.4795783926218711</v>
          </cell>
          <cell r="AB74">
            <v>0.34</v>
          </cell>
          <cell r="AC74">
            <v>7.5899999999999995E-2</v>
          </cell>
        </row>
        <row r="75">
          <cell r="I75" t="str">
            <v>TB6</v>
          </cell>
          <cell r="J75">
            <v>30</v>
          </cell>
          <cell r="K75">
            <v>0.36</v>
          </cell>
          <cell r="L75">
            <v>4.6035805626598458</v>
          </cell>
          <cell r="M75">
            <v>7.8200000000000006E-2</v>
          </cell>
          <cell r="N75">
            <v>3.3482142857142856E-2</v>
          </cell>
          <cell r="O75">
            <v>11</v>
          </cell>
          <cell r="R75">
            <v>21</v>
          </cell>
          <cell r="S75">
            <v>0.12480000000000001</v>
          </cell>
          <cell r="T75">
            <v>5.3571428571428568E-2</v>
          </cell>
          <cell r="U75">
            <v>0.67857142857142849</v>
          </cell>
          <cell r="Y75" t="str">
            <v>TB6</v>
          </cell>
          <cell r="Z75">
            <v>30</v>
          </cell>
          <cell r="AA75">
            <v>4.6035805626598458</v>
          </cell>
          <cell r="AB75">
            <v>0.36</v>
          </cell>
          <cell r="AC75">
            <v>7.8200000000000006E-2</v>
          </cell>
        </row>
        <row r="76">
          <cell r="I76" t="str">
            <v>TB7</v>
          </cell>
          <cell r="J76">
            <v>32</v>
          </cell>
          <cell r="K76">
            <v>0.83</v>
          </cell>
          <cell r="L76">
            <v>5.296745373324824</v>
          </cell>
          <cell r="M76">
            <v>0.15670000000000001</v>
          </cell>
          <cell r="N76">
            <v>3.5714285714285712E-2</v>
          </cell>
          <cell r="O76">
            <v>26</v>
          </cell>
          <cell r="R76">
            <v>22</v>
          </cell>
          <cell r="S76">
            <v>0.12509999999999999</v>
          </cell>
          <cell r="T76">
            <v>3.6830357142857144E-2</v>
          </cell>
          <cell r="U76">
            <v>0.71540178571428559</v>
          </cell>
          <cell r="Y76" t="str">
            <v>TB7</v>
          </cell>
          <cell r="Z76">
            <v>32</v>
          </cell>
          <cell r="AA76">
            <v>5.296745373324824</v>
          </cell>
          <cell r="AB76">
            <v>0.83</v>
          </cell>
          <cell r="AC76">
            <v>0.15670000000000001</v>
          </cell>
        </row>
        <row r="77">
          <cell r="I77" t="str">
            <v>TB8</v>
          </cell>
          <cell r="J77">
            <v>30</v>
          </cell>
          <cell r="K77">
            <v>0.37</v>
          </cell>
          <cell r="L77">
            <v>4.7557840616966578</v>
          </cell>
          <cell r="M77">
            <v>7.7800000000000008E-2</v>
          </cell>
          <cell r="N77">
            <v>3.3482142857142856E-2</v>
          </cell>
          <cell r="O77">
            <v>10</v>
          </cell>
          <cell r="R77">
            <v>23</v>
          </cell>
          <cell r="S77">
            <v>0.1356</v>
          </cell>
          <cell r="T77">
            <v>3.6830357142857144E-2</v>
          </cell>
          <cell r="U77">
            <v>0.75223214285714268</v>
          </cell>
          <cell r="Y77" t="str">
            <v>TB8</v>
          </cell>
          <cell r="Z77">
            <v>30</v>
          </cell>
          <cell r="AA77">
            <v>4.7557840616966578</v>
          </cell>
          <cell r="AB77">
            <v>0.37</v>
          </cell>
          <cell r="AC77">
            <v>7.7800000000000008E-2</v>
          </cell>
        </row>
        <row r="78">
          <cell r="I78" t="str">
            <v>TB9</v>
          </cell>
          <cell r="J78">
            <v>21</v>
          </cell>
          <cell r="K78">
            <v>0.42</v>
          </cell>
          <cell r="L78">
            <v>4.8837209302325579</v>
          </cell>
          <cell r="M78">
            <v>8.5999999999999993E-2</v>
          </cell>
          <cell r="N78">
            <v>2.34375E-2</v>
          </cell>
          <cell r="O78">
            <v>12</v>
          </cell>
          <cell r="R78">
            <v>24</v>
          </cell>
          <cell r="S78">
            <v>0.1368</v>
          </cell>
          <cell r="T78">
            <v>3.5714285714285712E-2</v>
          </cell>
          <cell r="U78">
            <v>0.78794642857142838</v>
          </cell>
          <cell r="Y78" t="str">
            <v>TB9</v>
          </cell>
          <cell r="Z78">
            <v>21</v>
          </cell>
          <cell r="AA78">
            <v>4.8837209302325579</v>
          </cell>
          <cell r="AB78">
            <v>0.42</v>
          </cell>
          <cell r="AC78">
            <v>8.5999999999999993E-2</v>
          </cell>
        </row>
        <row r="79">
          <cell r="I79" t="str">
            <v>TB10</v>
          </cell>
          <cell r="J79">
            <v>32</v>
          </cell>
          <cell r="K79">
            <v>0.37</v>
          </cell>
          <cell r="L79">
            <v>3.8784067085953886</v>
          </cell>
          <cell r="M79">
            <v>9.5399999999999985E-2</v>
          </cell>
          <cell r="N79">
            <v>3.5714285714285712E-2</v>
          </cell>
          <cell r="O79">
            <v>14</v>
          </cell>
          <cell r="R79">
            <v>25</v>
          </cell>
          <cell r="S79">
            <v>0.14480000000000001</v>
          </cell>
          <cell r="T79">
            <v>2.7901785714285716E-2</v>
          </cell>
          <cell r="U79">
            <v>0.81584821428571408</v>
          </cell>
          <cell r="Y79" t="str">
            <v>TB10</v>
          </cell>
          <cell r="Z79">
            <v>32</v>
          </cell>
          <cell r="AA79">
            <v>3.8784067085953886</v>
          </cell>
          <cell r="AB79">
            <v>0.37</v>
          </cell>
          <cell r="AC79">
            <v>9.5399999999999985E-2</v>
          </cell>
        </row>
        <row r="80">
          <cell r="I80" t="str">
            <v>TB11</v>
          </cell>
          <cell r="J80">
            <v>32</v>
          </cell>
          <cell r="K80">
            <v>0.6</v>
          </cell>
          <cell r="L80">
            <v>4.3859649122807012</v>
          </cell>
          <cell r="M80">
            <v>0.1368</v>
          </cell>
          <cell r="N80">
            <v>3.5714285714285712E-2</v>
          </cell>
          <cell r="O80">
            <v>24</v>
          </cell>
          <cell r="R80">
            <v>26</v>
          </cell>
          <cell r="S80">
            <v>0.15670000000000001</v>
          </cell>
          <cell r="T80">
            <v>3.5714285714285712E-2</v>
          </cell>
          <cell r="U80">
            <v>0.85156249999999978</v>
          </cell>
          <cell r="Y80" t="str">
            <v>TB11</v>
          </cell>
          <cell r="Z80">
            <v>32</v>
          </cell>
          <cell r="AA80">
            <v>4.3859649122807012</v>
          </cell>
          <cell r="AB80">
            <v>0.6</v>
          </cell>
          <cell r="AC80">
            <v>0.1368</v>
          </cell>
        </row>
        <row r="81">
          <cell r="I81" t="str">
            <v>TB12</v>
          </cell>
          <cell r="J81">
            <v>32</v>
          </cell>
          <cell r="K81">
            <v>0.28000000000000003</v>
          </cell>
          <cell r="L81">
            <v>4.4303797468354427</v>
          </cell>
          <cell r="M81">
            <v>6.3200000000000006E-2</v>
          </cell>
          <cell r="N81">
            <v>3.5714285714285712E-2</v>
          </cell>
          <cell r="O81">
            <v>7</v>
          </cell>
          <cell r="R81">
            <v>27</v>
          </cell>
          <cell r="S81">
            <v>0.25170000000000003</v>
          </cell>
          <cell r="T81">
            <v>3.5714285714285712E-2</v>
          </cell>
          <cell r="U81">
            <v>0.88727678571428548</v>
          </cell>
          <cell r="Y81" t="str">
            <v>TB12</v>
          </cell>
          <cell r="Z81">
            <v>32</v>
          </cell>
          <cell r="AA81">
            <v>4.4303797468354427</v>
          </cell>
          <cell r="AB81">
            <v>0.28000000000000003</v>
          </cell>
          <cell r="AC81">
            <v>6.3200000000000006E-2</v>
          </cell>
        </row>
        <row r="82">
          <cell r="I82" t="str">
            <v>Line 1</v>
          </cell>
          <cell r="J82">
            <v>33</v>
          </cell>
          <cell r="K82">
            <v>0.39</v>
          </cell>
          <cell r="L82">
            <v>3.1175059952038375</v>
          </cell>
          <cell r="M82">
            <v>0.12509999999999999</v>
          </cell>
          <cell r="N82">
            <v>3.6830357142857144E-2</v>
          </cell>
          <cell r="O82">
            <v>22</v>
          </cell>
          <cell r="R82">
            <v>28</v>
          </cell>
          <cell r="S82">
            <v>0.26079999999999998</v>
          </cell>
          <cell r="T82">
            <v>6.6964285714285711E-3</v>
          </cell>
          <cell r="U82">
            <v>0.89397321428571408</v>
          </cell>
          <cell r="X82" t="str">
            <v>Hand line</v>
          </cell>
          <cell r="Y82" t="str">
            <v>Line 1</v>
          </cell>
          <cell r="Z82">
            <v>33</v>
          </cell>
          <cell r="AA82">
            <v>3.1175059952038375</v>
          </cell>
          <cell r="AB82">
            <v>0.39</v>
          </cell>
          <cell r="AC82">
            <v>0.12509999999999999</v>
          </cell>
        </row>
        <row r="83">
          <cell r="I83" t="str">
            <v>Line 2</v>
          </cell>
          <cell r="J83">
            <v>6</v>
          </cell>
          <cell r="K83">
            <v>0.3</v>
          </cell>
          <cell r="L83">
            <v>2.5929127052722558</v>
          </cell>
          <cell r="M83">
            <v>0.1157</v>
          </cell>
          <cell r="N83">
            <v>6.6964285714285711E-3</v>
          </cell>
          <cell r="O83">
            <v>19</v>
          </cell>
          <cell r="R83">
            <v>29</v>
          </cell>
          <cell r="S83">
            <v>0.2888</v>
          </cell>
          <cell r="T83">
            <v>3.3482142857142856E-2</v>
          </cell>
          <cell r="U83">
            <v>0.92745535714285698</v>
          </cell>
          <cell r="Y83" t="str">
            <v>Line 2</v>
          </cell>
          <cell r="Z83">
            <v>6</v>
          </cell>
          <cell r="AA83">
            <v>2.5929127052722558</v>
          </cell>
          <cell r="AB83">
            <v>0.3</v>
          </cell>
          <cell r="AC83">
            <v>0.1157</v>
          </cell>
        </row>
        <row r="84">
          <cell r="I84" t="str">
            <v>Line 3</v>
          </cell>
          <cell r="J84">
            <v>6</v>
          </cell>
          <cell r="K84">
            <v>0.81</v>
          </cell>
          <cell r="L84">
            <v>3.1058282208588963</v>
          </cell>
          <cell r="M84">
            <v>0.26079999999999998</v>
          </cell>
          <cell r="N84">
            <v>6.6964285714285711E-3</v>
          </cell>
          <cell r="O84">
            <v>28</v>
          </cell>
          <cell r="R84">
            <v>30</v>
          </cell>
          <cell r="S84">
            <v>0.3357</v>
          </cell>
          <cell r="T84">
            <v>3.6830357142857144E-2</v>
          </cell>
          <cell r="U84">
            <v>0.96428571428571408</v>
          </cell>
          <cell r="Y84" t="str">
            <v>Line 3</v>
          </cell>
          <cell r="Z84">
            <v>6</v>
          </cell>
          <cell r="AA84">
            <v>3.1058282208588963</v>
          </cell>
          <cell r="AB84">
            <v>0.81</v>
          </cell>
          <cell r="AC84">
            <v>0.26079999999999998</v>
          </cell>
        </row>
        <row r="85">
          <cell r="I85" t="str">
            <v>Line 4</v>
          </cell>
          <cell r="J85">
            <v>16</v>
          </cell>
          <cell r="K85">
            <v>0.31</v>
          </cell>
          <cell r="L85">
            <v>2.6226734348561758</v>
          </cell>
          <cell r="M85">
            <v>0.1182</v>
          </cell>
          <cell r="N85">
            <v>1.7857142857142856E-2</v>
          </cell>
          <cell r="O85">
            <v>20</v>
          </cell>
          <cell r="R85">
            <v>31</v>
          </cell>
          <cell r="S85">
            <v>0.47989999999999999</v>
          </cell>
          <cell r="T85">
            <v>3.5714285714285712E-2</v>
          </cell>
          <cell r="U85">
            <v>0.99999999999999978</v>
          </cell>
          <cell r="Y85" t="str">
            <v>Line 4</v>
          </cell>
          <cell r="Z85">
            <v>16</v>
          </cell>
          <cell r="AA85">
            <v>2.6226734348561758</v>
          </cell>
          <cell r="AB85">
            <v>0.31</v>
          </cell>
          <cell r="AC85">
            <v>0.1182</v>
          </cell>
        </row>
        <row r="86">
          <cell r="X86" t="str">
            <v>Weighted average &gt;&gt;</v>
          </cell>
          <cell r="AA86">
            <v>4.1239189780180636</v>
          </cell>
          <cell r="AB86">
            <v>0.5003013392857143</v>
          </cell>
          <cell r="AC86">
            <v>0.12732756696428574</v>
          </cell>
        </row>
        <row r="87">
          <cell r="X87" t="str">
            <v>25th percentile % &gt;&gt;</v>
          </cell>
          <cell r="AC87">
            <v>6.3200000000000006E-2</v>
          </cell>
        </row>
        <row r="88">
          <cell r="X88" t="str">
            <v>Savings &gt;&gt;</v>
          </cell>
          <cell r="AC88">
            <v>6.4127566964285732E-2</v>
          </cell>
        </row>
        <row r="91">
          <cell r="A91" t="str">
            <v>Center pivots</v>
          </cell>
        </row>
        <row r="92">
          <cell r="A92" t="str">
            <v>Combine High Pressure and Low Pressure systems - too few high pressure data points for separate analysis</v>
          </cell>
        </row>
        <row r="93">
          <cell r="A93" t="str">
            <v>Results are determined for two separate weighting schemes:1) weighting each system by the area it serves (proportional to radius^2) and 2) weighting each system by its radius.  Method 1) is used for the savings analysis because it provides the expected average effect across all regional area, Method 2) was used in version 3_2 of this analysis.  The results are approximately the same in this case.</v>
          </cell>
        </row>
        <row r="96">
          <cell r="M96" t="str">
            <v>AREA WEIGHTED ANALYSIS</v>
          </cell>
          <cell r="Y96" t="str">
            <v>RADIUS WEIGHTED ANALYSIS</v>
          </cell>
        </row>
        <row r="97">
          <cell r="B97" t="str">
            <v>Table 14. Summary statistics for center pivot uniformity.</v>
          </cell>
          <cell r="R97" t="str">
            <v>Ordered by extra water required</v>
          </cell>
        </row>
        <row r="98">
          <cell r="B98" t="str">
            <v>System
ID#</v>
          </cell>
          <cell r="C98" t="str">
            <v>Years since maintenance</v>
          </cell>
          <cell r="D98" t="str">
            <v>Application package</v>
          </cell>
          <cell r="E98" t="str">
            <v>#
cans</v>
          </cell>
          <cell r="F98" t="str">
            <v>Pivot
CU
%</v>
          </cell>
          <cell r="G98" t="str">
            <v>Mean application rate, inches</v>
          </cell>
          <cell r="H98" t="str">
            <v>Extra
passes required to erase LQ deficit2</v>
          </cell>
          <cell r="I98" t="str">
            <v>Extra
hours above good system</v>
          </cell>
          <cell r="J98" t="str">
            <v>Extra
kWh/ac above good system</v>
          </cell>
          <cell r="K98" t="str">
            <v>Assume 28 inches/year for good system</v>
          </cell>
          <cell r="M98" t="str">
            <v>% Extra Required</v>
          </cell>
          <cell r="N98" t="str">
            <v>Weight</v>
          </cell>
          <cell r="O98" t="str">
            <v>Rank</v>
          </cell>
          <cell r="P98" t="str">
            <v>Weight %</v>
          </cell>
          <cell r="R98" t="str">
            <v>Rank</v>
          </cell>
          <cell r="S98" t="str">
            <v>% Extra Required</v>
          </cell>
          <cell r="T98" t="str">
            <v>Weight %</v>
          </cell>
          <cell r="U98" t="str">
            <v>Cumulative weight</v>
          </cell>
          <cell r="V98" t="str">
            <v>Excess %</v>
          </cell>
          <cell r="Y98" t="str">
            <v>Weight %</v>
          </cell>
          <cell r="AA98" t="str">
            <v>Rank</v>
          </cell>
          <cell r="AB98" t="str">
            <v>% Extra</v>
          </cell>
          <cell r="AC98" t="str">
            <v>Weight</v>
          </cell>
          <cell r="AD98" t="str">
            <v>Cumulative weight</v>
          </cell>
          <cell r="AE98" t="str">
            <v>Excess %</v>
          </cell>
          <cell r="AH98" t="str">
            <v>System Type</v>
          </cell>
          <cell r="AI98" t="str">
            <v>System
ID#</v>
          </cell>
          <cell r="AJ98" t="str">
            <v>Number of Cans*</v>
          </cell>
          <cell r="AK98" t="str">
            <v>Excess Water Required (%)</v>
          </cell>
        </row>
        <row r="99">
          <cell r="B99" t="str">
            <v>HP1</v>
          </cell>
          <cell r="C99" t="str">
            <v>20+</v>
          </cell>
          <cell r="D99" t="str">
            <v>impact</v>
          </cell>
          <cell r="E99">
            <v>22</v>
          </cell>
          <cell r="F99">
            <v>78</v>
          </cell>
          <cell r="G99">
            <v>0.99000999999999995</v>
          </cell>
          <cell r="H99">
            <v>8</v>
          </cell>
          <cell r="I99">
            <v>396</v>
          </cell>
          <cell r="J99">
            <v>154</v>
          </cell>
          <cell r="K99">
            <v>28</v>
          </cell>
          <cell r="M99">
            <v>0.28286</v>
          </cell>
          <cell r="N99">
            <v>484</v>
          </cell>
          <cell r="O99">
            <v>21</v>
          </cell>
          <cell r="P99">
            <v>2.5257796518181439E-3</v>
          </cell>
          <cell r="R99">
            <v>1</v>
          </cell>
          <cell r="S99">
            <v>7.2857142857142856E-2</v>
          </cell>
          <cell r="T99">
            <v>7.5147163194589403E-4</v>
          </cell>
          <cell r="U99">
            <v>7.5147163194589403E-4</v>
          </cell>
          <cell r="V99" t="str">
            <v>Weighted Average</v>
          </cell>
          <cell r="W99">
            <v>0.25335589949402404</v>
          </cell>
          <cell r="Y99">
            <v>1.0576923076923078E-2</v>
          </cell>
          <cell r="AA99">
            <v>1</v>
          </cell>
          <cell r="AB99">
            <v>7.2857142857142856E-2</v>
          </cell>
          <cell r="AC99">
            <v>5.7692307692307696E-3</v>
          </cell>
          <cell r="AD99">
            <v>5.7692307692307696E-3</v>
          </cell>
          <cell r="AE99" t="str">
            <v>Weighted Average</v>
          </cell>
          <cell r="AF99">
            <v>0.24182784529532969</v>
          </cell>
          <cell r="AH99" t="str">
            <v>High Pressure</v>
          </cell>
          <cell r="AI99" t="str">
            <v>HP1</v>
          </cell>
          <cell r="AJ99">
            <v>22</v>
          </cell>
          <cell r="AK99">
            <v>0.28286</v>
          </cell>
        </row>
        <row r="100">
          <cell r="B100" t="str">
            <v>HP2</v>
          </cell>
          <cell r="C100" t="str">
            <v>20+</v>
          </cell>
          <cell r="D100" t="str">
            <v>impact</v>
          </cell>
          <cell r="E100">
            <v>49</v>
          </cell>
          <cell r="F100">
            <v>80</v>
          </cell>
          <cell r="G100">
            <v>0.85</v>
          </cell>
          <cell r="H100">
            <v>5</v>
          </cell>
          <cell r="I100">
            <v>136</v>
          </cell>
          <cell r="J100">
            <v>53</v>
          </cell>
          <cell r="M100">
            <v>0.15178571428571427</v>
          </cell>
          <cell r="N100">
            <v>2401</v>
          </cell>
          <cell r="O100">
            <v>5</v>
          </cell>
          <cell r="P100">
            <v>1.2529745752097858E-2</v>
          </cell>
          <cell r="R100">
            <v>2</v>
          </cell>
          <cell r="S100">
            <v>7.6071428571428568E-2</v>
          </cell>
          <cell r="T100">
            <v>4.9101365173464702E-2</v>
          </cell>
          <cell r="U100">
            <v>4.9852836805410597E-2</v>
          </cell>
          <cell r="V100" t="str">
            <v>25th Percentile</v>
          </cell>
          <cell r="W100">
            <v>0.18214285714285713</v>
          </cell>
          <cell r="Y100">
            <v>2.3557692307692307E-2</v>
          </cell>
          <cell r="AA100">
            <v>2</v>
          </cell>
          <cell r="AB100">
            <v>7.6071428571428568E-2</v>
          </cell>
          <cell r="AC100">
            <v>4.6634615384615385E-2</v>
          </cell>
          <cell r="AD100">
            <v>5.2403846153846155E-2</v>
          </cell>
          <cell r="AE100" t="str">
            <v>25th Percentile</v>
          </cell>
          <cell r="AF100">
            <v>0.17142857142857143</v>
          </cell>
          <cell r="AI100" t="str">
            <v>HP2</v>
          </cell>
          <cell r="AJ100">
            <v>49</v>
          </cell>
          <cell r="AK100">
            <v>0.15178571428571427</v>
          </cell>
        </row>
        <row r="101">
          <cell r="B101" t="str">
            <v>HP3</v>
          </cell>
          <cell r="C101" t="str">
            <v>20+</v>
          </cell>
          <cell r="D101" t="str">
            <v>impact</v>
          </cell>
          <cell r="E101">
            <v>39</v>
          </cell>
          <cell r="F101">
            <v>81</v>
          </cell>
          <cell r="G101">
            <v>1.2600100000000001</v>
          </cell>
          <cell r="H101">
            <v>5</v>
          </cell>
          <cell r="I101">
            <v>202</v>
          </cell>
          <cell r="J101">
            <v>78</v>
          </cell>
          <cell r="M101">
            <v>0.22500178571428572</v>
          </cell>
          <cell r="N101">
            <v>1521</v>
          </cell>
          <cell r="O101">
            <v>14</v>
          </cell>
          <cell r="P101">
            <v>7.9374191124285051E-3</v>
          </cell>
          <cell r="R101">
            <v>3</v>
          </cell>
          <cell r="S101">
            <v>0.09</v>
          </cell>
          <cell r="T101">
            <v>8.7723875923683883E-3</v>
          </cell>
          <cell r="U101">
            <v>5.8625224397778987E-2</v>
          </cell>
          <cell r="V101" t="str">
            <v>Savings</v>
          </cell>
          <cell r="W101">
            <v>7.1213042351166905E-2</v>
          </cell>
          <cell r="Y101">
            <v>1.8749999999999999E-2</v>
          </cell>
          <cell r="AA101">
            <v>3</v>
          </cell>
          <cell r="AB101">
            <v>0.09</v>
          </cell>
          <cell r="AC101">
            <v>1.9711538461538461E-2</v>
          </cell>
          <cell r="AD101">
            <v>7.2115384615384609E-2</v>
          </cell>
          <cell r="AE101" t="str">
            <v>Savings</v>
          </cell>
          <cell r="AF101">
            <v>7.0399273866758261E-2</v>
          </cell>
          <cell r="AI101" t="str">
            <v>HP3</v>
          </cell>
          <cell r="AJ101">
            <v>39</v>
          </cell>
          <cell r="AK101">
            <v>0.22500178571428572</v>
          </cell>
        </row>
        <row r="102">
          <cell r="B102" t="str">
            <v>HP4</v>
          </cell>
          <cell r="C102">
            <v>20</v>
          </cell>
          <cell r="D102" t="str">
            <v>impact</v>
          </cell>
          <cell r="E102">
            <v>120</v>
          </cell>
          <cell r="F102">
            <v>93</v>
          </cell>
          <cell r="G102">
            <v>0.48</v>
          </cell>
          <cell r="H102">
            <v>6</v>
          </cell>
          <cell r="I102">
            <v>115</v>
          </cell>
          <cell r="J102">
            <v>45</v>
          </cell>
          <cell r="M102">
            <v>0.10285714285714286</v>
          </cell>
          <cell r="N102">
            <v>14400</v>
          </cell>
          <cell r="O102">
            <v>4</v>
          </cell>
          <cell r="P102">
            <v>7.5147163194589403E-2</v>
          </cell>
          <cell r="R102">
            <v>4</v>
          </cell>
          <cell r="S102">
            <v>0.10285714285714286</v>
          </cell>
          <cell r="T102">
            <v>7.5147163194589403E-2</v>
          </cell>
          <cell r="U102">
            <v>0.1337723875923684</v>
          </cell>
          <cell r="Y102">
            <v>5.7692307692307696E-2</v>
          </cell>
          <cell r="AA102">
            <v>4</v>
          </cell>
          <cell r="AB102">
            <v>0.10285714285714286</v>
          </cell>
          <cell r="AC102">
            <v>5.7692307692307696E-2</v>
          </cell>
          <cell r="AD102">
            <v>0.12980769230769229</v>
          </cell>
          <cell r="AI102" t="str">
            <v>HP4</v>
          </cell>
          <cell r="AJ102">
            <v>120</v>
          </cell>
          <cell r="AK102">
            <v>0.10285714285714286</v>
          </cell>
        </row>
        <row r="103">
          <cell r="B103" t="str">
            <v>Avg.</v>
          </cell>
          <cell r="F103">
            <v>83</v>
          </cell>
          <cell r="G103">
            <v>0.9</v>
          </cell>
          <cell r="R103">
            <v>5</v>
          </cell>
          <cell r="S103">
            <v>0.15178571428571427</v>
          </cell>
          <cell r="T103">
            <v>1.2529745752097858E-2</v>
          </cell>
          <cell r="U103">
            <v>0.14630213334446626</v>
          </cell>
          <cell r="AA103">
            <v>5</v>
          </cell>
          <cell r="AB103">
            <v>0.15178571428571427</v>
          </cell>
          <cell r="AC103">
            <v>2.3557692307692307E-2</v>
          </cell>
          <cell r="AD103">
            <v>0.1533653846153846</v>
          </cell>
          <cell r="AH103" t="str">
            <v>Low Pressure</v>
          </cell>
          <cell r="AI103" t="str">
            <v>LP1</v>
          </cell>
          <cell r="AJ103">
            <v>60</v>
          </cell>
          <cell r="AK103">
            <v>0.29464285714285715</v>
          </cell>
        </row>
        <row r="104">
          <cell r="R104">
            <v>6</v>
          </cell>
          <cell r="S104">
            <v>0.1542857142857143</v>
          </cell>
          <cell r="T104">
            <v>1.9418235711601887E-2</v>
          </cell>
          <cell r="U104">
            <v>0.16572036905606816</v>
          </cell>
          <cell r="AA104">
            <v>6</v>
          </cell>
          <cell r="AB104">
            <v>0.1542857142857143</v>
          </cell>
          <cell r="AC104">
            <v>2.9326923076923077E-2</v>
          </cell>
          <cell r="AD104">
            <v>0.18269230769230768</v>
          </cell>
          <cell r="AI104" t="str">
            <v>LP2</v>
          </cell>
          <cell r="AJ104">
            <v>88</v>
          </cell>
          <cell r="AK104">
            <v>0.20821428571428571</v>
          </cell>
        </row>
        <row r="105">
          <cell r="B105" t="str">
            <v>LP1</v>
          </cell>
          <cell r="C105">
            <v>5</v>
          </cell>
          <cell r="D105" t="str">
            <v>15psi wobbler</v>
          </cell>
          <cell r="E105">
            <v>60</v>
          </cell>
          <cell r="F105">
            <v>79</v>
          </cell>
          <cell r="G105">
            <v>0.55000000000000004</v>
          </cell>
          <cell r="H105">
            <v>15</v>
          </cell>
          <cell r="I105">
            <v>528</v>
          </cell>
          <cell r="J105">
            <v>205</v>
          </cell>
          <cell r="M105">
            <v>0.29464285714285715</v>
          </cell>
          <cell r="N105">
            <v>3600</v>
          </cell>
          <cell r="O105">
            <v>23</v>
          </cell>
          <cell r="P105">
            <v>1.8786790798647351E-2</v>
          </cell>
          <cell r="R105">
            <v>7</v>
          </cell>
          <cell r="S105">
            <v>0.17142857142857143</v>
          </cell>
          <cell r="T105">
            <v>6.7820314783116939E-2</v>
          </cell>
          <cell r="U105">
            <v>0.23354068383918508</v>
          </cell>
          <cell r="Y105">
            <v>2.8846153846153848E-2</v>
          </cell>
          <cell r="AA105">
            <v>7</v>
          </cell>
          <cell r="AB105">
            <v>0.17142857142857143</v>
          </cell>
          <cell r="AC105">
            <v>5.4807692307692307E-2</v>
          </cell>
          <cell r="AD105">
            <v>0.23749999999999999</v>
          </cell>
          <cell r="AI105" t="str">
            <v>LP3</v>
          </cell>
          <cell r="AJ105">
            <v>108</v>
          </cell>
          <cell r="AK105">
            <v>0.26714285714285718</v>
          </cell>
        </row>
        <row r="106">
          <cell r="B106" t="str">
            <v>LP2</v>
          </cell>
          <cell r="C106">
            <v>3</v>
          </cell>
          <cell r="D106" t="str">
            <v>15 psi Iwob</v>
          </cell>
          <cell r="E106">
            <v>88</v>
          </cell>
          <cell r="F106">
            <v>84</v>
          </cell>
          <cell r="G106">
            <v>0.53</v>
          </cell>
          <cell r="H106">
            <v>11</v>
          </cell>
          <cell r="I106">
            <v>339</v>
          </cell>
          <cell r="J106">
            <v>132</v>
          </cell>
          <cell r="M106">
            <v>0.20821428571428571</v>
          </cell>
          <cell r="N106">
            <v>7744</v>
          </cell>
          <cell r="O106">
            <v>12</v>
          </cell>
          <cell r="P106">
            <v>4.0412474429090302E-2</v>
          </cell>
          <cell r="R106">
            <v>8</v>
          </cell>
          <cell r="S106">
            <v>0.18214285714285713</v>
          </cell>
          <cell r="T106">
            <v>1.152778357617E-2</v>
          </cell>
          <cell r="U106">
            <v>0.2450684674153551</v>
          </cell>
          <cell r="Y106">
            <v>4.230769230769231E-2</v>
          </cell>
          <cell r="AA106">
            <v>8</v>
          </cell>
          <cell r="AB106">
            <v>0.18214285714285713</v>
          </cell>
          <cell r="AC106">
            <v>2.2596153846153846E-2</v>
          </cell>
          <cell r="AD106">
            <v>0.26009615384615381</v>
          </cell>
          <cell r="AI106" t="str">
            <v>LP4</v>
          </cell>
          <cell r="AJ106">
            <v>58</v>
          </cell>
          <cell r="AK106">
            <v>0.27392857142857141</v>
          </cell>
        </row>
        <row r="107">
          <cell r="B107" t="str">
            <v>LP3</v>
          </cell>
          <cell r="C107" t="str">
            <v>20+</v>
          </cell>
          <cell r="D107" t="str">
            <v>20 psi rotator</v>
          </cell>
          <cell r="E107">
            <v>108</v>
          </cell>
          <cell r="F107">
            <v>83</v>
          </cell>
          <cell r="G107">
            <v>0.68</v>
          </cell>
          <cell r="H107">
            <v>11</v>
          </cell>
          <cell r="I107">
            <v>435</v>
          </cell>
          <cell r="J107">
            <v>169</v>
          </cell>
          <cell r="M107">
            <v>0.26714285714285718</v>
          </cell>
          <cell r="N107">
            <v>11664</v>
          </cell>
          <cell r="O107">
            <v>18</v>
          </cell>
          <cell r="P107">
            <v>6.0869202187617419E-2</v>
          </cell>
          <cell r="R107">
            <v>9</v>
          </cell>
          <cell r="S107">
            <v>0.185</v>
          </cell>
          <cell r="T107">
            <v>1.9418235711601887E-2</v>
          </cell>
          <cell r="U107">
            <v>0.26448670312695699</v>
          </cell>
          <cell r="Y107">
            <v>5.1923076923076926E-2</v>
          </cell>
          <cell r="AA107">
            <v>9</v>
          </cell>
          <cell r="AB107">
            <v>0.185</v>
          </cell>
          <cell r="AC107">
            <v>2.9326923076923077E-2</v>
          </cell>
          <cell r="AD107">
            <v>0.28942307692307689</v>
          </cell>
          <cell r="AI107" t="str">
            <v>LP5</v>
          </cell>
          <cell r="AJ107">
            <v>62</v>
          </cell>
          <cell r="AK107">
            <v>0.19428571428571431</v>
          </cell>
        </row>
        <row r="108">
          <cell r="B108" t="str">
            <v>LP4</v>
          </cell>
          <cell r="C108" t="str">
            <v>4-6</v>
          </cell>
          <cell r="D108" t="str">
            <v>20 psi rotator</v>
          </cell>
          <cell r="E108">
            <v>58</v>
          </cell>
          <cell r="F108">
            <v>84</v>
          </cell>
          <cell r="G108">
            <v>0.59</v>
          </cell>
          <cell r="H108">
            <v>13</v>
          </cell>
          <cell r="I108">
            <v>472</v>
          </cell>
          <cell r="J108">
            <v>183</v>
          </cell>
          <cell r="M108">
            <v>0.27392857142857141</v>
          </cell>
          <cell r="N108">
            <v>3364</v>
          </cell>
          <cell r="O108">
            <v>19</v>
          </cell>
          <cell r="P108">
            <v>1.7555212290736026E-2</v>
          </cell>
          <cell r="R108">
            <v>10</v>
          </cell>
          <cell r="S108">
            <v>0.19428571428571431</v>
          </cell>
          <cell r="T108">
            <v>2.006011773055567E-2</v>
          </cell>
          <cell r="U108">
            <v>0.28454682085751265</v>
          </cell>
          <cell r="Y108">
            <v>2.7884615384615386E-2</v>
          </cell>
          <cell r="AA108">
            <v>10</v>
          </cell>
          <cell r="AB108">
            <v>0.19428571428571431</v>
          </cell>
          <cell r="AC108">
            <v>2.9807692307692309E-2</v>
          </cell>
          <cell r="AD108">
            <v>0.31923076923076921</v>
          </cell>
          <cell r="AI108" t="str">
            <v>LP6</v>
          </cell>
          <cell r="AJ108">
            <v>45</v>
          </cell>
          <cell r="AK108">
            <v>0.33428571428571424</v>
          </cell>
        </row>
        <row r="109">
          <cell r="B109" t="str">
            <v>LP5</v>
          </cell>
          <cell r="C109" t="str">
            <v>4-6</v>
          </cell>
          <cell r="D109" t="str">
            <v>20 psi rotator</v>
          </cell>
          <cell r="E109">
            <v>62</v>
          </cell>
          <cell r="F109">
            <v>84</v>
          </cell>
          <cell r="G109">
            <v>0.68</v>
          </cell>
          <cell r="H109">
            <v>8</v>
          </cell>
          <cell r="I109">
            <v>272</v>
          </cell>
          <cell r="J109">
            <v>106</v>
          </cell>
          <cell r="M109">
            <v>0.19428571428571431</v>
          </cell>
          <cell r="N109">
            <v>3844</v>
          </cell>
          <cell r="O109">
            <v>10</v>
          </cell>
          <cell r="P109">
            <v>2.006011773055567E-2</v>
          </cell>
          <cell r="R109">
            <v>11</v>
          </cell>
          <cell r="S109">
            <v>0.20571428571428571</v>
          </cell>
          <cell r="T109">
            <v>9.6491044963052646E-3</v>
          </cell>
          <cell r="U109">
            <v>0.29419592535381789</v>
          </cell>
          <cell r="Y109">
            <v>2.9807692307692309E-2</v>
          </cell>
          <cell r="AA109">
            <v>11</v>
          </cell>
          <cell r="AB109">
            <v>0.20571428571428571</v>
          </cell>
          <cell r="AC109">
            <v>2.0673076923076922E-2</v>
          </cell>
          <cell r="AD109">
            <v>0.33990384615384611</v>
          </cell>
          <cell r="AI109" t="str">
            <v>LP7</v>
          </cell>
          <cell r="AJ109">
            <v>72</v>
          </cell>
          <cell r="AK109">
            <v>0.45535714285714285</v>
          </cell>
        </row>
        <row r="110">
          <cell r="B110" t="str">
            <v>LP6</v>
          </cell>
          <cell r="C110" t="str">
            <v>4-6</v>
          </cell>
          <cell r="D110" t="str">
            <v>30 psi rotator</v>
          </cell>
          <cell r="E110">
            <v>45</v>
          </cell>
          <cell r="F110">
            <v>82</v>
          </cell>
          <cell r="G110">
            <v>0.52</v>
          </cell>
          <cell r="H110">
            <v>18</v>
          </cell>
          <cell r="I110">
            <v>624</v>
          </cell>
          <cell r="J110">
            <v>242</v>
          </cell>
          <cell r="M110">
            <v>0.33428571428571424</v>
          </cell>
          <cell r="N110">
            <v>2025</v>
          </cell>
          <cell r="O110">
            <v>26</v>
          </cell>
          <cell r="P110">
            <v>1.0567569824239134E-2</v>
          </cell>
          <cell r="R110">
            <v>12</v>
          </cell>
          <cell r="S110">
            <v>0.20821428571428571</v>
          </cell>
          <cell r="T110">
            <v>4.0412474429090302E-2</v>
          </cell>
          <cell r="U110">
            <v>0.33460839978290818</v>
          </cell>
          <cell r="Y110">
            <v>2.1634615384615384E-2</v>
          </cell>
          <cell r="AA110">
            <v>12</v>
          </cell>
          <cell r="AB110">
            <v>0.20821428571428571</v>
          </cell>
          <cell r="AC110">
            <v>4.230769230769231E-2</v>
          </cell>
          <cell r="AD110">
            <v>0.38221153846153844</v>
          </cell>
          <cell r="AI110" t="str">
            <v>LP8</v>
          </cell>
          <cell r="AJ110">
            <v>38</v>
          </cell>
          <cell r="AK110">
            <v>0.30178571428571432</v>
          </cell>
        </row>
        <row r="111">
          <cell r="B111" t="str">
            <v>LP7</v>
          </cell>
          <cell r="C111" t="str">
            <v>4-6</v>
          </cell>
          <cell r="D111" t="str">
            <v>30 psi rotator</v>
          </cell>
          <cell r="E111">
            <v>72</v>
          </cell>
          <cell r="F111">
            <v>75</v>
          </cell>
          <cell r="G111">
            <v>0.75</v>
          </cell>
          <cell r="H111">
            <v>17</v>
          </cell>
          <cell r="I111">
            <v>840</v>
          </cell>
          <cell r="J111">
            <v>326</v>
          </cell>
          <cell r="M111">
            <v>0.45535714285714285</v>
          </cell>
          <cell r="N111">
            <v>5184</v>
          </cell>
          <cell r="O111">
            <v>28</v>
          </cell>
          <cell r="P111">
            <v>2.7052978750052185E-2</v>
          </cell>
          <cell r="R111">
            <v>13</v>
          </cell>
          <cell r="S111">
            <v>0.22500000000000001</v>
          </cell>
          <cell r="T111">
            <v>4.7097440821608987E-2</v>
          </cell>
          <cell r="U111">
            <v>0.38170584060451718</v>
          </cell>
          <cell r="Y111">
            <v>3.4615384615384617E-2</v>
          </cell>
          <cell r="AA111">
            <v>13</v>
          </cell>
          <cell r="AB111">
            <v>0.22500000000000001</v>
          </cell>
          <cell r="AC111">
            <v>4.567307692307692E-2</v>
          </cell>
          <cell r="AD111">
            <v>0.42788461538461536</v>
          </cell>
          <cell r="AI111" t="str">
            <v>LP9</v>
          </cell>
          <cell r="AJ111">
            <v>97</v>
          </cell>
          <cell r="AK111">
            <v>7.6071428571428568E-2</v>
          </cell>
        </row>
        <row r="112">
          <cell r="B112" t="str">
            <v>LP8</v>
          </cell>
          <cell r="C112" t="str">
            <v>4-6</v>
          </cell>
          <cell r="D112" t="str">
            <v>30 psi rotator</v>
          </cell>
          <cell r="E112">
            <v>38</v>
          </cell>
          <cell r="F112">
            <v>80</v>
          </cell>
          <cell r="G112">
            <v>0.65</v>
          </cell>
          <cell r="H112">
            <v>13</v>
          </cell>
          <cell r="I112">
            <v>520</v>
          </cell>
          <cell r="J112">
            <v>202</v>
          </cell>
          <cell r="M112">
            <v>0.30178571428571432</v>
          </cell>
          <cell r="N112">
            <v>1444</v>
          </cell>
          <cell r="O112">
            <v>25</v>
          </cell>
          <cell r="P112">
            <v>7.5355905314574371E-3</v>
          </cell>
          <cell r="R112">
            <v>14</v>
          </cell>
          <cell r="S112">
            <v>0.22500178571428572</v>
          </cell>
          <cell r="T112">
            <v>7.9374191124285051E-3</v>
          </cell>
          <cell r="U112">
            <v>0.38964325971694569</v>
          </cell>
          <cell r="Y112">
            <v>1.826923076923077E-2</v>
          </cell>
          <cell r="AA112">
            <v>14</v>
          </cell>
          <cell r="AB112">
            <v>0.22500178571428572</v>
          </cell>
          <cell r="AC112">
            <v>1.8749999999999999E-2</v>
          </cell>
          <cell r="AD112">
            <v>0.44663461538461535</v>
          </cell>
          <cell r="AI112" t="str">
            <v>LP10</v>
          </cell>
          <cell r="AJ112">
            <v>110</v>
          </cell>
          <cell r="AK112">
            <v>0.24</v>
          </cell>
        </row>
        <row r="113">
          <cell r="B113" t="str">
            <v>LP9</v>
          </cell>
          <cell r="C113" t="str">
            <v>4-6</v>
          </cell>
          <cell r="E113">
            <v>97</v>
          </cell>
          <cell r="F113">
            <v>93</v>
          </cell>
          <cell r="G113">
            <v>0.71</v>
          </cell>
          <cell r="H113">
            <v>3</v>
          </cell>
          <cell r="I113">
            <v>0</v>
          </cell>
          <cell r="J113">
            <v>0</v>
          </cell>
          <cell r="M113">
            <v>7.6071428571428568E-2</v>
          </cell>
          <cell r="N113">
            <v>9409</v>
          </cell>
          <cell r="O113">
            <v>2</v>
          </cell>
          <cell r="P113">
            <v>4.9101365173464702E-2</v>
          </cell>
          <cell r="R113">
            <v>15</v>
          </cell>
          <cell r="S113">
            <v>0.22785714285714284</v>
          </cell>
          <cell r="T113">
            <v>8.5500772345843939E-2</v>
          </cell>
          <cell r="U113">
            <v>0.47514403206278966</v>
          </cell>
          <cell r="Y113">
            <v>4.6634615384615385E-2</v>
          </cell>
          <cell r="AA113">
            <v>15</v>
          </cell>
          <cell r="AB113">
            <v>0.22785714285714284</v>
          </cell>
          <cell r="AC113">
            <v>6.1538461538461542E-2</v>
          </cell>
          <cell r="AD113">
            <v>0.50817307692307689</v>
          </cell>
          <cell r="AI113" t="str">
            <v>LP11</v>
          </cell>
          <cell r="AJ113">
            <v>47</v>
          </cell>
          <cell r="AK113">
            <v>0.18214285714285713</v>
          </cell>
        </row>
        <row r="114">
          <cell r="B114" t="str">
            <v>LP10</v>
          </cell>
          <cell r="C114">
            <v>20</v>
          </cell>
          <cell r="D114">
            <v>20</v>
          </cell>
          <cell r="E114">
            <v>110</v>
          </cell>
          <cell r="F114">
            <v>85</v>
          </cell>
          <cell r="G114">
            <v>0.84</v>
          </cell>
          <cell r="H114">
            <v>8</v>
          </cell>
          <cell r="I114">
            <v>336</v>
          </cell>
          <cell r="J114">
            <v>130</v>
          </cell>
          <cell r="M114">
            <v>0.24</v>
          </cell>
          <cell r="N114">
            <v>12100</v>
          </cell>
          <cell r="O114">
            <v>16</v>
          </cell>
          <cell r="P114">
            <v>6.3144491295453603E-2</v>
          </cell>
          <cell r="R114">
            <v>16</v>
          </cell>
          <cell r="S114">
            <v>0.24</v>
          </cell>
          <cell r="T114">
            <v>6.3144491295453603E-2</v>
          </cell>
          <cell r="U114">
            <v>0.53828852335824329</v>
          </cell>
          <cell r="Y114">
            <v>5.2884615384615384E-2</v>
          </cell>
          <cell r="AA114">
            <v>16</v>
          </cell>
          <cell r="AB114">
            <v>0.24</v>
          </cell>
          <cell r="AC114">
            <v>5.2884615384615384E-2</v>
          </cell>
          <cell r="AD114">
            <v>0.56105769230769231</v>
          </cell>
          <cell r="AI114" t="str">
            <v>LP12</v>
          </cell>
          <cell r="AJ114">
            <v>61</v>
          </cell>
          <cell r="AK114">
            <v>0.1542857142857143</v>
          </cell>
        </row>
        <row r="115">
          <cell r="B115" t="str">
            <v>LP11</v>
          </cell>
          <cell r="C115">
            <v>3</v>
          </cell>
          <cell r="D115">
            <v>15</v>
          </cell>
          <cell r="E115">
            <v>47</v>
          </cell>
          <cell r="F115">
            <v>89</v>
          </cell>
          <cell r="G115">
            <v>0.85</v>
          </cell>
          <cell r="H115">
            <v>6</v>
          </cell>
          <cell r="I115">
            <v>204</v>
          </cell>
          <cell r="J115">
            <v>79</v>
          </cell>
          <cell r="M115">
            <v>0.18214285714285713</v>
          </cell>
          <cell r="N115">
            <v>2209</v>
          </cell>
          <cell r="O115">
            <v>8</v>
          </cell>
          <cell r="P115">
            <v>1.152778357617E-2</v>
          </cell>
          <cell r="R115">
            <v>17</v>
          </cell>
          <cell r="S115">
            <v>0.24607142857142858</v>
          </cell>
          <cell r="T115">
            <v>1.5786122823863401E-2</v>
          </cell>
          <cell r="U115">
            <v>0.55407464618210667</v>
          </cell>
          <cell r="Y115">
            <v>2.2596153846153846E-2</v>
          </cell>
          <cell r="AA115">
            <v>17</v>
          </cell>
          <cell r="AB115">
            <v>0.24607142857142858</v>
          </cell>
          <cell r="AC115">
            <v>2.6442307692307692E-2</v>
          </cell>
          <cell r="AD115">
            <v>0.58750000000000002</v>
          </cell>
          <cell r="AI115" t="str">
            <v>LP13</v>
          </cell>
          <cell r="AJ115">
            <v>166</v>
          </cell>
          <cell r="AK115">
            <v>0.43428571428571427</v>
          </cell>
        </row>
        <row r="116">
          <cell r="B116" t="str">
            <v>LP12</v>
          </cell>
          <cell r="C116">
            <v>3</v>
          </cell>
          <cell r="D116">
            <v>15</v>
          </cell>
          <cell r="E116">
            <v>61</v>
          </cell>
          <cell r="F116">
            <v>91</v>
          </cell>
          <cell r="G116">
            <v>0.48</v>
          </cell>
          <cell r="H116">
            <v>9</v>
          </cell>
          <cell r="I116">
            <v>230</v>
          </cell>
          <cell r="J116">
            <v>89</v>
          </cell>
          <cell r="M116">
            <v>0.1542857142857143</v>
          </cell>
          <cell r="N116">
            <v>3721</v>
          </cell>
          <cell r="O116">
            <v>6</v>
          </cell>
          <cell r="P116">
            <v>1.9418235711601887E-2</v>
          </cell>
          <cell r="R116">
            <v>18</v>
          </cell>
          <cell r="S116">
            <v>0.26714285714285718</v>
          </cell>
          <cell r="T116">
            <v>6.0869202187617419E-2</v>
          </cell>
          <cell r="U116">
            <v>0.61494384836972404</v>
          </cell>
          <cell r="Y116">
            <v>2.9326923076923077E-2</v>
          </cell>
          <cell r="AA116">
            <v>18</v>
          </cell>
          <cell r="AB116">
            <v>0.26714285714285718</v>
          </cell>
          <cell r="AC116">
            <v>5.1923076923076926E-2</v>
          </cell>
          <cell r="AD116">
            <v>0.63942307692307698</v>
          </cell>
          <cell r="AI116" t="str">
            <v>LP14</v>
          </cell>
          <cell r="AJ116">
            <v>12</v>
          </cell>
          <cell r="AK116">
            <v>7.2857142857142856E-2</v>
          </cell>
        </row>
        <row r="117">
          <cell r="B117" t="str">
            <v>LP13</v>
          </cell>
          <cell r="C117" t="str">
            <v>New
2012</v>
          </cell>
          <cell r="D117" t="str">
            <v>15psi
40”high</v>
          </cell>
          <cell r="E117">
            <v>166</v>
          </cell>
          <cell r="F117">
            <v>69</v>
          </cell>
          <cell r="G117">
            <v>0.64</v>
          </cell>
          <cell r="H117">
            <v>19</v>
          </cell>
          <cell r="I117">
            <v>819</v>
          </cell>
          <cell r="J117">
            <v>318</v>
          </cell>
          <cell r="M117">
            <v>0.43428571428571427</v>
          </cell>
          <cell r="N117">
            <v>27556</v>
          </cell>
          <cell r="O117">
            <v>27</v>
          </cell>
          <cell r="P117">
            <v>0.14380244645764623</v>
          </cell>
          <cell r="R117">
            <v>19</v>
          </cell>
          <cell r="S117">
            <v>0.27392857142857141</v>
          </cell>
          <cell r="T117">
            <v>1.7555212290736026E-2</v>
          </cell>
          <cell r="U117">
            <v>0.63249906066046002</v>
          </cell>
          <cell r="Y117">
            <v>7.9807692307692302E-2</v>
          </cell>
          <cell r="AA117">
            <v>19</v>
          </cell>
          <cell r="AB117">
            <v>0.27392857142857141</v>
          </cell>
          <cell r="AC117">
            <v>2.7884615384615386E-2</v>
          </cell>
          <cell r="AD117">
            <v>0.66730769230769238</v>
          </cell>
          <cell r="AI117" t="str">
            <v>LP15</v>
          </cell>
          <cell r="AJ117">
            <v>95</v>
          </cell>
          <cell r="AK117">
            <v>0.22500000000000001</v>
          </cell>
        </row>
        <row r="118">
          <cell r="B118" t="str">
            <v>LP14</v>
          </cell>
          <cell r="C118">
            <v>13</v>
          </cell>
          <cell r="D118" t="str">
            <v>20 psi</v>
          </cell>
          <cell r="E118">
            <v>12</v>
          </cell>
          <cell r="F118">
            <v>94</v>
          </cell>
          <cell r="G118">
            <v>0.68</v>
          </cell>
          <cell r="H118">
            <v>3</v>
          </cell>
          <cell r="I118">
            <v>0</v>
          </cell>
          <cell r="J118">
            <v>0</v>
          </cell>
          <cell r="M118">
            <v>7.2857142857142856E-2</v>
          </cell>
          <cell r="N118">
            <v>144</v>
          </cell>
          <cell r="O118">
            <v>1</v>
          </cell>
          <cell r="P118">
            <v>7.5147163194589403E-4</v>
          </cell>
          <cell r="R118">
            <v>20</v>
          </cell>
          <cell r="S118">
            <v>0.28285714285714286</v>
          </cell>
          <cell r="T118">
            <v>6.2001628188535884E-2</v>
          </cell>
          <cell r="U118">
            <v>0.69450068884899596</v>
          </cell>
          <cell r="Y118">
            <v>5.7692307692307696E-3</v>
          </cell>
          <cell r="AA118">
            <v>20</v>
          </cell>
          <cell r="AB118">
            <v>0.28285714285714286</v>
          </cell>
          <cell r="AC118">
            <v>5.2403846153846155E-2</v>
          </cell>
          <cell r="AD118">
            <v>0.71971153846153857</v>
          </cell>
          <cell r="AI118" t="str">
            <v>LP16</v>
          </cell>
          <cell r="AJ118" t="str">
            <v>Tested for leaks only</v>
          </cell>
        </row>
        <row r="119">
          <cell r="B119" t="str">
            <v>LP15</v>
          </cell>
          <cell r="C119">
            <v>13</v>
          </cell>
          <cell r="D119" t="str">
            <v>30 psi</v>
          </cell>
          <cell r="E119">
            <v>95</v>
          </cell>
          <cell r="F119">
            <v>85</v>
          </cell>
          <cell r="G119">
            <v>0.42</v>
          </cell>
          <cell r="H119">
            <v>15</v>
          </cell>
          <cell r="I119">
            <v>403</v>
          </cell>
          <cell r="J119">
            <v>156</v>
          </cell>
          <cell r="M119">
            <v>0.22500000000000001</v>
          </cell>
          <cell r="N119">
            <v>9025</v>
          </cell>
          <cell r="O119">
            <v>13</v>
          </cell>
          <cell r="P119">
            <v>4.7097440821608987E-2</v>
          </cell>
          <cell r="R119">
            <v>21</v>
          </cell>
          <cell r="S119">
            <v>0.28286</v>
          </cell>
          <cell r="T119">
            <v>2.5257796518181439E-3</v>
          </cell>
          <cell r="U119">
            <v>0.69702646850081407</v>
          </cell>
          <cell r="Y119">
            <v>4.567307692307692E-2</v>
          </cell>
          <cell r="AA119">
            <v>21</v>
          </cell>
          <cell r="AB119">
            <v>0.28286</v>
          </cell>
          <cell r="AC119">
            <v>1.0576923076923078E-2</v>
          </cell>
          <cell r="AD119">
            <v>0.73028846153846161</v>
          </cell>
          <cell r="AI119" t="str">
            <v>LP17</v>
          </cell>
          <cell r="AJ119">
            <v>114</v>
          </cell>
          <cell r="AK119">
            <v>0.17142857142857143</v>
          </cell>
        </row>
        <row r="120">
          <cell r="B120" t="str">
            <v>LP16</v>
          </cell>
          <cell r="C120">
            <v>5</v>
          </cell>
          <cell r="E120" t="str">
            <v>Tested for leaks only</v>
          </cell>
          <cell r="R120">
            <v>22</v>
          </cell>
          <cell r="S120">
            <v>0.29142857142857143</v>
          </cell>
          <cell r="T120">
            <v>1.7555212290736026E-2</v>
          </cell>
          <cell r="U120">
            <v>0.71458168079155004</v>
          </cell>
          <cell r="AA120">
            <v>22</v>
          </cell>
          <cell r="AB120">
            <v>0.29142857142857143</v>
          </cell>
          <cell r="AC120">
            <v>2.7884615384615386E-2</v>
          </cell>
          <cell r="AD120">
            <v>0.75817307692307701</v>
          </cell>
          <cell r="AI120" t="str">
            <v>LP18</v>
          </cell>
          <cell r="AJ120">
            <v>58</v>
          </cell>
          <cell r="AK120">
            <v>0.29142857142857143</v>
          </cell>
        </row>
        <row r="121">
          <cell r="B121" t="str">
            <v>LP17</v>
          </cell>
          <cell r="C121">
            <v>13</v>
          </cell>
          <cell r="D121">
            <v>20</v>
          </cell>
          <cell r="E121">
            <v>114</v>
          </cell>
          <cell r="F121">
            <v>92</v>
          </cell>
          <cell r="G121">
            <v>0.6</v>
          </cell>
          <cell r="H121">
            <v>8</v>
          </cell>
          <cell r="I121">
            <v>240</v>
          </cell>
          <cell r="J121">
            <v>93</v>
          </cell>
          <cell r="M121">
            <v>0.17142857142857143</v>
          </cell>
          <cell r="N121">
            <v>12996</v>
          </cell>
          <cell r="O121">
            <v>7</v>
          </cell>
          <cell r="P121">
            <v>6.7820314783116939E-2</v>
          </cell>
          <cell r="R121">
            <v>23</v>
          </cell>
          <cell r="S121">
            <v>0.29464285714285715</v>
          </cell>
          <cell r="T121">
            <v>1.8786790798647351E-2</v>
          </cell>
          <cell r="U121">
            <v>0.73336847159019736</v>
          </cell>
          <cell r="Y121">
            <v>5.4807692307692307E-2</v>
          </cell>
          <cell r="AA121">
            <v>23</v>
          </cell>
          <cell r="AB121">
            <v>0.29464285714285715</v>
          </cell>
          <cell r="AC121">
            <v>2.8846153846153848E-2</v>
          </cell>
          <cell r="AD121">
            <v>0.78701923076923086</v>
          </cell>
          <cell r="AI121" t="str">
            <v>LP19</v>
          </cell>
          <cell r="AJ121">
            <v>128</v>
          </cell>
          <cell r="AK121">
            <v>0.22785714285714284</v>
          </cell>
        </row>
        <row r="122">
          <cell r="B122" t="str">
            <v>LP18</v>
          </cell>
          <cell r="C122">
            <v>11</v>
          </cell>
          <cell r="D122">
            <v>20</v>
          </cell>
          <cell r="E122">
            <v>58</v>
          </cell>
          <cell r="F122">
            <v>70</v>
          </cell>
          <cell r="G122">
            <v>0.48</v>
          </cell>
          <cell r="H122">
            <v>17</v>
          </cell>
          <cell r="I122">
            <v>538</v>
          </cell>
          <cell r="J122">
            <v>209</v>
          </cell>
          <cell r="M122">
            <v>0.29142857142857143</v>
          </cell>
          <cell r="N122">
            <v>3364</v>
          </cell>
          <cell r="O122">
            <v>22</v>
          </cell>
          <cell r="P122">
            <v>1.7555212290736026E-2</v>
          </cell>
          <cell r="R122">
            <v>24</v>
          </cell>
          <cell r="S122">
            <v>0.29714285714285715</v>
          </cell>
          <cell r="T122">
            <v>7.767294284640755E-2</v>
          </cell>
          <cell r="U122">
            <v>0.81104141443660493</v>
          </cell>
          <cell r="Y122">
            <v>2.7884615384615386E-2</v>
          </cell>
          <cell r="AA122">
            <v>24</v>
          </cell>
          <cell r="AB122">
            <v>0.29714285714285715</v>
          </cell>
          <cell r="AC122">
            <v>5.8653846153846154E-2</v>
          </cell>
          <cell r="AD122">
            <v>0.84567307692307703</v>
          </cell>
          <cell r="AI122" t="str">
            <v>LP20</v>
          </cell>
          <cell r="AJ122">
            <v>122</v>
          </cell>
          <cell r="AK122">
            <v>0.29714285714285715</v>
          </cell>
        </row>
        <row r="123">
          <cell r="B123" t="str">
            <v>LP19</v>
          </cell>
          <cell r="C123">
            <v>13</v>
          </cell>
          <cell r="D123">
            <v>15</v>
          </cell>
          <cell r="E123">
            <v>128</v>
          </cell>
          <cell r="F123">
            <v>82</v>
          </cell>
          <cell r="G123">
            <v>0.57999999999999996</v>
          </cell>
          <cell r="H123">
            <v>11</v>
          </cell>
          <cell r="I123">
            <v>371</v>
          </cell>
          <cell r="J123">
            <v>144</v>
          </cell>
          <cell r="M123">
            <v>0.22785714285714284</v>
          </cell>
          <cell r="N123">
            <v>16384</v>
          </cell>
          <cell r="O123">
            <v>15</v>
          </cell>
          <cell r="P123">
            <v>8.5500772345843939E-2</v>
          </cell>
          <cell r="R123">
            <v>25</v>
          </cell>
          <cell r="S123">
            <v>0.30178571428571432</v>
          </cell>
          <cell r="T123">
            <v>7.5355905314574371E-3</v>
          </cell>
          <cell r="U123">
            <v>0.8185770049680624</v>
          </cell>
          <cell r="Y123">
            <v>6.1538461538461542E-2</v>
          </cell>
          <cell r="AA123">
            <v>25</v>
          </cell>
          <cell r="AB123">
            <v>0.30178571428571432</v>
          </cell>
          <cell r="AC123">
            <v>1.826923076923077E-2</v>
          </cell>
          <cell r="AD123">
            <v>0.86394230769230784</v>
          </cell>
          <cell r="AI123" t="str">
            <v>LP21</v>
          </cell>
          <cell r="AJ123">
            <v>55</v>
          </cell>
          <cell r="AK123">
            <v>0.24607142857142858</v>
          </cell>
        </row>
        <row r="124">
          <cell r="B124" t="str">
            <v>LP20</v>
          </cell>
          <cell r="C124">
            <v>13</v>
          </cell>
          <cell r="D124">
            <v>15</v>
          </cell>
          <cell r="E124">
            <v>122</v>
          </cell>
          <cell r="F124">
            <v>84</v>
          </cell>
          <cell r="G124">
            <v>0.64</v>
          </cell>
          <cell r="H124">
            <v>13</v>
          </cell>
          <cell r="I124">
            <v>512</v>
          </cell>
          <cell r="J124">
            <v>199</v>
          </cell>
          <cell r="M124">
            <v>0.29714285714285715</v>
          </cell>
          <cell r="N124">
            <v>14884</v>
          </cell>
          <cell r="O124">
            <v>24</v>
          </cell>
          <cell r="P124">
            <v>7.767294284640755E-2</v>
          </cell>
          <cell r="R124">
            <v>26</v>
          </cell>
          <cell r="S124">
            <v>0.33428571428571424</v>
          </cell>
          <cell r="T124">
            <v>1.0567569824239134E-2</v>
          </cell>
          <cell r="U124">
            <v>0.82914457479230153</v>
          </cell>
          <cell r="Y124">
            <v>5.8653846153846154E-2</v>
          </cell>
          <cell r="AA124">
            <v>26</v>
          </cell>
          <cell r="AB124">
            <v>0.33428571428571424</v>
          </cell>
          <cell r="AC124">
            <v>2.1634615384615384E-2</v>
          </cell>
          <cell r="AD124">
            <v>0.88557692307692326</v>
          </cell>
          <cell r="AI124" t="str">
            <v>LP22</v>
          </cell>
          <cell r="AJ124">
            <v>61</v>
          </cell>
          <cell r="AK124">
            <v>0.185</v>
          </cell>
        </row>
        <row r="125">
          <cell r="B125" t="str">
            <v>LP21</v>
          </cell>
          <cell r="C125">
            <v>11</v>
          </cell>
          <cell r="D125">
            <v>30</v>
          </cell>
          <cell r="E125">
            <v>55</v>
          </cell>
          <cell r="F125">
            <v>81</v>
          </cell>
          <cell r="G125">
            <v>0.53</v>
          </cell>
          <cell r="H125">
            <v>13</v>
          </cell>
          <cell r="I125">
            <v>424</v>
          </cell>
          <cell r="J125">
            <v>164</v>
          </cell>
          <cell r="M125">
            <v>0.24607142857142858</v>
          </cell>
          <cell r="N125">
            <v>3025</v>
          </cell>
          <cell r="O125">
            <v>17</v>
          </cell>
          <cell r="P125">
            <v>1.5786122823863401E-2</v>
          </cell>
          <cell r="R125">
            <v>27</v>
          </cell>
          <cell r="S125">
            <v>0.43428571428571427</v>
          </cell>
          <cell r="T125">
            <v>0.14380244645764623</v>
          </cell>
          <cell r="U125">
            <v>0.97294702124994781</v>
          </cell>
          <cell r="Y125">
            <v>2.6442307692307692E-2</v>
          </cell>
          <cell r="AA125">
            <v>27</v>
          </cell>
          <cell r="AB125">
            <v>0.43428571428571427</v>
          </cell>
          <cell r="AC125">
            <v>7.9807692307692302E-2</v>
          </cell>
          <cell r="AD125">
            <v>0.96538461538461551</v>
          </cell>
          <cell r="AI125" t="str">
            <v>LP23</v>
          </cell>
          <cell r="AJ125">
            <v>41</v>
          </cell>
          <cell r="AK125">
            <v>0.09</v>
          </cell>
        </row>
        <row r="126">
          <cell r="B126" t="str">
            <v>LP22</v>
          </cell>
          <cell r="C126">
            <v>11</v>
          </cell>
          <cell r="D126">
            <v>20</v>
          </cell>
          <cell r="E126">
            <v>61</v>
          </cell>
          <cell r="F126">
            <v>87</v>
          </cell>
          <cell r="G126">
            <v>0.37</v>
          </cell>
          <cell r="H126">
            <v>14</v>
          </cell>
          <cell r="I126">
            <v>326</v>
          </cell>
          <cell r="J126">
            <v>126</v>
          </cell>
          <cell r="M126">
            <v>0.185</v>
          </cell>
          <cell r="N126">
            <v>3721</v>
          </cell>
          <cell r="O126">
            <v>9</v>
          </cell>
          <cell r="P126">
            <v>1.9418235711601887E-2</v>
          </cell>
          <cell r="R126">
            <v>28</v>
          </cell>
          <cell r="S126">
            <v>0.45535714285714285</v>
          </cell>
          <cell r="T126">
            <v>2.7052978750052185E-2</v>
          </cell>
          <cell r="U126">
            <v>1</v>
          </cell>
          <cell r="Y126">
            <v>2.9326923076923077E-2</v>
          </cell>
          <cell r="AA126">
            <v>28</v>
          </cell>
          <cell r="AB126">
            <v>0.45535714285714285</v>
          </cell>
          <cell r="AC126">
            <v>3.4615384615384617E-2</v>
          </cell>
          <cell r="AD126">
            <v>1.0000000000000002</v>
          </cell>
          <cell r="AI126" t="str">
            <v>LP24</v>
          </cell>
          <cell r="AJ126">
            <v>43</v>
          </cell>
          <cell r="AK126">
            <v>0.20571428571428571</v>
          </cell>
        </row>
        <row r="127">
          <cell r="B127" t="str">
            <v>LP23</v>
          </cell>
          <cell r="C127">
            <v>11</v>
          </cell>
          <cell r="D127">
            <v>20</v>
          </cell>
          <cell r="E127">
            <v>41</v>
          </cell>
          <cell r="F127">
            <v>93</v>
          </cell>
          <cell r="G127">
            <v>0.63</v>
          </cell>
          <cell r="H127">
            <v>4</v>
          </cell>
          <cell r="I127">
            <v>50</v>
          </cell>
          <cell r="J127">
            <v>20</v>
          </cell>
          <cell r="M127">
            <v>0.09</v>
          </cell>
          <cell r="N127">
            <v>1681</v>
          </cell>
          <cell r="O127">
            <v>3</v>
          </cell>
          <cell r="P127">
            <v>8.7723875923683883E-3</v>
          </cell>
          <cell r="Y127">
            <v>1.9711538461538461E-2</v>
          </cell>
          <cell r="AI127" t="str">
            <v>LP25</v>
          </cell>
          <cell r="AJ127">
            <v>109</v>
          </cell>
          <cell r="AK127">
            <v>0.28285714285714286</v>
          </cell>
        </row>
      </sheetData>
      <sheetData sheetId="25">
        <row r="63">
          <cell r="A63" t="str">
            <v>Kincaid, DC, "Evaluation of low pressure center pivots, stationary laterals, spray losses, and reservoir tillage," USDA-ARS.</v>
          </cell>
        </row>
        <row r="72">
          <cell r="S72" t="str">
            <v>loss reduction per foot of drop</v>
          </cell>
          <cell r="T72">
            <v>0.01</v>
          </cell>
        </row>
        <row r="73">
          <cell r="S73" t="str">
            <v># feet of drop required by measure</v>
          </cell>
          <cell r="T73">
            <v>3</v>
          </cell>
          <cell r="U73" t="str">
            <v>ft</v>
          </cell>
        </row>
        <row r="74">
          <cell r="T74">
            <v>0.03</v>
          </cell>
        </row>
        <row r="89">
          <cell r="A89" t="str">
            <v>King, BA et al, "Irrigation Uniformity," Bul 824, University of Idaho</v>
          </cell>
        </row>
        <row r="119">
          <cell r="L119" t="str">
            <v>surface water % wheel lines</v>
          </cell>
          <cell r="M119">
            <v>0.7</v>
          </cell>
        </row>
        <row r="120">
          <cell r="L120" t="str">
            <v>surface water % pivots</v>
          </cell>
          <cell r="M120">
            <v>0.65</v>
          </cell>
        </row>
        <row r="121">
          <cell r="L121" t="str">
            <v>lift for wells</v>
          </cell>
          <cell r="M121">
            <v>175</v>
          </cell>
        </row>
        <row r="122">
          <cell r="L122" t="str">
            <v>lift for surface water</v>
          </cell>
          <cell r="M122">
            <v>8</v>
          </cell>
        </row>
        <row r="123">
          <cell r="L123" t="str">
            <v>psi for wheel/handlines</v>
          </cell>
          <cell r="M123">
            <v>65</v>
          </cell>
        </row>
        <row r="124">
          <cell r="L124" t="str">
            <v>psi for pivots/linear move</v>
          </cell>
          <cell r="M124">
            <v>55</v>
          </cell>
        </row>
        <row r="125">
          <cell r="L125" t="str">
            <v>hours</v>
          </cell>
          <cell r="M125">
            <v>1600</v>
          </cell>
        </row>
      </sheetData>
      <sheetData sheetId="26">
        <row r="4">
          <cell r="A4" t="str">
            <v>Table 2. Summary statistics for set system leaks.</v>
          </cell>
        </row>
        <row r="5">
          <cell r="A5" t="str">
            <v>Type of
System</v>
          </cell>
          <cell r="B5" t="str">
            <v>Number of heads/drain valves tested</v>
          </cell>
          <cell r="C5" t="str">
            <v>Number of Leaks &gt; 0.1gpm and % of total tested</v>
          </cell>
          <cell r="F5" t="str">
            <v>Average per line</v>
          </cell>
        </row>
        <row r="6">
          <cell r="C6" t="str">
            <v>Sprinkler positioner, bearing or riser elbow</v>
          </cell>
          <cell r="D6" t="str">
            <v>Drain valve</v>
          </cell>
          <cell r="E6" t="str">
            <v>Gaskets</v>
          </cell>
          <cell r="F6" t="str">
            <v>Excess water applied,
%</v>
          </cell>
          <cell r="G6" t="str">
            <v>Excess annual
energy use, kWh/ac (assumes 2000h)</v>
          </cell>
        </row>
        <row r="7">
          <cell r="A7" t="str">
            <v>Standard wheel line</v>
          </cell>
          <cell r="B7">
            <v>504</v>
          </cell>
          <cell r="C7" t="str">
            <v>76 (15%)</v>
          </cell>
          <cell r="D7" t="str">
            <v>29 (5.7%)</v>
          </cell>
          <cell r="E7" t="str">
            <v>38 (7.5%)</v>
          </cell>
          <cell r="F7">
            <v>16.34</v>
          </cell>
          <cell r="G7">
            <v>203</v>
          </cell>
        </row>
        <row r="8">
          <cell r="A8" t="str">
            <v>Thunderbird®
wheel line</v>
          </cell>
          <cell r="B8">
            <v>346</v>
          </cell>
          <cell r="C8" t="str">
            <v>60 (17%)</v>
          </cell>
          <cell r="D8" t="str">
            <v>9 (2.6%)</v>
          </cell>
          <cell r="E8" t="str">
            <v>120 of 692 (17%)</v>
          </cell>
          <cell r="F8">
            <v>11.6</v>
          </cell>
          <cell r="G8">
            <v>144</v>
          </cell>
        </row>
        <row r="9">
          <cell r="A9" t="str">
            <v>Hand line</v>
          </cell>
          <cell r="B9">
            <v>72</v>
          </cell>
          <cell r="C9" t="str">
            <v>12 (17%)</v>
          </cell>
          <cell r="D9" t="str">
            <v>NA</v>
          </cell>
          <cell r="E9" t="str">
            <v>6 (8.3%)</v>
          </cell>
          <cell r="F9">
            <v>35.6</v>
          </cell>
          <cell r="G9">
            <v>381</v>
          </cell>
        </row>
        <row r="10">
          <cell r="A10" t="str">
            <v>Average</v>
          </cell>
          <cell r="F10">
            <v>21.18</v>
          </cell>
          <cell r="G10">
            <v>243</v>
          </cell>
        </row>
        <row r="13">
          <cell r="A13" t="str">
            <v>Table 3. Summary statistics for standard wheel line leaks.</v>
          </cell>
        </row>
        <row r="14">
          <cell r="A14" t="str">
            <v>System
ID#</v>
          </cell>
          <cell r="B14" t="str">
            <v>Years since maintenance</v>
          </cell>
          <cell r="C14" t="str">
            <v>#
heads</v>
          </cell>
          <cell r="D14" t="str">
            <v>#
leaks</v>
          </cell>
          <cell r="E14" t="str">
            <v>Total leaks, gpm</v>
          </cell>
          <cell r="F14" t="str">
            <v>% of system flow</v>
          </cell>
          <cell r="G14" t="str">
            <v>Extra annual kWh used per acre served
by line (assumes
2000h)</v>
          </cell>
        </row>
        <row r="15">
          <cell r="A15" t="str">
            <v>WL1</v>
          </cell>
          <cell r="C15">
            <v>33</v>
          </cell>
          <cell r="D15">
            <v>6</v>
          </cell>
          <cell r="E15">
            <v>12.3</v>
          </cell>
          <cell r="F15">
            <v>9.44</v>
          </cell>
          <cell r="G15">
            <v>112.46</v>
          </cell>
        </row>
        <row r="16">
          <cell r="A16" t="str">
            <v>WL2</v>
          </cell>
          <cell r="C16">
            <v>14</v>
          </cell>
          <cell r="D16">
            <v>13</v>
          </cell>
          <cell r="E16">
            <v>62</v>
          </cell>
          <cell r="F16">
            <v>103</v>
          </cell>
          <cell r="G16">
            <v>1336.16</v>
          </cell>
        </row>
        <row r="17">
          <cell r="A17" t="str">
            <v>WL3</v>
          </cell>
          <cell r="C17">
            <v>32</v>
          </cell>
          <cell r="D17">
            <v>3</v>
          </cell>
          <cell r="E17">
            <v>0.9</v>
          </cell>
          <cell r="F17">
            <v>0.74</v>
          </cell>
          <cell r="G17">
            <v>8.49</v>
          </cell>
        </row>
        <row r="18">
          <cell r="A18" t="str">
            <v>WL4</v>
          </cell>
          <cell r="C18">
            <v>37</v>
          </cell>
          <cell r="D18">
            <v>2</v>
          </cell>
          <cell r="E18">
            <v>9.4</v>
          </cell>
          <cell r="F18">
            <v>6.43</v>
          </cell>
          <cell r="G18">
            <v>76.650000000000006</v>
          </cell>
        </row>
        <row r="19">
          <cell r="A19" t="str">
            <v>WL5</v>
          </cell>
          <cell r="C19">
            <v>26</v>
          </cell>
          <cell r="D19">
            <v>11</v>
          </cell>
          <cell r="E19">
            <v>9.3000000000000007</v>
          </cell>
          <cell r="F19">
            <v>7.02</v>
          </cell>
          <cell r="G19">
            <v>107.92</v>
          </cell>
        </row>
        <row r="20">
          <cell r="A20" t="str">
            <v>WL6</v>
          </cell>
          <cell r="C20">
            <v>25</v>
          </cell>
          <cell r="D20">
            <v>10</v>
          </cell>
          <cell r="E20">
            <v>19.7</v>
          </cell>
          <cell r="F20">
            <v>15.55</v>
          </cell>
          <cell r="G20">
            <v>237.75</v>
          </cell>
        </row>
        <row r="21">
          <cell r="A21" t="str">
            <v>WL7</v>
          </cell>
          <cell r="B21" t="str">
            <v>Refurbished
2012</v>
          </cell>
          <cell r="C21">
            <v>28</v>
          </cell>
          <cell r="D21">
            <v>2</v>
          </cell>
          <cell r="E21">
            <v>3.4</v>
          </cell>
          <cell r="F21">
            <v>2.19</v>
          </cell>
          <cell r="G21">
            <v>36.64</v>
          </cell>
        </row>
        <row r="22">
          <cell r="A22" t="str">
            <v>WL8</v>
          </cell>
          <cell r="B22" t="str">
            <v>15-20</v>
          </cell>
          <cell r="C22">
            <v>33</v>
          </cell>
          <cell r="D22">
            <v>11</v>
          </cell>
          <cell r="E22">
            <v>28.3</v>
          </cell>
          <cell r="F22">
            <v>19.11</v>
          </cell>
          <cell r="G22">
            <v>258.74</v>
          </cell>
        </row>
        <row r="23">
          <cell r="A23" t="str">
            <v>WL9</v>
          </cell>
          <cell r="B23" t="str">
            <v>15-20</v>
          </cell>
          <cell r="C23">
            <v>32</v>
          </cell>
          <cell r="D23">
            <v>12</v>
          </cell>
          <cell r="E23">
            <v>6.3</v>
          </cell>
          <cell r="F23">
            <v>6.63</v>
          </cell>
          <cell r="G23">
            <v>59.4</v>
          </cell>
        </row>
        <row r="24">
          <cell r="A24" t="str">
            <v>WL10</v>
          </cell>
          <cell r="C24">
            <v>33</v>
          </cell>
          <cell r="D24">
            <v>4</v>
          </cell>
          <cell r="E24">
            <v>1.2</v>
          </cell>
          <cell r="F24">
            <v>0.92</v>
          </cell>
          <cell r="G24">
            <v>10.97</v>
          </cell>
        </row>
        <row r="25">
          <cell r="A25" t="str">
            <v>WL11</v>
          </cell>
          <cell r="B25" t="str">
            <v>As needed</v>
          </cell>
          <cell r="C25">
            <v>32</v>
          </cell>
          <cell r="D25">
            <v>5</v>
          </cell>
          <cell r="E25">
            <v>2.9</v>
          </cell>
          <cell r="F25">
            <v>2.17</v>
          </cell>
          <cell r="G25">
            <v>27.34</v>
          </cell>
        </row>
        <row r="26">
          <cell r="A26" t="str">
            <v>WL12</v>
          </cell>
          <cell r="B26" t="str">
            <v>As needed</v>
          </cell>
          <cell r="C26">
            <v>32</v>
          </cell>
          <cell r="D26">
            <v>10</v>
          </cell>
          <cell r="E26">
            <v>2.75</v>
          </cell>
          <cell r="F26">
            <v>2.29</v>
          </cell>
          <cell r="G26">
            <v>25.93</v>
          </cell>
        </row>
        <row r="27">
          <cell r="A27" t="str">
            <v>WL13</v>
          </cell>
          <cell r="B27" t="str">
            <v>20+</v>
          </cell>
          <cell r="C27">
            <v>48</v>
          </cell>
          <cell r="D27">
            <v>26</v>
          </cell>
          <cell r="E27">
            <v>9.5500000000000007</v>
          </cell>
          <cell r="F27">
            <v>5.41</v>
          </cell>
          <cell r="G27">
            <v>60.03</v>
          </cell>
        </row>
        <row r="28">
          <cell r="A28" t="str">
            <v>WL14</v>
          </cell>
          <cell r="B28" t="str">
            <v>20+</v>
          </cell>
          <cell r="C28">
            <v>34</v>
          </cell>
          <cell r="D28">
            <v>22</v>
          </cell>
          <cell r="E28">
            <v>50.8</v>
          </cell>
          <cell r="F28">
            <v>32.35</v>
          </cell>
          <cell r="G28">
            <v>450.8</v>
          </cell>
        </row>
        <row r="29">
          <cell r="A29" t="str">
            <v>WL15</v>
          </cell>
          <cell r="B29" t="str">
            <v>15-20</v>
          </cell>
          <cell r="C29">
            <v>33</v>
          </cell>
          <cell r="D29">
            <v>22</v>
          </cell>
          <cell r="E29">
            <v>46.45</v>
          </cell>
          <cell r="F29">
            <v>46.89</v>
          </cell>
          <cell r="G29">
            <v>424.69</v>
          </cell>
        </row>
        <row r="30">
          <cell r="A30" t="str">
            <v>WL16</v>
          </cell>
          <cell r="B30" t="str">
            <v>15-20</v>
          </cell>
          <cell r="C30">
            <v>32</v>
          </cell>
          <cell r="D30">
            <v>6</v>
          </cell>
          <cell r="E30">
            <v>1.7</v>
          </cell>
          <cell r="F30">
            <v>1.35</v>
          </cell>
          <cell r="G30">
            <v>16.03</v>
          </cell>
        </row>
        <row r="31">
          <cell r="A31" t="str">
            <v>Average</v>
          </cell>
          <cell r="D31">
            <v>10</v>
          </cell>
          <cell r="E31">
            <v>16.7</v>
          </cell>
          <cell r="F31">
            <v>16.34</v>
          </cell>
          <cell r="G31">
            <v>203.12</v>
          </cell>
        </row>
        <row r="32">
          <cell r="A32" t="str">
            <v>Count</v>
          </cell>
          <cell r="B32">
            <v>16</v>
          </cell>
        </row>
        <row r="34">
          <cell r="A34" t="str">
            <v>Table 4. Summary statistics for Thunderbird® wheel line leaks.</v>
          </cell>
        </row>
        <row r="35">
          <cell r="A35" t="str">
            <v>System
ID#</v>
          </cell>
          <cell r="B35" t="str">
            <v>Years since maintenance</v>
          </cell>
          <cell r="C35" t="str">
            <v>#
heads</v>
          </cell>
          <cell r="D35" t="str">
            <v>#
leaks</v>
          </cell>
          <cell r="E35" t="str">
            <v>Total leaks, gpm</v>
          </cell>
          <cell r="F35" t="str">
            <v>% of system flow</v>
          </cell>
          <cell r="G35" t="str">
            <v>Extra annual kWh used per acre served by line (assumes 2000h)</v>
          </cell>
        </row>
        <row r="36">
          <cell r="A36" t="str">
            <v>TB1</v>
          </cell>
          <cell r="C36">
            <v>32</v>
          </cell>
          <cell r="D36">
            <v>12</v>
          </cell>
          <cell r="E36">
            <v>2.8</v>
          </cell>
          <cell r="F36">
            <v>2.04</v>
          </cell>
          <cell r="G36">
            <v>26.4</v>
          </cell>
        </row>
        <row r="37">
          <cell r="A37" t="str">
            <v>TB2</v>
          </cell>
          <cell r="C37">
            <v>15</v>
          </cell>
          <cell r="D37">
            <v>20</v>
          </cell>
          <cell r="E37">
            <v>11.95</v>
          </cell>
          <cell r="F37">
            <v>19.079999999999998</v>
          </cell>
          <cell r="G37">
            <v>240.37</v>
          </cell>
        </row>
        <row r="38">
          <cell r="A38" t="str">
            <v>TB3</v>
          </cell>
          <cell r="B38" t="str">
            <v>Replace as needed</v>
          </cell>
          <cell r="C38">
            <v>30</v>
          </cell>
          <cell r="D38">
            <v>12</v>
          </cell>
          <cell r="E38">
            <v>2.85</v>
          </cell>
          <cell r="F38">
            <v>2.61</v>
          </cell>
          <cell r="G38">
            <v>28.66</v>
          </cell>
        </row>
        <row r="39">
          <cell r="A39" t="str">
            <v>TB4</v>
          </cell>
          <cell r="B39" t="str">
            <v>Replace as needed</v>
          </cell>
          <cell r="C39">
            <v>29</v>
          </cell>
          <cell r="D39">
            <v>18</v>
          </cell>
          <cell r="E39">
            <v>20.85</v>
          </cell>
          <cell r="F39">
            <v>16.239999999999998</v>
          </cell>
          <cell r="G39">
            <v>216.92</v>
          </cell>
        </row>
        <row r="40">
          <cell r="A40" t="str">
            <v>TB5</v>
          </cell>
          <cell r="B40">
            <v>5</v>
          </cell>
          <cell r="C40">
            <v>30</v>
          </cell>
          <cell r="D40">
            <v>16</v>
          </cell>
          <cell r="E40">
            <v>27.45</v>
          </cell>
          <cell r="F40">
            <v>22.05</v>
          </cell>
          <cell r="G40">
            <v>276.07</v>
          </cell>
        </row>
        <row r="41">
          <cell r="A41" t="str">
            <v>TB6</v>
          </cell>
          <cell r="B41">
            <v>5</v>
          </cell>
          <cell r="C41">
            <v>30</v>
          </cell>
          <cell r="D41">
            <v>6</v>
          </cell>
          <cell r="E41">
            <v>2.12</v>
          </cell>
          <cell r="F41">
            <v>1.67</v>
          </cell>
          <cell r="G41">
            <v>21.32</v>
          </cell>
        </row>
        <row r="42">
          <cell r="A42" t="str">
            <v>TB7</v>
          </cell>
          <cell r="C42">
            <v>32</v>
          </cell>
          <cell r="D42">
            <v>12</v>
          </cell>
          <cell r="E42">
            <v>4.9000000000000004</v>
          </cell>
          <cell r="F42">
            <v>3.46</v>
          </cell>
          <cell r="G42">
            <v>46.2</v>
          </cell>
        </row>
        <row r="43">
          <cell r="A43" t="str">
            <v>TB8</v>
          </cell>
          <cell r="B43">
            <v>5</v>
          </cell>
          <cell r="C43">
            <v>30</v>
          </cell>
          <cell r="D43">
            <v>12</v>
          </cell>
          <cell r="E43">
            <v>16.600000000000001</v>
          </cell>
          <cell r="F43">
            <v>12.73</v>
          </cell>
          <cell r="G43">
            <v>166.95</v>
          </cell>
        </row>
        <row r="44">
          <cell r="A44" t="str">
            <v>TB9</v>
          </cell>
          <cell r="B44">
            <v>2</v>
          </cell>
          <cell r="C44">
            <v>21</v>
          </cell>
          <cell r="D44">
            <v>23</v>
          </cell>
          <cell r="E44">
            <v>19.95</v>
          </cell>
          <cell r="F44">
            <v>22.21</v>
          </cell>
          <cell r="G44">
            <v>286.63</v>
          </cell>
        </row>
        <row r="45">
          <cell r="A45" t="str">
            <v>TB10</v>
          </cell>
          <cell r="B45">
            <v>2</v>
          </cell>
          <cell r="C45">
            <v>32</v>
          </cell>
          <cell r="D45">
            <v>31</v>
          </cell>
          <cell r="E45">
            <v>18.600000000000001</v>
          </cell>
          <cell r="F45">
            <v>16.05</v>
          </cell>
          <cell r="G45">
            <v>175.37</v>
          </cell>
        </row>
        <row r="46">
          <cell r="A46" t="str">
            <v>TB11</v>
          </cell>
          <cell r="B46">
            <v>2</v>
          </cell>
          <cell r="C46">
            <v>32</v>
          </cell>
          <cell r="D46">
            <v>19</v>
          </cell>
          <cell r="E46">
            <v>14.95</v>
          </cell>
          <cell r="F46">
            <v>12.28</v>
          </cell>
          <cell r="G46">
            <v>140.96</v>
          </cell>
        </row>
        <row r="47">
          <cell r="A47" t="str">
            <v>TB12</v>
          </cell>
          <cell r="B47">
            <v>2</v>
          </cell>
          <cell r="C47">
            <v>32</v>
          </cell>
          <cell r="D47">
            <v>25</v>
          </cell>
          <cell r="E47">
            <v>11.95</v>
          </cell>
          <cell r="F47">
            <v>8.99</v>
          </cell>
          <cell r="G47">
            <v>112.67</v>
          </cell>
        </row>
        <row r="48">
          <cell r="A48" t="str">
            <v>Average</v>
          </cell>
          <cell r="D48">
            <v>17</v>
          </cell>
          <cell r="E48">
            <v>12.9</v>
          </cell>
          <cell r="F48">
            <v>11.6</v>
          </cell>
          <cell r="G48">
            <v>144.88</v>
          </cell>
        </row>
        <row r="49">
          <cell r="A49" t="str">
            <v>Count</v>
          </cell>
          <cell r="B49">
            <v>12</v>
          </cell>
        </row>
        <row r="51">
          <cell r="A51" t="str">
            <v>Table 5. Summary statistics for hand line leaks.</v>
          </cell>
        </row>
        <row r="52">
          <cell r="A52" t="str">
            <v>System
ID#</v>
          </cell>
          <cell r="B52" t="str">
            <v>Years since maintenance</v>
          </cell>
          <cell r="C52" t="str">
            <v>#
heads</v>
          </cell>
          <cell r="D52" t="str">
            <v>#
leaks</v>
          </cell>
          <cell r="E52" t="str">
            <v>Total leaks, gpm</v>
          </cell>
          <cell r="F52" t="str">
            <v>% of system flow</v>
          </cell>
          <cell r="G52" t="str">
            <v>Extra annual kWh used per acre served
by line (assumes 2000h)</v>
          </cell>
        </row>
        <row r="53">
          <cell r="A53" t="str">
            <v>Line 1</v>
          </cell>
          <cell r="C53">
            <v>33</v>
          </cell>
          <cell r="D53">
            <v>9</v>
          </cell>
          <cell r="E53">
            <v>41.3</v>
          </cell>
          <cell r="F53">
            <v>34.4</v>
          </cell>
          <cell r="G53">
            <v>377.6</v>
          </cell>
        </row>
        <row r="54">
          <cell r="A54" t="str">
            <v>Line 2</v>
          </cell>
          <cell r="C54">
            <v>6</v>
          </cell>
          <cell r="D54">
            <v>8</v>
          </cell>
          <cell r="E54">
            <v>18.3</v>
          </cell>
          <cell r="F54">
            <v>84.7</v>
          </cell>
          <cell r="G54">
            <v>920.23</v>
          </cell>
        </row>
        <row r="55">
          <cell r="A55" t="str">
            <v>Line 3</v>
          </cell>
          <cell r="C55">
            <v>6</v>
          </cell>
          <cell r="D55">
            <v>2</v>
          </cell>
          <cell r="E55">
            <v>10</v>
          </cell>
          <cell r="F55">
            <v>50.5</v>
          </cell>
          <cell r="G55">
            <v>502.86</v>
          </cell>
        </row>
        <row r="56">
          <cell r="A56" t="str">
            <v>Line 4</v>
          </cell>
          <cell r="C56">
            <v>16</v>
          </cell>
          <cell r="D56">
            <v>3</v>
          </cell>
          <cell r="E56">
            <v>1.9</v>
          </cell>
          <cell r="F56">
            <v>3.6</v>
          </cell>
          <cell r="G56">
            <v>35.83</v>
          </cell>
        </row>
        <row r="57">
          <cell r="A57" t="str">
            <v>Line 5</v>
          </cell>
          <cell r="C57">
            <v>9</v>
          </cell>
          <cell r="D57">
            <v>2</v>
          </cell>
          <cell r="E57">
            <v>2.1</v>
          </cell>
          <cell r="F57">
            <v>4.7</v>
          </cell>
          <cell r="G57">
            <v>70.400000000000006</v>
          </cell>
        </row>
        <row r="58">
          <cell r="A58" t="str">
            <v>Average</v>
          </cell>
          <cell r="D58">
            <v>4.8</v>
          </cell>
          <cell r="E58">
            <v>14.7</v>
          </cell>
          <cell r="F58">
            <v>35.6</v>
          </cell>
          <cell r="G58">
            <v>381.38</v>
          </cell>
        </row>
        <row r="59">
          <cell r="A59" t="str">
            <v>Count</v>
          </cell>
          <cell r="B59">
            <v>5</v>
          </cell>
        </row>
        <row r="61">
          <cell r="A61" t="str">
            <v>Table 6. Summary table for types of Standard wheel line leaks.</v>
          </cell>
        </row>
        <row r="62">
          <cell r="A62" t="str">
            <v>Leak type</v>
          </cell>
          <cell r="B62" t="str">
            <v>Number</v>
          </cell>
          <cell r="C62" t="str">
            <v>Maximum gpm</v>
          </cell>
          <cell r="D62" t="str">
            <v>Minimum gpm</v>
          </cell>
          <cell r="E62" t="str">
            <v>Average gpm</v>
          </cell>
          <cell r="F62" t="str">
            <v>Standard deviation, gpm</v>
          </cell>
        </row>
        <row r="63">
          <cell r="A63" t="str">
            <v>Drain valve</v>
          </cell>
          <cell r="B63">
            <v>29</v>
          </cell>
          <cell r="C63">
            <v>18</v>
          </cell>
          <cell r="D63">
            <v>0.2</v>
          </cell>
          <cell r="E63">
            <v>3.26</v>
          </cell>
          <cell r="F63">
            <v>4.7</v>
          </cell>
        </row>
        <row r="64">
          <cell r="A64" t="str">
            <v>Gasket</v>
          </cell>
          <cell r="B64">
            <v>37</v>
          </cell>
          <cell r="C64">
            <v>10</v>
          </cell>
          <cell r="D64">
            <v>0.1</v>
          </cell>
          <cell r="E64">
            <v>1.79</v>
          </cell>
          <cell r="F64">
            <v>2.4700000000000002</v>
          </cell>
        </row>
        <row r="65">
          <cell r="A65" t="str">
            <v>Gear flange</v>
          </cell>
          <cell r="B65">
            <v>2</v>
          </cell>
          <cell r="C65">
            <v>7</v>
          </cell>
          <cell r="D65">
            <v>0.2</v>
          </cell>
          <cell r="E65">
            <v>3.6</v>
          </cell>
        </row>
        <row r="66">
          <cell r="A66" t="str">
            <v>Sprinkler bearing</v>
          </cell>
          <cell r="B66">
            <v>27</v>
          </cell>
          <cell r="C66">
            <v>1.6</v>
          </cell>
          <cell r="D66">
            <v>0.1</v>
          </cell>
          <cell r="E66">
            <v>0.46</v>
          </cell>
          <cell r="F66">
            <v>0.43</v>
          </cell>
        </row>
        <row r="67">
          <cell r="A67" t="str">
            <v>Nelson rotator</v>
          </cell>
          <cell r="B67">
            <v>3</v>
          </cell>
          <cell r="C67">
            <v>0.4</v>
          </cell>
          <cell r="D67">
            <v>0.2</v>
          </cell>
          <cell r="E67">
            <v>0.3</v>
          </cell>
          <cell r="F67">
            <v>0.1</v>
          </cell>
        </row>
        <row r="68">
          <cell r="A68" t="str">
            <v>Puncture</v>
          </cell>
          <cell r="B68">
            <v>9</v>
          </cell>
          <cell r="C68">
            <v>14.4</v>
          </cell>
          <cell r="D68">
            <v>0.1</v>
          </cell>
          <cell r="E68">
            <v>3.24</v>
          </cell>
          <cell r="F68">
            <v>4.3</v>
          </cell>
        </row>
        <row r="69">
          <cell r="A69" t="str">
            <v>Split weld</v>
          </cell>
        </row>
        <row r="70">
          <cell r="A70" t="str">
            <v>Split pipe</v>
          </cell>
          <cell r="B70">
            <v>11</v>
          </cell>
          <cell r="C70">
            <v>0.7</v>
          </cell>
          <cell r="D70">
            <v>0.1</v>
          </cell>
          <cell r="E70">
            <v>0.33</v>
          </cell>
          <cell r="F70">
            <v>0.21</v>
          </cell>
        </row>
        <row r="71">
          <cell r="A71" t="str">
            <v>Riser leak</v>
          </cell>
          <cell r="B71">
            <v>1</v>
          </cell>
          <cell r="E71">
            <v>3.9</v>
          </cell>
        </row>
        <row r="72">
          <cell r="A72" t="str">
            <v>Hose</v>
          </cell>
          <cell r="B72">
            <v>2</v>
          </cell>
          <cell r="C72">
            <v>2.4</v>
          </cell>
          <cell r="D72">
            <v>0.5</v>
          </cell>
          <cell r="E72">
            <v>1.5</v>
          </cell>
        </row>
        <row r="73">
          <cell r="A73" t="str">
            <v>Sprinkler positioner</v>
          </cell>
          <cell r="B73">
            <v>37</v>
          </cell>
          <cell r="C73">
            <v>25</v>
          </cell>
          <cell r="D73">
            <v>0.1</v>
          </cell>
          <cell r="E73">
            <v>0.92</v>
          </cell>
          <cell r="F73">
            <v>4.08</v>
          </cell>
        </row>
        <row r="74">
          <cell r="A74" t="str">
            <v>Riser elbow</v>
          </cell>
          <cell r="B74">
            <v>1</v>
          </cell>
          <cell r="E74">
            <v>4</v>
          </cell>
        </row>
        <row r="77">
          <cell r="A77" t="str">
            <v>Table 7. Summary table for types of Thunderbird® wheel line leaks.</v>
          </cell>
        </row>
        <row r="78">
          <cell r="A78" t="str">
            <v>Leak type</v>
          </cell>
          <cell r="B78" t="str">
            <v>Number</v>
          </cell>
          <cell r="C78" t="str">
            <v>Maximum gpm</v>
          </cell>
          <cell r="D78" t="str">
            <v>Minimum gpm</v>
          </cell>
          <cell r="E78" t="str">
            <v>Average gpm</v>
          </cell>
          <cell r="F78" t="str">
            <v>Standard deviation, gpm</v>
          </cell>
        </row>
        <row r="79">
          <cell r="A79" t="str">
            <v>Drain valve</v>
          </cell>
          <cell r="B79">
            <v>9</v>
          </cell>
          <cell r="C79">
            <v>0.7</v>
          </cell>
          <cell r="D79">
            <v>0.1</v>
          </cell>
          <cell r="E79">
            <v>0.37</v>
          </cell>
          <cell r="F79">
            <v>0.23</v>
          </cell>
        </row>
        <row r="80">
          <cell r="A80" t="str">
            <v>Gasket</v>
          </cell>
          <cell r="B80">
            <v>121</v>
          </cell>
          <cell r="C80">
            <v>11.6</v>
          </cell>
          <cell r="D80">
            <v>0.1</v>
          </cell>
          <cell r="E80">
            <v>1.07</v>
          </cell>
          <cell r="F80">
            <v>1.5</v>
          </cell>
        </row>
        <row r="81">
          <cell r="A81" t="str">
            <v>Gear flange</v>
          </cell>
          <cell r="B81">
            <v>1</v>
          </cell>
          <cell r="E81">
            <v>0.7</v>
          </cell>
        </row>
        <row r="82">
          <cell r="A82" t="str">
            <v>Sprinkler bearing</v>
          </cell>
          <cell r="B82">
            <v>19</v>
          </cell>
          <cell r="C82">
            <v>2.2999999999999998</v>
          </cell>
          <cell r="D82">
            <v>0.1</v>
          </cell>
          <cell r="E82">
            <v>0.37</v>
          </cell>
          <cell r="F82">
            <v>0.51</v>
          </cell>
        </row>
        <row r="83">
          <cell r="A83" t="str">
            <v>Nelson rotator</v>
          </cell>
          <cell r="B83">
            <v>0</v>
          </cell>
          <cell r="C83">
            <v>0</v>
          </cell>
          <cell r="D83">
            <v>0</v>
          </cell>
          <cell r="E83">
            <v>0</v>
          </cell>
          <cell r="F83">
            <v>0</v>
          </cell>
        </row>
        <row r="84">
          <cell r="A84" t="str">
            <v>Puncture</v>
          </cell>
          <cell r="B84">
            <v>1</v>
          </cell>
          <cell r="E84">
            <v>0.4</v>
          </cell>
        </row>
        <row r="85">
          <cell r="A85" t="str">
            <v>Split weld</v>
          </cell>
        </row>
        <row r="86">
          <cell r="A86" t="str">
            <v>Split pipe</v>
          </cell>
          <cell r="B86">
            <v>7</v>
          </cell>
          <cell r="C86">
            <v>0.7</v>
          </cell>
          <cell r="D86">
            <v>0.1</v>
          </cell>
          <cell r="E86">
            <v>0.35</v>
          </cell>
          <cell r="F86">
            <v>0.2</v>
          </cell>
        </row>
        <row r="87">
          <cell r="A87" t="str">
            <v>Riser leak</v>
          </cell>
          <cell r="B87">
            <v>0</v>
          </cell>
          <cell r="C87">
            <v>0</v>
          </cell>
          <cell r="D87">
            <v>0</v>
          </cell>
          <cell r="E87">
            <v>0</v>
          </cell>
          <cell r="F87">
            <v>0</v>
          </cell>
        </row>
        <row r="88">
          <cell r="A88" t="str">
            <v>Hose</v>
          </cell>
          <cell r="B88">
            <v>0</v>
          </cell>
          <cell r="C88">
            <v>0</v>
          </cell>
          <cell r="D88">
            <v>0</v>
          </cell>
          <cell r="E88">
            <v>0</v>
          </cell>
          <cell r="F88">
            <v>0</v>
          </cell>
        </row>
        <row r="89">
          <cell r="A89" t="str">
            <v>Sprinkler positioner</v>
          </cell>
          <cell r="B89">
            <v>36</v>
          </cell>
          <cell r="C89">
            <v>0.7</v>
          </cell>
          <cell r="D89">
            <v>0.1</v>
          </cell>
          <cell r="E89">
            <v>0.21</v>
          </cell>
          <cell r="F89">
            <v>0.16</v>
          </cell>
        </row>
        <row r="92">
          <cell r="A92" t="str">
            <v>Table 8. Summary table for types of hand line leaks.</v>
          </cell>
        </row>
        <row r="93">
          <cell r="A93" t="str">
            <v>Leak type</v>
          </cell>
          <cell r="B93" t="str">
            <v>Number</v>
          </cell>
          <cell r="C93" t="str">
            <v>Maximum gpm</v>
          </cell>
          <cell r="D93" t="str">
            <v>Minimum gpm</v>
          </cell>
          <cell r="E93" t="str">
            <v>Average gpm</v>
          </cell>
          <cell r="F93" t="str">
            <v>Standard deviation, gpm</v>
          </cell>
        </row>
        <row r="94">
          <cell r="A94" t="str">
            <v>Drain valve</v>
          </cell>
          <cell r="B94" t="str">
            <v>NA</v>
          </cell>
          <cell r="C94" t="str">
            <v>NA</v>
          </cell>
          <cell r="D94" t="str">
            <v>NA</v>
          </cell>
          <cell r="E94" t="str">
            <v>NA</v>
          </cell>
          <cell r="F94" t="str">
            <v>NA</v>
          </cell>
        </row>
        <row r="95">
          <cell r="A95" t="str">
            <v>Gasket</v>
          </cell>
          <cell r="B95">
            <v>6</v>
          </cell>
          <cell r="C95">
            <v>21</v>
          </cell>
          <cell r="D95">
            <v>0.2</v>
          </cell>
          <cell r="E95">
            <v>5.8</v>
          </cell>
          <cell r="F95">
            <v>8</v>
          </cell>
        </row>
        <row r="96">
          <cell r="A96" t="str">
            <v>Gear flange</v>
          </cell>
          <cell r="B96" t="str">
            <v>NA</v>
          </cell>
          <cell r="C96" t="str">
            <v>NA</v>
          </cell>
          <cell r="D96" t="str">
            <v>NA</v>
          </cell>
          <cell r="E96" t="str">
            <v>NA</v>
          </cell>
          <cell r="F96" t="str">
            <v>NA</v>
          </cell>
        </row>
        <row r="97">
          <cell r="A97" t="str">
            <v>Sprinkler bearing</v>
          </cell>
          <cell r="B97">
            <v>0</v>
          </cell>
          <cell r="C97">
            <v>0</v>
          </cell>
          <cell r="D97">
            <v>0</v>
          </cell>
          <cell r="E97">
            <v>0</v>
          </cell>
          <cell r="F97">
            <v>0</v>
          </cell>
        </row>
        <row r="98">
          <cell r="A98" t="str">
            <v>Nelson rotator</v>
          </cell>
          <cell r="B98">
            <v>0</v>
          </cell>
          <cell r="C98">
            <v>0</v>
          </cell>
          <cell r="D98">
            <v>0</v>
          </cell>
          <cell r="E98">
            <v>0</v>
          </cell>
          <cell r="F98">
            <v>0</v>
          </cell>
        </row>
        <row r="99">
          <cell r="A99" t="str">
            <v>Puncture</v>
          </cell>
          <cell r="B99">
            <v>4</v>
          </cell>
          <cell r="C99">
            <v>2</v>
          </cell>
          <cell r="D99">
            <v>0.8</v>
          </cell>
          <cell r="E99">
            <v>1.45</v>
          </cell>
          <cell r="F99">
            <v>0.64</v>
          </cell>
        </row>
        <row r="100">
          <cell r="A100" t="str">
            <v>Split weld</v>
          </cell>
          <cell r="B100">
            <v>0</v>
          </cell>
          <cell r="C100">
            <v>0</v>
          </cell>
          <cell r="D100">
            <v>0</v>
          </cell>
          <cell r="E100">
            <v>0</v>
          </cell>
          <cell r="F100">
            <v>0</v>
          </cell>
        </row>
        <row r="101">
          <cell r="A101" t="str">
            <v>Split pipe</v>
          </cell>
          <cell r="B101">
            <v>2</v>
          </cell>
          <cell r="C101">
            <v>0.5</v>
          </cell>
          <cell r="D101">
            <v>0.1</v>
          </cell>
          <cell r="E101">
            <v>0.3</v>
          </cell>
        </row>
        <row r="102">
          <cell r="A102" t="str">
            <v>Riser leak</v>
          </cell>
          <cell r="B102">
            <v>4</v>
          </cell>
          <cell r="C102">
            <v>6.4</v>
          </cell>
          <cell r="D102">
            <v>0.55000000000000004</v>
          </cell>
          <cell r="E102">
            <v>2.94</v>
          </cell>
          <cell r="F102">
            <v>2.65</v>
          </cell>
        </row>
        <row r="103">
          <cell r="A103" t="str">
            <v>Hose</v>
          </cell>
        </row>
        <row r="104">
          <cell r="A104" t="str">
            <v>Sprinkler positioner</v>
          </cell>
          <cell r="B104" t="str">
            <v>NA</v>
          </cell>
          <cell r="C104" t="str">
            <v>NA</v>
          </cell>
          <cell r="D104" t="str">
            <v>NA</v>
          </cell>
          <cell r="E104" t="str">
            <v>NA</v>
          </cell>
          <cell r="F104" t="str">
            <v>NA</v>
          </cell>
        </row>
        <row r="105">
          <cell r="A105" t="str">
            <v>Riser saddle</v>
          </cell>
          <cell r="B105">
            <v>3</v>
          </cell>
          <cell r="C105">
            <v>6</v>
          </cell>
          <cell r="D105">
            <v>0.2</v>
          </cell>
          <cell r="E105">
            <v>3.2</v>
          </cell>
        </row>
        <row r="108">
          <cell r="A108" t="str">
            <v>Table 9. Summary statistics for center pivot system leaks.</v>
          </cell>
        </row>
        <row r="109">
          <cell r="A109" t="str">
            <v>System
ID#</v>
          </cell>
          <cell r="B109" t="str">
            <v>System age, years</v>
          </cell>
          <cell r="C109" t="str">
            <v>Years since maintenance</v>
          </cell>
          <cell r="D109" t="str">
            <v>Total leaks</v>
          </cell>
          <cell r="E109" t="str">
            <v>Number and type of leaks</v>
          </cell>
          <cell r="F109" t="str">
            <v>Total leaks for type, gpm</v>
          </cell>
          <cell r="G109" t="str">
            <v>Total system leaks, gpm</v>
          </cell>
          <cell r="H109" t="str">
            <v>Excess water applied,
%</v>
          </cell>
          <cell r="I109" t="str">
            <v>Excess annual
energy
use, kWh/ac (assumes
2000h)</v>
          </cell>
        </row>
        <row r="110">
          <cell r="A110" t="str">
            <v>HP1</v>
          </cell>
          <cell r="B110" t="str">
            <v>20+</v>
          </cell>
          <cell r="C110" t="str">
            <v>20+</v>
          </cell>
          <cell r="D110">
            <v>0</v>
          </cell>
          <cell r="H110">
            <v>0</v>
          </cell>
          <cell r="I110">
            <v>0</v>
          </cell>
        </row>
        <row r="111">
          <cell r="A111" t="str">
            <v>HP2</v>
          </cell>
          <cell r="B111" t="str">
            <v>20+</v>
          </cell>
          <cell r="C111" t="str">
            <v>20+</v>
          </cell>
          <cell r="D111">
            <v>3</v>
          </cell>
          <cell r="E111" t="str">
            <v>3 Tower boot</v>
          </cell>
          <cell r="F111">
            <v>1.75</v>
          </cell>
          <cell r="G111">
            <v>1.75</v>
          </cell>
          <cell r="H111">
            <v>1.44</v>
          </cell>
          <cell r="I111">
            <v>11.2</v>
          </cell>
        </row>
        <row r="112">
          <cell r="A112" t="str">
            <v>HP3</v>
          </cell>
          <cell r="B112" t="str">
            <v>20+</v>
          </cell>
          <cell r="C112" t="str">
            <v>20+</v>
          </cell>
          <cell r="D112">
            <v>8</v>
          </cell>
          <cell r="E112" t="str">
            <v>8 sprinkler bearing</v>
          </cell>
          <cell r="F112">
            <v>4.0999999999999996</v>
          </cell>
          <cell r="G112">
            <v>4.0999999999999996</v>
          </cell>
          <cell r="H112">
            <v>3.38</v>
          </cell>
          <cell r="I112">
            <v>26.24</v>
          </cell>
        </row>
        <row r="113">
          <cell r="A113" t="str">
            <v>HP4</v>
          </cell>
          <cell r="B113">
            <v>20</v>
          </cell>
          <cell r="C113">
            <v>20</v>
          </cell>
          <cell r="D113">
            <v>0</v>
          </cell>
          <cell r="H113">
            <v>0</v>
          </cell>
        </row>
        <row r="114">
          <cell r="A114" t="str">
            <v>Avg.</v>
          </cell>
          <cell r="H114">
            <v>2.41</v>
          </cell>
          <cell r="I114">
            <v>18.72</v>
          </cell>
        </row>
        <row r="115">
          <cell r="A115" t="str">
            <v>LP1</v>
          </cell>
          <cell r="B115">
            <v>5</v>
          </cell>
          <cell r="C115">
            <v>5</v>
          </cell>
          <cell r="D115">
            <v>0</v>
          </cell>
          <cell r="H115">
            <v>0</v>
          </cell>
        </row>
        <row r="116">
          <cell r="A116" t="str">
            <v>LP2</v>
          </cell>
          <cell r="B116">
            <v>3</v>
          </cell>
          <cell r="C116">
            <v>3</v>
          </cell>
          <cell r="D116">
            <v>0</v>
          </cell>
          <cell r="H116">
            <v>0</v>
          </cell>
        </row>
        <row r="117">
          <cell r="A117" t="str">
            <v>LP3</v>
          </cell>
          <cell r="B117" t="str">
            <v>20+</v>
          </cell>
          <cell r="C117" t="str">
            <v>20+</v>
          </cell>
          <cell r="D117">
            <v>5</v>
          </cell>
          <cell r="E117" t="str">
            <v>2 Tower boot</v>
          </cell>
          <cell r="F117">
            <v>1.8</v>
          </cell>
          <cell r="G117">
            <v>9.35</v>
          </cell>
          <cell r="H117">
            <v>1.53</v>
          </cell>
          <cell r="I117">
            <v>11.87</v>
          </cell>
        </row>
        <row r="118">
          <cell r="E118" t="str">
            <v>2 Drain valve</v>
          </cell>
          <cell r="F118">
            <v>0.55000000000000004</v>
          </cell>
        </row>
        <row r="119">
          <cell r="E119" t="str">
            <v>1 missing nozzle</v>
          </cell>
          <cell r="F119">
            <v>7</v>
          </cell>
        </row>
        <row r="120">
          <cell r="A120" t="str">
            <v>LP4</v>
          </cell>
          <cell r="B120">
            <v>15</v>
          </cell>
          <cell r="C120" t="str">
            <v>4-6</v>
          </cell>
          <cell r="D120">
            <v>1</v>
          </cell>
          <cell r="E120" t="str">
            <v>Booster pump</v>
          </cell>
          <cell r="F120">
            <v>8.1</v>
          </cell>
          <cell r="G120">
            <v>8.1</v>
          </cell>
          <cell r="H120">
            <v>4.7699999999999996</v>
          </cell>
          <cell r="I120">
            <v>37</v>
          </cell>
        </row>
        <row r="121">
          <cell r="A121" t="str">
            <v>LP5</v>
          </cell>
          <cell r="B121" t="str">
            <v>30-35</v>
          </cell>
          <cell r="C121" t="str">
            <v>4-6</v>
          </cell>
          <cell r="D121">
            <v>5</v>
          </cell>
          <cell r="E121" t="str">
            <v>3 Tower boot</v>
          </cell>
          <cell r="F121">
            <v>1.55</v>
          </cell>
          <cell r="G121">
            <v>4.95</v>
          </cell>
          <cell r="H121">
            <v>2.5499999999999998</v>
          </cell>
          <cell r="I121">
            <v>19.79</v>
          </cell>
        </row>
        <row r="122">
          <cell r="E122" t="str">
            <v>2 Drain valve</v>
          </cell>
          <cell r="F122">
            <v>3.4</v>
          </cell>
        </row>
        <row r="123">
          <cell r="A123" t="str">
            <v>LP6</v>
          </cell>
          <cell r="B123">
            <v>15</v>
          </cell>
          <cell r="C123" t="str">
            <v>4-6</v>
          </cell>
          <cell r="D123">
            <v>0</v>
          </cell>
          <cell r="H123">
            <v>0</v>
          </cell>
          <cell r="I123">
            <v>0</v>
          </cell>
        </row>
        <row r="124">
          <cell r="A124" t="str">
            <v>LP7</v>
          </cell>
          <cell r="B124" t="str">
            <v>16-20</v>
          </cell>
          <cell r="C124" t="str">
            <v>4-6</v>
          </cell>
          <cell r="D124">
            <v>3</v>
          </cell>
          <cell r="E124" t="str">
            <v>2 Drain valve</v>
          </cell>
          <cell r="F124">
            <v>0.5</v>
          </cell>
          <cell r="G124">
            <v>0.6</v>
          </cell>
          <cell r="H124">
            <v>0.22</v>
          </cell>
          <cell r="I124">
            <v>1.73</v>
          </cell>
        </row>
        <row r="125">
          <cell r="E125" t="str">
            <v>1 Tower boot</v>
          </cell>
          <cell r="F125">
            <v>0.1</v>
          </cell>
        </row>
        <row r="126">
          <cell r="A126" t="str">
            <v>LP8</v>
          </cell>
          <cell r="B126">
            <v>40</v>
          </cell>
          <cell r="C126" t="str">
            <v>4-6</v>
          </cell>
          <cell r="D126">
            <v>3</v>
          </cell>
          <cell r="E126" t="str">
            <v>1 Pivot boot</v>
          </cell>
          <cell r="F126">
            <v>0.5</v>
          </cell>
          <cell r="G126">
            <v>1</v>
          </cell>
          <cell r="H126">
            <v>1.37</v>
          </cell>
          <cell r="I126">
            <v>10.64</v>
          </cell>
        </row>
        <row r="127">
          <cell r="E127" t="str">
            <v>2 pipe leaks</v>
          </cell>
          <cell r="F127">
            <v>0.5</v>
          </cell>
        </row>
      </sheetData>
      <sheetData sheetId="27">
        <row r="4">
          <cell r="A4" t="str">
            <v>Pump Type</v>
          </cell>
          <cell r="B4" t="str">
            <v>Motor Rated HP</v>
          </cell>
          <cell r="C4" t="str">
            <v>Rated RPM</v>
          </cell>
          <cell r="D4" t="str">
            <v>Motor Type</v>
          </cell>
          <cell r="E4" t="str">
            <v>Measured Volts</v>
          </cell>
          <cell r="F4" t="str">
            <v>Measured Amps</v>
          </cell>
          <cell r="G4" t="str">
            <v>Measured kW</v>
          </cell>
          <cell r="H4" t="str">
            <v>Overall Plant Efficiency</v>
          </cell>
          <cell r="I4" t="str">
            <v>Average Operating Hours</v>
          </cell>
          <cell r="J4" t="str">
            <v>Percent Loaded</v>
          </cell>
          <cell r="K4" t="str">
            <v>Engineer</v>
          </cell>
          <cell r="L4" t="str">
            <v>Associated File</v>
          </cell>
          <cell r="M4" t="str">
            <v>Individualizer</v>
          </cell>
        </row>
        <row r="5">
          <cell r="A5" t="str">
            <v>Turbine-Sub</v>
          </cell>
          <cell r="B5">
            <v>250</v>
          </cell>
          <cell r="C5">
            <v>1770</v>
          </cell>
          <cell r="D5" t="str">
            <v>Submersible</v>
          </cell>
          <cell r="E5">
            <v>479.3</v>
          </cell>
          <cell r="F5">
            <v>325</v>
          </cell>
          <cell r="G5">
            <v>228.7</v>
          </cell>
          <cell r="H5">
            <v>69.400000000000006</v>
          </cell>
          <cell r="I5">
            <v>1993</v>
          </cell>
          <cell r="J5">
            <v>1.2262734584450401</v>
          </cell>
          <cell r="K5" t="str">
            <v>Tom Osborn</v>
          </cell>
          <cell r="L5" t="str">
            <v>Linwood Farms Well#1 BB09-101.pdf</v>
          </cell>
        </row>
        <row r="6">
          <cell r="A6" t="str">
            <v>Turbine-Sub</v>
          </cell>
          <cell r="B6">
            <v>150</v>
          </cell>
          <cell r="C6">
            <v>1780</v>
          </cell>
          <cell r="D6" t="str">
            <v>Submersible</v>
          </cell>
          <cell r="E6">
            <v>480</v>
          </cell>
          <cell r="F6">
            <v>143</v>
          </cell>
          <cell r="G6">
            <v>101.7</v>
          </cell>
          <cell r="H6">
            <v>53.8</v>
          </cell>
          <cell r="I6">
            <v>2374</v>
          </cell>
          <cell r="J6">
            <v>0.90884718498659511</v>
          </cell>
          <cell r="K6" t="str">
            <v>Tom Osborn</v>
          </cell>
          <cell r="L6" t="str">
            <v>BB711231Underwood WellA.pdf</v>
          </cell>
        </row>
        <row r="7">
          <cell r="A7" t="str">
            <v>Centrifugal</v>
          </cell>
          <cell r="B7">
            <v>100</v>
          </cell>
          <cell r="C7">
            <v>1770</v>
          </cell>
          <cell r="D7" t="str">
            <v>ODP</v>
          </cell>
          <cell r="E7">
            <v>497</v>
          </cell>
          <cell r="F7">
            <v>54.9</v>
          </cell>
          <cell r="G7">
            <v>46.7</v>
          </cell>
          <cell r="H7">
            <v>59.8</v>
          </cell>
          <cell r="I7">
            <v>3332</v>
          </cell>
          <cell r="J7">
            <v>0.62600536193029499</v>
          </cell>
          <cell r="K7" t="str">
            <v>Tom Osborn</v>
          </cell>
          <cell r="L7" t="str">
            <v>Sunnyside Port of 2008.pdf</v>
          </cell>
        </row>
        <row r="8">
          <cell r="A8" t="str">
            <v>Turbine-Sub</v>
          </cell>
          <cell r="B8">
            <v>600</v>
          </cell>
          <cell r="C8">
            <v>1771</v>
          </cell>
          <cell r="D8" t="str">
            <v>Submersible</v>
          </cell>
          <cell r="E8">
            <v>480.3</v>
          </cell>
          <cell r="F8">
            <v>615.70000000000005</v>
          </cell>
          <cell r="G8">
            <v>442.4</v>
          </cell>
          <cell r="H8">
            <v>72.900000000000006</v>
          </cell>
          <cell r="I8">
            <v>1831</v>
          </cell>
          <cell r="J8">
            <v>0.98838248436103648</v>
          </cell>
          <cell r="K8" t="str">
            <v>Tom Osborn</v>
          </cell>
          <cell r="L8" t="str">
            <v>Black Rock 2008.pdf</v>
          </cell>
        </row>
        <row r="9">
          <cell r="A9" t="str">
            <v>Turbine-Sub</v>
          </cell>
          <cell r="B9">
            <v>250</v>
          </cell>
          <cell r="C9">
            <v>1775</v>
          </cell>
          <cell r="D9" t="str">
            <v>Submersible</v>
          </cell>
          <cell r="E9">
            <v>485.7</v>
          </cell>
          <cell r="F9">
            <v>244.7</v>
          </cell>
          <cell r="G9">
            <v>179</v>
          </cell>
          <cell r="H9">
            <v>55.4</v>
          </cell>
          <cell r="I9">
            <v>1305</v>
          </cell>
          <cell r="J9">
            <v>0.95978552278820373</v>
          </cell>
          <cell r="K9" t="str">
            <v>Tom Osborn</v>
          </cell>
          <cell r="L9" t="str">
            <v>BREA07-111 Pivot 18.pdf</v>
          </cell>
        </row>
        <row r="10">
          <cell r="A10" t="str">
            <v>Turbine-Sub</v>
          </cell>
          <cell r="B10">
            <v>200</v>
          </cell>
          <cell r="C10">
            <v>1775</v>
          </cell>
          <cell r="D10" t="str">
            <v>Submersible</v>
          </cell>
          <cell r="E10">
            <v>483</v>
          </cell>
          <cell r="F10">
            <v>152.80000000000001</v>
          </cell>
          <cell r="G10">
            <v>108.3</v>
          </cell>
          <cell r="H10">
            <v>68</v>
          </cell>
          <cell r="I10">
            <v>2690</v>
          </cell>
          <cell r="J10">
            <v>0.72587131367292224</v>
          </cell>
          <cell r="K10" t="str">
            <v>Tom Osborn</v>
          </cell>
          <cell r="L10" t="str">
            <v>BREA07-110 Pivot 12.pdf</v>
          </cell>
        </row>
        <row r="11">
          <cell r="A11" t="str">
            <v>Turbine-Sub</v>
          </cell>
          <cell r="B11">
            <v>150</v>
          </cell>
          <cell r="C11">
            <v>1775</v>
          </cell>
          <cell r="D11" t="str">
            <v>Submersible</v>
          </cell>
          <cell r="E11">
            <v>491.7</v>
          </cell>
          <cell r="F11">
            <v>111.8</v>
          </cell>
          <cell r="G11">
            <v>91.2</v>
          </cell>
          <cell r="H11">
            <v>66.8</v>
          </cell>
          <cell r="I11">
            <v>2019</v>
          </cell>
          <cell r="J11">
            <v>0.81501340482573725</v>
          </cell>
          <cell r="K11" t="str">
            <v>Tom Osborn</v>
          </cell>
          <cell r="L11" t="str">
            <v>BREA07-113 Pivot 21.pdf</v>
          </cell>
        </row>
        <row r="12">
          <cell r="A12" t="str">
            <v>Turbine-Sub</v>
          </cell>
          <cell r="B12">
            <v>100</v>
          </cell>
          <cell r="C12">
            <v>1800</v>
          </cell>
          <cell r="D12" t="str">
            <v>Submersible</v>
          </cell>
          <cell r="E12">
            <v>485.3</v>
          </cell>
          <cell r="F12">
            <v>108.7</v>
          </cell>
          <cell r="G12">
            <v>80.400000000000006</v>
          </cell>
          <cell r="H12">
            <v>70.900000000000006</v>
          </cell>
          <cell r="I12">
            <v>2475</v>
          </cell>
          <cell r="J12">
            <v>1.0777479892761395</v>
          </cell>
          <cell r="K12" t="str">
            <v>Tom Osborn</v>
          </cell>
          <cell r="L12" t="str">
            <v>BREA07-112 Pivot 20.pdf</v>
          </cell>
        </row>
        <row r="13">
          <cell r="A13" t="str">
            <v>Turbine-Sub</v>
          </cell>
          <cell r="B13">
            <v>200</v>
          </cell>
          <cell r="C13">
            <v>1775</v>
          </cell>
          <cell r="D13" t="str">
            <v>Submersible</v>
          </cell>
          <cell r="E13">
            <v>493</v>
          </cell>
          <cell r="F13">
            <v>174.9</v>
          </cell>
          <cell r="G13">
            <v>136.19999999999999</v>
          </cell>
          <cell r="H13">
            <v>69.900000000000006</v>
          </cell>
          <cell r="I13">
            <v>2336</v>
          </cell>
          <cell r="J13">
            <v>0.91286863270777474</v>
          </cell>
          <cell r="K13" t="str">
            <v>Tom Osborn</v>
          </cell>
          <cell r="L13" t="str">
            <v>BREA07-115 Pivot 23.pdf</v>
          </cell>
        </row>
        <row r="14">
          <cell r="A14" t="str">
            <v>Turbine-Sub</v>
          </cell>
          <cell r="B14">
            <v>100</v>
          </cell>
          <cell r="C14" t="str">
            <v>None</v>
          </cell>
          <cell r="D14" t="str">
            <v>Submersible</v>
          </cell>
          <cell r="E14">
            <v>492.7</v>
          </cell>
          <cell r="F14">
            <v>91.5</v>
          </cell>
          <cell r="G14">
            <v>76.900000000000006</v>
          </cell>
          <cell r="H14">
            <v>70.7</v>
          </cell>
          <cell r="I14">
            <v>1216</v>
          </cell>
          <cell r="J14">
            <v>1.0308310991957106</v>
          </cell>
          <cell r="K14" t="str">
            <v>Tom Osborn</v>
          </cell>
          <cell r="L14" t="str">
            <v>BREA07-114 Pivot 22.pdf</v>
          </cell>
        </row>
        <row r="15">
          <cell r="A15" t="str">
            <v>Turbine-Sub</v>
          </cell>
          <cell r="B15">
            <v>200</v>
          </cell>
          <cell r="C15">
            <v>1775</v>
          </cell>
          <cell r="D15" t="str">
            <v>Submersible</v>
          </cell>
          <cell r="E15">
            <v>487.3</v>
          </cell>
          <cell r="F15">
            <v>196.8</v>
          </cell>
          <cell r="G15">
            <v>135.1</v>
          </cell>
          <cell r="H15">
            <v>71.8</v>
          </cell>
          <cell r="I15">
            <v>2338</v>
          </cell>
          <cell r="J15">
            <v>0.90549597855227881</v>
          </cell>
          <cell r="K15" t="str">
            <v>Tom Osborn</v>
          </cell>
          <cell r="L15" t="str">
            <v>BREA07-116 Pivot 15.pdf</v>
          </cell>
        </row>
        <row r="16">
          <cell r="B16">
            <v>600</v>
          </cell>
          <cell r="C16">
            <v>892</v>
          </cell>
          <cell r="E16">
            <v>2133.3000000000002</v>
          </cell>
          <cell r="F16">
            <v>93.3</v>
          </cell>
          <cell r="G16">
            <v>304.10000000000002</v>
          </cell>
          <cell r="H16">
            <v>54.1</v>
          </cell>
          <cell r="I16">
            <v>2567</v>
          </cell>
          <cell r="J16">
            <v>0.67940125111706884</v>
          </cell>
          <cell r="K16" t="str">
            <v>Tom Osborn</v>
          </cell>
          <cell r="L16" t="str">
            <v>BREA07-101 River Station.pdf</v>
          </cell>
        </row>
        <row r="17">
          <cell r="A17" t="str">
            <v>Turbine-Sub</v>
          </cell>
          <cell r="B17">
            <v>100</v>
          </cell>
          <cell r="C17">
            <v>3600</v>
          </cell>
          <cell r="D17" t="str">
            <v>Submersible</v>
          </cell>
          <cell r="E17">
            <v>474</v>
          </cell>
          <cell r="F17">
            <v>91.2</v>
          </cell>
          <cell r="G17">
            <v>56.7</v>
          </cell>
          <cell r="H17">
            <v>13.7</v>
          </cell>
          <cell r="I17">
            <v>1481</v>
          </cell>
          <cell r="J17">
            <v>0.76005361930294912</v>
          </cell>
          <cell r="K17" t="str">
            <v>Tom Osborn</v>
          </cell>
          <cell r="L17" t="str">
            <v>Kerns OT06-104.pdf</v>
          </cell>
        </row>
        <row r="18">
          <cell r="A18" t="str">
            <v>Centrifugal</v>
          </cell>
          <cell r="B18">
            <v>75</v>
          </cell>
          <cell r="C18">
            <v>1770</v>
          </cell>
          <cell r="D18" t="str">
            <v>ODP</v>
          </cell>
          <cell r="E18">
            <v>470.3</v>
          </cell>
          <cell r="F18">
            <v>84.6</v>
          </cell>
          <cell r="G18">
            <v>58.9</v>
          </cell>
          <cell r="H18">
            <v>51.1</v>
          </cell>
          <cell r="I18">
            <v>1736</v>
          </cell>
          <cell r="J18">
            <v>1.0527256478999105</v>
          </cell>
          <cell r="K18" t="str">
            <v>Tom Osborn</v>
          </cell>
          <cell r="L18" t="str">
            <v>BB06-105 Canyon Crest Frans Blk 21 Unit 1.pdf</v>
          </cell>
        </row>
        <row r="19">
          <cell r="A19" t="str">
            <v>Turbine-Sub</v>
          </cell>
          <cell r="B19">
            <v>500</v>
          </cell>
          <cell r="C19">
            <v>1770</v>
          </cell>
          <cell r="D19" t="str">
            <v>Submersible</v>
          </cell>
          <cell r="E19">
            <v>477</v>
          </cell>
          <cell r="F19">
            <v>547.70000000000005</v>
          </cell>
          <cell r="G19">
            <v>386.9</v>
          </cell>
          <cell r="H19">
            <v>57.3</v>
          </cell>
          <cell r="I19">
            <v>4219</v>
          </cell>
          <cell r="J19">
            <v>1.0372654155495977</v>
          </cell>
          <cell r="K19" t="str">
            <v>Tom Osborn</v>
          </cell>
          <cell r="L19" t="str">
            <v>BB06-104 Ochoa T-16.pdf</v>
          </cell>
          <cell r="M19" t="str">
            <v>Well #2</v>
          </cell>
        </row>
        <row r="20">
          <cell r="A20" t="str">
            <v>Turbine-Sub</v>
          </cell>
          <cell r="B20">
            <v>500</v>
          </cell>
          <cell r="C20">
            <v>1770</v>
          </cell>
          <cell r="E20">
            <v>473.3</v>
          </cell>
          <cell r="F20">
            <v>456.3</v>
          </cell>
          <cell r="G20">
            <v>344</v>
          </cell>
          <cell r="H20">
            <v>51.9</v>
          </cell>
          <cell r="I20">
            <v>4219</v>
          </cell>
          <cell r="J20">
            <v>0.92225201072386054</v>
          </cell>
          <cell r="K20" t="str">
            <v>Tom Osborn</v>
          </cell>
          <cell r="L20" t="str">
            <v>BB06-104 Ochoa T-16.pdf</v>
          </cell>
          <cell r="M20" t="str">
            <v>Well #6</v>
          </cell>
        </row>
        <row r="21">
          <cell r="A21" t="str">
            <v>Turbine-Sub</v>
          </cell>
          <cell r="B21">
            <v>500</v>
          </cell>
          <cell r="C21">
            <v>1770</v>
          </cell>
          <cell r="E21">
            <v>474.3</v>
          </cell>
          <cell r="F21">
            <v>572.29999999999995</v>
          </cell>
          <cell r="G21">
            <v>416.4</v>
          </cell>
          <cell r="H21">
            <v>56.9</v>
          </cell>
          <cell r="I21">
            <v>4219</v>
          </cell>
          <cell r="J21">
            <v>1.1163538873994638</v>
          </cell>
          <cell r="K21" t="str">
            <v>Tom Osborn</v>
          </cell>
          <cell r="L21" t="str">
            <v>BB06-104 Ochoa T-16.pdf</v>
          </cell>
          <cell r="M21" t="str">
            <v>Well #9</v>
          </cell>
        </row>
        <row r="22">
          <cell r="A22" t="str">
            <v>Turbine-Sub</v>
          </cell>
          <cell r="B22">
            <v>500</v>
          </cell>
          <cell r="C22">
            <v>1770</v>
          </cell>
          <cell r="E22">
            <v>475.7</v>
          </cell>
          <cell r="F22">
            <v>529.29999999999995</v>
          </cell>
          <cell r="G22">
            <v>381</v>
          </cell>
          <cell r="H22">
            <v>16.3</v>
          </cell>
          <cell r="I22">
            <v>4219</v>
          </cell>
          <cell r="J22">
            <v>1.0214477211796247</v>
          </cell>
          <cell r="K22" t="str">
            <v>Tom Osborn</v>
          </cell>
          <cell r="L22" t="str">
            <v>BB06-104 Ochoa T-16.pdf</v>
          </cell>
          <cell r="M22" t="str">
            <v>Well #10</v>
          </cell>
        </row>
        <row r="23">
          <cell r="A23" t="str">
            <v>Turbine-Sub</v>
          </cell>
          <cell r="B23">
            <v>500</v>
          </cell>
          <cell r="C23">
            <v>1775</v>
          </cell>
          <cell r="E23">
            <v>477</v>
          </cell>
          <cell r="F23">
            <v>461</v>
          </cell>
          <cell r="G23">
            <v>349.3</v>
          </cell>
          <cell r="H23">
            <v>54.3</v>
          </cell>
          <cell r="I23">
            <v>4219</v>
          </cell>
          <cell r="J23">
            <v>0.93646112600536191</v>
          </cell>
          <cell r="K23" t="str">
            <v>Tom Osborn</v>
          </cell>
          <cell r="L23" t="str">
            <v>BB06-104 Ochoa T-16.pdf</v>
          </cell>
          <cell r="M23" t="str">
            <v>Well #14</v>
          </cell>
        </row>
        <row r="24">
          <cell r="A24" t="str">
            <v>Turbine-Sub</v>
          </cell>
          <cell r="B24">
            <v>500</v>
          </cell>
          <cell r="C24">
            <v>1770</v>
          </cell>
          <cell r="E24">
            <v>471</v>
          </cell>
          <cell r="F24">
            <v>484.3</v>
          </cell>
          <cell r="G24">
            <v>338</v>
          </cell>
          <cell r="H24">
            <v>50.2</v>
          </cell>
          <cell r="I24">
            <v>4219</v>
          </cell>
          <cell r="J24">
            <v>0.90616621983914214</v>
          </cell>
          <cell r="K24" t="str">
            <v>Tom Osborn</v>
          </cell>
          <cell r="L24" t="str">
            <v>BB06-104 Ochoa T-16.pdf</v>
          </cell>
          <cell r="M24" t="str">
            <v>Well #15</v>
          </cell>
        </row>
        <row r="25">
          <cell r="A25" t="str">
            <v>Booster</v>
          </cell>
          <cell r="B25">
            <v>200</v>
          </cell>
          <cell r="C25">
            <v>1775</v>
          </cell>
          <cell r="E25">
            <v>474</v>
          </cell>
          <cell r="F25">
            <v>175.9</v>
          </cell>
          <cell r="G25">
            <v>124.2</v>
          </cell>
          <cell r="H25">
            <v>26.2</v>
          </cell>
          <cell r="I25">
            <v>4219</v>
          </cell>
          <cell r="J25">
            <v>0.83243967828418242</v>
          </cell>
          <cell r="K25" t="str">
            <v>Tom Osborn</v>
          </cell>
          <cell r="L25" t="str">
            <v>BB06-104 Ochoa T-16.pdf</v>
          </cell>
          <cell r="M25" t="str">
            <v>Well # 15 Booster</v>
          </cell>
        </row>
        <row r="26">
          <cell r="B26">
            <v>500</v>
          </cell>
          <cell r="C26">
            <v>1770</v>
          </cell>
          <cell r="E26">
            <v>478</v>
          </cell>
          <cell r="F26">
            <v>472</v>
          </cell>
          <cell r="G26">
            <v>332.2</v>
          </cell>
          <cell r="H26">
            <v>45.9</v>
          </cell>
          <cell r="I26">
            <v>4219</v>
          </cell>
          <cell r="J26">
            <v>0.89061662198391423</v>
          </cell>
          <cell r="K26" t="str">
            <v>Tom Osborn</v>
          </cell>
          <cell r="L26" t="str">
            <v>BB06-104 Ochoa T-16.pdf</v>
          </cell>
          <cell r="M26" t="str">
            <v>Well #16</v>
          </cell>
        </row>
        <row r="27">
          <cell r="A27" t="str">
            <v>Turbine-Sub</v>
          </cell>
          <cell r="B27">
            <v>500</v>
          </cell>
          <cell r="C27">
            <v>1770</v>
          </cell>
          <cell r="E27">
            <v>471.3</v>
          </cell>
          <cell r="F27">
            <v>507.3</v>
          </cell>
          <cell r="G27">
            <v>352</v>
          </cell>
          <cell r="H27">
            <v>45.7</v>
          </cell>
          <cell r="I27">
            <v>4219</v>
          </cell>
          <cell r="J27">
            <v>0.94369973190348522</v>
          </cell>
          <cell r="K27" t="str">
            <v>Tom Osborn</v>
          </cell>
          <cell r="L27" t="str">
            <v>BB06-104 Ochoa T-16.pdf</v>
          </cell>
          <cell r="M27" t="str">
            <v>Well #18</v>
          </cell>
        </row>
        <row r="28">
          <cell r="A28" t="str">
            <v>Centrifugal</v>
          </cell>
          <cell r="B28">
            <v>30</v>
          </cell>
          <cell r="C28">
            <v>3500</v>
          </cell>
          <cell r="D28" t="str">
            <v>ODP</v>
          </cell>
          <cell r="E28">
            <v>483.7</v>
          </cell>
          <cell r="F28">
            <v>29</v>
          </cell>
          <cell r="G28">
            <v>22.6</v>
          </cell>
          <cell r="H28">
            <v>61.5</v>
          </cell>
          <cell r="I28">
            <v>1729</v>
          </cell>
          <cell r="J28">
            <v>1.0098302055406614</v>
          </cell>
          <cell r="K28" t="str">
            <v>Tom Osborn</v>
          </cell>
          <cell r="L28" t="str">
            <v>BB06-103 Herrman NW Blk 18 Unit 108.pdf</v>
          </cell>
        </row>
        <row r="29">
          <cell r="A29" t="str">
            <v>Centrifugal</v>
          </cell>
          <cell r="B29">
            <v>15</v>
          </cell>
          <cell r="C29">
            <v>3515</v>
          </cell>
          <cell r="D29" t="str">
            <v>ODP</v>
          </cell>
          <cell r="E29">
            <v>483.3</v>
          </cell>
          <cell r="F29">
            <v>22.2</v>
          </cell>
          <cell r="G29">
            <v>16.100000000000001</v>
          </cell>
          <cell r="H29">
            <v>51.8</v>
          </cell>
          <cell r="I29">
            <v>2055</v>
          </cell>
          <cell r="J29">
            <v>1.4387846291331547</v>
          </cell>
          <cell r="K29" t="str">
            <v>Tom Osborn</v>
          </cell>
          <cell r="L29" t="str">
            <v>BB06-102 Herrman NW Blk 18 Unit 179A&amp;B.pdf</v>
          </cell>
        </row>
        <row r="30">
          <cell r="A30" t="str">
            <v>Centrifugal</v>
          </cell>
          <cell r="B30">
            <v>40</v>
          </cell>
          <cell r="C30">
            <v>1770</v>
          </cell>
          <cell r="D30" t="str">
            <v>ODP</v>
          </cell>
          <cell r="E30">
            <v>460.3</v>
          </cell>
          <cell r="F30">
            <v>46.4</v>
          </cell>
          <cell r="G30">
            <v>32.1</v>
          </cell>
          <cell r="H30">
            <v>63.4</v>
          </cell>
          <cell r="I30">
            <v>1827</v>
          </cell>
          <cell r="J30">
            <v>1.0757372654155497</v>
          </cell>
          <cell r="K30" t="str">
            <v>Tom Osborn</v>
          </cell>
          <cell r="L30" t="str">
            <v>BB06-101 N.Metzger Blk 13 Unit 106.pdf</v>
          </cell>
        </row>
        <row r="31">
          <cell r="A31" t="str">
            <v>Centrifugal</v>
          </cell>
          <cell r="B31">
            <v>30</v>
          </cell>
          <cell r="C31">
            <v>3540</v>
          </cell>
          <cell r="D31" t="str">
            <v>ODP</v>
          </cell>
          <cell r="E31">
            <v>483.7</v>
          </cell>
          <cell r="F31">
            <v>28.1</v>
          </cell>
          <cell r="G31">
            <v>18.2</v>
          </cell>
          <cell r="H31">
            <v>64.400000000000006</v>
          </cell>
          <cell r="I31">
            <v>368</v>
          </cell>
          <cell r="J31">
            <v>0.81322609472743523</v>
          </cell>
          <cell r="K31" t="str">
            <v>Tom Osborn</v>
          </cell>
          <cell r="L31" t="str">
            <v>OT06-102 Rufenacht Land at River.pdf</v>
          </cell>
        </row>
        <row r="32">
          <cell r="A32" t="str">
            <v>Centrifugal</v>
          </cell>
          <cell r="B32">
            <v>30</v>
          </cell>
          <cell r="C32">
            <v>3530</v>
          </cell>
          <cell r="D32" t="str">
            <v>ODP</v>
          </cell>
          <cell r="E32">
            <v>481.7</v>
          </cell>
          <cell r="F32">
            <v>32.799999999999997</v>
          </cell>
          <cell r="G32">
            <v>21.8</v>
          </cell>
          <cell r="H32">
            <v>69</v>
          </cell>
          <cell r="I32">
            <v>1567</v>
          </cell>
          <cell r="J32">
            <v>0.97408400357462022</v>
          </cell>
          <cell r="K32" t="str">
            <v>Tom Osborn</v>
          </cell>
          <cell r="L32" t="str">
            <v>OT06-101 Rufenacht Land Back of House.pdf</v>
          </cell>
        </row>
        <row r="33">
          <cell r="A33" t="str">
            <v>Centrifugal</v>
          </cell>
          <cell r="B33">
            <v>100</v>
          </cell>
          <cell r="C33" t="str">
            <v>None</v>
          </cell>
          <cell r="D33" t="str">
            <v>ODP</v>
          </cell>
          <cell r="E33">
            <v>480</v>
          </cell>
          <cell r="F33">
            <v>87.1</v>
          </cell>
          <cell r="G33">
            <v>62.1</v>
          </cell>
          <cell r="H33">
            <v>32.5</v>
          </cell>
          <cell r="I33">
            <v>2670</v>
          </cell>
          <cell r="J33">
            <v>0.83243967828418242</v>
          </cell>
          <cell r="K33" t="str">
            <v>Tom Osborn</v>
          </cell>
          <cell r="L33" t="str">
            <v>OT06-103A Pickard Ranches.pdf</v>
          </cell>
        </row>
        <row r="34">
          <cell r="A34" t="str">
            <v>Turbine-Sub</v>
          </cell>
          <cell r="B34">
            <v>150</v>
          </cell>
          <cell r="C34">
            <v>1770</v>
          </cell>
          <cell r="D34" t="str">
            <v>Submersible</v>
          </cell>
          <cell r="E34">
            <v>475.7</v>
          </cell>
          <cell r="F34">
            <v>184.7</v>
          </cell>
          <cell r="G34">
            <v>133.1</v>
          </cell>
          <cell r="H34">
            <v>65.400000000000006</v>
          </cell>
          <cell r="I34">
            <v>592</v>
          </cell>
          <cell r="J34">
            <v>1.1894548704200179</v>
          </cell>
          <cell r="K34" t="str">
            <v>Tom Osborn</v>
          </cell>
          <cell r="L34" t="str">
            <v>Hassinger Dam Pump OT06-106.pdf</v>
          </cell>
        </row>
        <row r="35">
          <cell r="A35" t="str">
            <v>Turbine-Sub</v>
          </cell>
          <cell r="B35">
            <v>150</v>
          </cell>
          <cell r="C35">
            <v>1770</v>
          </cell>
          <cell r="D35" t="str">
            <v>Submersible</v>
          </cell>
          <cell r="E35">
            <v>470.7</v>
          </cell>
          <cell r="F35">
            <v>175.5</v>
          </cell>
          <cell r="G35">
            <v>124</v>
          </cell>
          <cell r="H35">
            <v>55.7</v>
          </cell>
          <cell r="I35">
            <v>1162</v>
          </cell>
          <cell r="J35">
            <v>1.1081322609472744</v>
          </cell>
          <cell r="K35" t="str">
            <v>Tom Osborn</v>
          </cell>
          <cell r="L35" t="str">
            <v>Hassinger Apple Tree OT06-105.pdf</v>
          </cell>
        </row>
        <row r="36">
          <cell r="A36" t="str">
            <v>Turbine-Sub</v>
          </cell>
          <cell r="B36">
            <v>75</v>
          </cell>
          <cell r="C36">
            <v>1760</v>
          </cell>
          <cell r="E36">
            <v>473.3</v>
          </cell>
          <cell r="F36">
            <v>81.7</v>
          </cell>
          <cell r="G36">
            <v>58</v>
          </cell>
          <cell r="H36">
            <v>69.7</v>
          </cell>
          <cell r="I36">
            <v>1670</v>
          </cell>
          <cell r="J36">
            <v>1.036639857015192</v>
          </cell>
          <cell r="K36" t="str">
            <v>Tom Osborn</v>
          </cell>
          <cell r="L36" t="str">
            <v>Freeman 31 Aug 2010 Meter # 1 1323.xls</v>
          </cell>
          <cell r="M36" t="str">
            <v>Pump #4</v>
          </cell>
        </row>
        <row r="37">
          <cell r="A37" t="str">
            <v>Centrifugal</v>
          </cell>
          <cell r="B37">
            <v>50</v>
          </cell>
          <cell r="C37">
            <v>1765</v>
          </cell>
          <cell r="E37">
            <v>472</v>
          </cell>
          <cell r="F37">
            <v>54.4</v>
          </cell>
          <cell r="G37">
            <v>37.9</v>
          </cell>
          <cell r="H37">
            <v>73.7</v>
          </cell>
          <cell r="I37">
            <v>2337.6</v>
          </cell>
          <cell r="J37">
            <v>1.0160857908847185</v>
          </cell>
          <cell r="K37" t="str">
            <v>Tom Osborn</v>
          </cell>
          <cell r="L37" t="str">
            <v>Freeman 31 Aug 2010 Meter # 2 2957.xls</v>
          </cell>
          <cell r="M37" t="str">
            <v>Pump #1</v>
          </cell>
        </row>
        <row r="38">
          <cell r="A38" t="str">
            <v>Centrifugal</v>
          </cell>
          <cell r="B38">
            <v>20</v>
          </cell>
          <cell r="C38">
            <v>3525</v>
          </cell>
          <cell r="E38">
            <v>472.7</v>
          </cell>
          <cell r="F38">
            <v>17</v>
          </cell>
          <cell r="G38">
            <v>11</v>
          </cell>
          <cell r="H38">
            <v>46.2</v>
          </cell>
          <cell r="I38">
            <v>2337.6</v>
          </cell>
          <cell r="J38">
            <v>0.7372654155495979</v>
          </cell>
          <cell r="K38" t="str">
            <v>Tom Osborn</v>
          </cell>
          <cell r="L38" t="str">
            <v>Freeman 31 Aug 2010 Meter # 2 2957.xls</v>
          </cell>
          <cell r="M38" t="str">
            <v>Pump #2</v>
          </cell>
        </row>
        <row r="39">
          <cell r="A39" t="str">
            <v>Centrifugal</v>
          </cell>
          <cell r="B39">
            <v>20</v>
          </cell>
          <cell r="C39">
            <v>3525</v>
          </cell>
          <cell r="E39">
            <v>474.3</v>
          </cell>
          <cell r="F39">
            <v>18.7</v>
          </cell>
          <cell r="G39">
            <v>12.4</v>
          </cell>
          <cell r="H39">
            <v>61.4</v>
          </cell>
          <cell r="I39">
            <v>2337.6</v>
          </cell>
          <cell r="J39">
            <v>0.83109919571045576</v>
          </cell>
          <cell r="K39" t="str">
            <v>Tom Osborn</v>
          </cell>
          <cell r="L39" t="str">
            <v>Freeman 31 Aug 2010 Meter # 2 2957.xls</v>
          </cell>
          <cell r="M39" t="str">
            <v>Pump #3</v>
          </cell>
        </row>
        <row r="40">
          <cell r="A40" t="str">
            <v>Vertical Turbine</v>
          </cell>
          <cell r="B40">
            <v>125</v>
          </cell>
          <cell r="E40">
            <v>0</v>
          </cell>
          <cell r="F40">
            <v>0</v>
          </cell>
          <cell r="G40">
            <v>0</v>
          </cell>
          <cell r="H40">
            <v>69.099999999999994</v>
          </cell>
          <cell r="K40" t="str">
            <v>Dick Stroh</v>
          </cell>
          <cell r="L40" t="str">
            <v>Idaho Falls Pump Data.xls</v>
          </cell>
        </row>
        <row r="41">
          <cell r="A41" t="str">
            <v>Vertical Turbine</v>
          </cell>
          <cell r="B41">
            <v>125</v>
          </cell>
          <cell r="E41">
            <v>0</v>
          </cell>
          <cell r="F41">
            <v>0</v>
          </cell>
          <cell r="G41">
            <v>0</v>
          </cell>
          <cell r="H41">
            <v>68.7</v>
          </cell>
          <cell r="K41" t="str">
            <v>Dick Stroh</v>
          </cell>
          <cell r="L41" t="str">
            <v>Idaho Falls Pump Data.xls</v>
          </cell>
        </row>
        <row r="42">
          <cell r="A42" t="str">
            <v>Vertical Turbine</v>
          </cell>
          <cell r="B42">
            <v>250</v>
          </cell>
          <cell r="C42">
            <v>1770</v>
          </cell>
          <cell r="E42">
            <v>0</v>
          </cell>
          <cell r="F42">
            <v>0</v>
          </cell>
          <cell r="G42">
            <v>0</v>
          </cell>
          <cell r="H42">
            <v>71.900000000000006</v>
          </cell>
          <cell r="K42" t="str">
            <v>Dick Stroh</v>
          </cell>
          <cell r="L42" t="str">
            <v>Idaho Falls Pump Data.xls</v>
          </cell>
        </row>
        <row r="43">
          <cell r="A43" t="str">
            <v>Vertical Turbine</v>
          </cell>
          <cell r="B43">
            <v>125</v>
          </cell>
          <cell r="E43">
            <v>0</v>
          </cell>
          <cell r="F43">
            <v>0</v>
          </cell>
          <cell r="G43">
            <v>89.6</v>
          </cell>
          <cell r="H43">
            <v>74</v>
          </cell>
          <cell r="J43">
            <v>0.96085790884718492</v>
          </cell>
          <cell r="K43" t="str">
            <v>Dick Stroh</v>
          </cell>
          <cell r="L43" t="str">
            <v>Idaho Falls Pump Data.xls</v>
          </cell>
        </row>
        <row r="44">
          <cell r="A44" t="str">
            <v>Vertical Turbine</v>
          </cell>
          <cell r="B44">
            <v>125</v>
          </cell>
          <cell r="E44">
            <v>0</v>
          </cell>
          <cell r="F44">
            <v>0</v>
          </cell>
          <cell r="G44">
            <v>89.8</v>
          </cell>
          <cell r="H44">
            <v>73.8</v>
          </cell>
          <cell r="J44">
            <v>0.96300268096514741</v>
          </cell>
          <cell r="K44" t="str">
            <v>Dick Stroh</v>
          </cell>
          <cell r="L44" t="str">
            <v>Idaho Falls Pump Data.xls</v>
          </cell>
        </row>
        <row r="45">
          <cell r="A45" t="str">
            <v>Vertical Turbine</v>
          </cell>
          <cell r="B45">
            <v>250</v>
          </cell>
          <cell r="C45">
            <v>1770</v>
          </cell>
          <cell r="E45">
            <v>0</v>
          </cell>
          <cell r="F45">
            <v>0</v>
          </cell>
          <cell r="G45">
            <v>183.9</v>
          </cell>
          <cell r="H45">
            <v>54.1</v>
          </cell>
          <cell r="J45">
            <v>0.98605898123324398</v>
          </cell>
          <cell r="K45" t="str">
            <v>Dick Stroh</v>
          </cell>
          <cell r="L45" t="str">
            <v>Idaho Falls Pump Data.xls</v>
          </cell>
        </row>
        <row r="46">
          <cell r="A46" t="str">
            <v>Vertical Turbine</v>
          </cell>
          <cell r="B46">
            <v>200</v>
          </cell>
          <cell r="C46">
            <v>1770</v>
          </cell>
          <cell r="E46">
            <v>464.66666666666669</v>
          </cell>
          <cell r="F46">
            <v>198.03333333333333</v>
          </cell>
          <cell r="G46">
            <v>0</v>
          </cell>
          <cell r="H46">
            <v>63.7</v>
          </cell>
          <cell r="K46" t="str">
            <v>Dick Stroh</v>
          </cell>
          <cell r="L46" t="str">
            <v>Idaho Falls Pump Data.xls</v>
          </cell>
        </row>
        <row r="47">
          <cell r="A47" t="str">
            <v>Split–Case Centrifugal</v>
          </cell>
          <cell r="B47">
            <v>150</v>
          </cell>
          <cell r="E47">
            <v>465.33333333333331</v>
          </cell>
          <cell r="F47">
            <v>158.19999999999999</v>
          </cell>
          <cell r="G47">
            <v>0</v>
          </cell>
          <cell r="H47">
            <v>65.8</v>
          </cell>
          <cell r="K47" t="str">
            <v>Dick Stroh</v>
          </cell>
          <cell r="L47" t="str">
            <v>Idaho Falls Pump Data.xls</v>
          </cell>
        </row>
        <row r="48">
          <cell r="A48" t="str">
            <v>Vertical Turbine</v>
          </cell>
          <cell r="B48">
            <v>200</v>
          </cell>
          <cell r="C48">
            <v>1770</v>
          </cell>
          <cell r="E48">
            <v>480</v>
          </cell>
          <cell r="F48">
            <v>206.66666666666666</v>
          </cell>
          <cell r="G48">
            <v>0</v>
          </cell>
          <cell r="H48">
            <v>66</v>
          </cell>
          <cell r="K48" t="str">
            <v>Dick Stroh</v>
          </cell>
          <cell r="L48" t="str">
            <v>Idaho Falls Pump Data.xls</v>
          </cell>
        </row>
        <row r="49">
          <cell r="A49" t="str">
            <v>Vertical Turbine</v>
          </cell>
          <cell r="B49">
            <v>200</v>
          </cell>
          <cell r="C49">
            <v>1770</v>
          </cell>
          <cell r="E49">
            <v>0</v>
          </cell>
          <cell r="F49">
            <v>0</v>
          </cell>
          <cell r="G49">
            <v>125.3</v>
          </cell>
          <cell r="H49">
            <v>64.900000000000006</v>
          </cell>
          <cell r="J49">
            <v>0.83981233243967834</v>
          </cell>
          <cell r="K49" t="str">
            <v>Dick Stroh</v>
          </cell>
          <cell r="L49" t="str">
            <v>Idaho Falls Pump Data.xls</v>
          </cell>
        </row>
        <row r="50">
          <cell r="A50" t="str">
            <v>Vertical Turbine</v>
          </cell>
          <cell r="B50">
            <v>200</v>
          </cell>
          <cell r="C50">
            <v>1770</v>
          </cell>
          <cell r="E50">
            <v>480</v>
          </cell>
          <cell r="F50">
            <v>139</v>
          </cell>
          <cell r="G50">
            <v>0</v>
          </cell>
          <cell r="H50">
            <v>66</v>
          </cell>
          <cell r="K50" t="str">
            <v>Dick Stroh</v>
          </cell>
          <cell r="L50" t="str">
            <v>Idaho Falls Pump Data.xls</v>
          </cell>
        </row>
        <row r="51">
          <cell r="A51" t="str">
            <v>Vertical Turbine</v>
          </cell>
          <cell r="B51">
            <v>200</v>
          </cell>
          <cell r="C51">
            <v>1770</v>
          </cell>
          <cell r="E51">
            <v>0</v>
          </cell>
          <cell r="F51">
            <v>0</v>
          </cell>
          <cell r="G51">
            <v>125</v>
          </cell>
          <cell r="H51">
            <v>71</v>
          </cell>
          <cell r="J51">
            <v>0.83780160857908859</v>
          </cell>
          <cell r="K51" t="str">
            <v>Dick Stroh</v>
          </cell>
          <cell r="L51" t="str">
            <v>Idaho Falls Pump Data.xls</v>
          </cell>
        </row>
        <row r="52">
          <cell r="A52" t="str">
            <v>Vertical Turbine</v>
          </cell>
          <cell r="B52">
            <v>200</v>
          </cell>
          <cell r="C52">
            <v>1770</v>
          </cell>
          <cell r="E52">
            <v>0</v>
          </cell>
          <cell r="F52">
            <v>0</v>
          </cell>
          <cell r="G52">
            <v>0</v>
          </cell>
          <cell r="H52">
            <v>63.7</v>
          </cell>
          <cell r="K52" t="str">
            <v>Dick Stroh</v>
          </cell>
          <cell r="L52" t="str">
            <v>Idaho Falls Pump Data.xls</v>
          </cell>
        </row>
        <row r="53">
          <cell r="A53" t="str">
            <v>Split–Case Centrifugal</v>
          </cell>
          <cell r="B53">
            <v>150</v>
          </cell>
          <cell r="E53">
            <v>0</v>
          </cell>
          <cell r="F53">
            <v>0</v>
          </cell>
          <cell r="G53">
            <v>0</v>
          </cell>
          <cell r="H53">
            <v>65.8</v>
          </cell>
          <cell r="K53" t="str">
            <v>Dick Stroh</v>
          </cell>
          <cell r="L53" t="str">
            <v>Idaho Falls Pump Data.xls</v>
          </cell>
        </row>
        <row r="54">
          <cell r="A54" t="str">
            <v>Vertical Turbine</v>
          </cell>
          <cell r="B54">
            <v>40</v>
          </cell>
          <cell r="C54">
            <v>1750</v>
          </cell>
          <cell r="E54">
            <v>480.66666666666669</v>
          </cell>
          <cell r="F54">
            <v>39.06666666666667</v>
          </cell>
          <cell r="G54">
            <v>27.6</v>
          </cell>
          <cell r="H54">
            <v>46.4</v>
          </cell>
          <cell r="J54">
            <v>0.92493297587131373</v>
          </cell>
          <cell r="K54" t="str">
            <v>Dick Stroh</v>
          </cell>
          <cell r="L54" t="str">
            <v>Idaho Falls Pump Data.xls</v>
          </cell>
        </row>
        <row r="55">
          <cell r="A55" t="str">
            <v>Vertical Turbine</v>
          </cell>
          <cell r="B55">
            <v>100</v>
          </cell>
          <cell r="E55">
            <v>481.33333333333331</v>
          </cell>
          <cell r="F55">
            <v>58.866666666666667</v>
          </cell>
          <cell r="G55">
            <v>26.6</v>
          </cell>
          <cell r="H55">
            <v>43.5</v>
          </cell>
          <cell r="J55">
            <v>0.35656836461126012</v>
          </cell>
          <cell r="K55" t="str">
            <v>Dick Stroh</v>
          </cell>
          <cell r="L55" t="str">
            <v>Idaho Falls Pump Data.xls</v>
          </cell>
        </row>
        <row r="56">
          <cell r="A56" t="str">
            <v>Vertical Turbine</v>
          </cell>
          <cell r="B56">
            <v>40</v>
          </cell>
          <cell r="C56">
            <v>1750</v>
          </cell>
          <cell r="E56">
            <v>480</v>
          </cell>
          <cell r="F56">
            <v>39.466666666666669</v>
          </cell>
          <cell r="G56">
            <v>26.7</v>
          </cell>
          <cell r="H56">
            <v>32</v>
          </cell>
          <cell r="J56">
            <v>0.89477211796246647</v>
          </cell>
          <cell r="K56" t="str">
            <v>Dick Stroh</v>
          </cell>
          <cell r="L56" t="str">
            <v>Idaho Falls Pump Data.xls</v>
          </cell>
        </row>
        <row r="57">
          <cell r="A57" t="str">
            <v>Vertical Turbine</v>
          </cell>
          <cell r="B57">
            <v>40</v>
          </cell>
          <cell r="C57">
            <v>1770</v>
          </cell>
          <cell r="E57">
            <v>479.66666666666669</v>
          </cell>
          <cell r="F57">
            <v>35.06666666666667</v>
          </cell>
          <cell r="G57">
            <v>18.8</v>
          </cell>
          <cell r="H57">
            <v>32.200000000000003</v>
          </cell>
          <cell r="J57">
            <v>0.63002680965147451</v>
          </cell>
          <cell r="K57" t="str">
            <v>Dick Stroh</v>
          </cell>
          <cell r="L57" t="str">
            <v>Idaho Falls Pump Data.xls</v>
          </cell>
        </row>
        <row r="58">
          <cell r="A58" t="str">
            <v>Vertical Turbine</v>
          </cell>
          <cell r="B58">
            <v>25</v>
          </cell>
          <cell r="E58">
            <v>0</v>
          </cell>
          <cell r="F58">
            <v>0</v>
          </cell>
          <cell r="G58">
            <v>19</v>
          </cell>
          <cell r="H58">
            <v>66.2</v>
          </cell>
          <cell r="J58">
            <v>1.0187667560321716</v>
          </cell>
          <cell r="K58" t="str">
            <v>Dick Stroh</v>
          </cell>
          <cell r="L58" t="str">
            <v>Idaho Falls Pump Data.xls</v>
          </cell>
        </row>
        <row r="59">
          <cell r="A59" t="str">
            <v>Vertical Turbine</v>
          </cell>
          <cell r="B59">
            <v>100</v>
          </cell>
          <cell r="E59">
            <v>0</v>
          </cell>
          <cell r="F59">
            <v>0</v>
          </cell>
          <cell r="G59">
            <v>73.8</v>
          </cell>
          <cell r="H59">
            <v>70.2</v>
          </cell>
          <cell r="J59">
            <v>0.98927613941018766</v>
          </cell>
          <cell r="K59" t="str">
            <v>Dick Stroh</v>
          </cell>
          <cell r="L59" t="str">
            <v>Idaho Falls Pump Data.xls</v>
          </cell>
        </row>
        <row r="60">
          <cell r="A60" t="str">
            <v>Vertical Turbine</v>
          </cell>
          <cell r="B60">
            <v>20</v>
          </cell>
          <cell r="E60">
            <v>0</v>
          </cell>
          <cell r="F60">
            <v>0</v>
          </cell>
          <cell r="G60">
            <v>15</v>
          </cell>
          <cell r="H60">
            <v>72.5</v>
          </cell>
          <cell r="J60">
            <v>1.0053619302949062</v>
          </cell>
          <cell r="K60" t="str">
            <v>Dick Stroh</v>
          </cell>
          <cell r="L60" t="str">
            <v>Idaho Falls Pump Data.xls</v>
          </cell>
        </row>
        <row r="61">
          <cell r="A61" t="str">
            <v>Vertical Turbine</v>
          </cell>
          <cell r="B61">
            <v>50</v>
          </cell>
          <cell r="E61">
            <v>477</v>
          </cell>
          <cell r="F61">
            <v>45.766666666666673</v>
          </cell>
          <cell r="G61">
            <v>30.3</v>
          </cell>
          <cell r="H61">
            <v>67.8</v>
          </cell>
          <cell r="J61">
            <v>0.81233243967828428</v>
          </cell>
          <cell r="K61" t="str">
            <v>Dick Stroh</v>
          </cell>
          <cell r="L61" t="str">
            <v>Idaho Falls Pump Data.xls</v>
          </cell>
        </row>
        <row r="62">
          <cell r="A62" t="str">
            <v>Vertical Turbine</v>
          </cell>
          <cell r="B62">
            <v>75</v>
          </cell>
          <cell r="C62">
            <v>1770</v>
          </cell>
          <cell r="E62">
            <v>485.33333333333331</v>
          </cell>
          <cell r="F62">
            <v>61.333333333333336</v>
          </cell>
          <cell r="G62">
            <v>42.9</v>
          </cell>
          <cell r="H62">
            <v>48.6</v>
          </cell>
          <cell r="J62">
            <v>0.76675603217158173</v>
          </cell>
          <cell r="K62" t="str">
            <v>Dick Stroh</v>
          </cell>
          <cell r="L62" t="str">
            <v>Idaho Falls Pump Data.xls</v>
          </cell>
        </row>
        <row r="63">
          <cell r="A63" t="str">
            <v>Vertical Turbine</v>
          </cell>
          <cell r="B63">
            <v>25</v>
          </cell>
          <cell r="C63">
            <v>1770</v>
          </cell>
          <cell r="E63">
            <v>477.66666666666669</v>
          </cell>
          <cell r="F63">
            <v>29.3</v>
          </cell>
          <cell r="G63">
            <v>19.899999999999999</v>
          </cell>
          <cell r="H63">
            <v>59.3</v>
          </cell>
          <cell r="J63">
            <v>1.0670241286863271</v>
          </cell>
          <cell r="K63" t="str">
            <v>Dick Stroh</v>
          </cell>
          <cell r="L63" t="str">
            <v>Idaho Falls Pump Data.xls</v>
          </cell>
        </row>
        <row r="64">
          <cell r="A64" t="str">
            <v>Vertical Turbine</v>
          </cell>
          <cell r="B64">
            <v>40</v>
          </cell>
          <cell r="E64">
            <v>480.66666666666669</v>
          </cell>
          <cell r="F64">
            <v>38.633333333333333</v>
          </cell>
          <cell r="G64">
            <v>26.6</v>
          </cell>
          <cell r="H64">
            <v>66</v>
          </cell>
          <cell r="J64">
            <v>0.89142091152815017</v>
          </cell>
          <cell r="K64" t="str">
            <v>Dick Stroh</v>
          </cell>
          <cell r="L64" t="str">
            <v>Idaho Falls Pump Data.xls</v>
          </cell>
        </row>
        <row r="65">
          <cell r="A65" t="str">
            <v>Vertical Turbine</v>
          </cell>
          <cell r="B65">
            <v>75</v>
          </cell>
          <cell r="E65">
            <v>477</v>
          </cell>
          <cell r="F65">
            <v>80.266666666666666</v>
          </cell>
          <cell r="G65">
            <v>58</v>
          </cell>
          <cell r="H65">
            <v>55.8</v>
          </cell>
          <cell r="J65">
            <v>1.036639857015192</v>
          </cell>
          <cell r="K65" t="str">
            <v>Dick Stroh</v>
          </cell>
          <cell r="L65" t="str">
            <v>Idaho Falls Pump Data.xls</v>
          </cell>
        </row>
        <row r="66">
          <cell r="A66" t="str">
            <v>Vertical Turbine</v>
          </cell>
          <cell r="B66">
            <v>40</v>
          </cell>
          <cell r="E66">
            <v>0</v>
          </cell>
          <cell r="F66">
            <v>0</v>
          </cell>
          <cell r="G66">
            <v>25.1</v>
          </cell>
          <cell r="H66">
            <v>69.7</v>
          </cell>
          <cell r="J66">
            <v>0.84115281501340489</v>
          </cell>
          <cell r="K66" t="str">
            <v>Dick Stroh</v>
          </cell>
          <cell r="L66" t="str">
            <v>Idaho Falls Pump Data.xls</v>
          </cell>
        </row>
        <row r="67">
          <cell r="A67" t="str">
            <v>Vertical Turbine</v>
          </cell>
          <cell r="B67">
            <v>75</v>
          </cell>
          <cell r="E67">
            <v>0</v>
          </cell>
          <cell r="F67">
            <v>0</v>
          </cell>
          <cell r="G67">
            <v>48.4</v>
          </cell>
          <cell r="H67">
            <v>66.8</v>
          </cell>
          <cell r="J67">
            <v>0.8650580875781948</v>
          </cell>
          <cell r="K67" t="str">
            <v>Dick Stroh</v>
          </cell>
          <cell r="L67" t="str">
            <v>Idaho Falls Pump Data.xls</v>
          </cell>
        </row>
        <row r="68">
          <cell r="A68" t="str">
            <v>Vertical Turbine</v>
          </cell>
          <cell r="B68">
            <v>100</v>
          </cell>
          <cell r="C68">
            <v>1770</v>
          </cell>
          <cell r="E68">
            <v>486.66666666666669</v>
          </cell>
          <cell r="F68">
            <v>115.23333333333333</v>
          </cell>
          <cell r="G68">
            <v>89</v>
          </cell>
          <cell r="H68">
            <v>47.4</v>
          </cell>
          <cell r="J68">
            <v>1.1930294906166221</v>
          </cell>
          <cell r="K68" t="str">
            <v>Dick Stroh</v>
          </cell>
          <cell r="L68" t="str">
            <v>Idaho Falls Pump Data.xls</v>
          </cell>
        </row>
        <row r="69">
          <cell r="A69" t="str">
            <v>Vertical Turbine</v>
          </cell>
          <cell r="B69">
            <v>125</v>
          </cell>
          <cell r="C69">
            <v>1770</v>
          </cell>
          <cell r="E69">
            <v>0</v>
          </cell>
          <cell r="F69">
            <v>0</v>
          </cell>
          <cell r="G69">
            <v>100.4</v>
          </cell>
          <cell r="H69">
            <v>72.599999999999994</v>
          </cell>
          <cell r="J69">
            <v>1.0766756032171583</v>
          </cell>
          <cell r="K69" t="str">
            <v>Dick Stroh</v>
          </cell>
          <cell r="L69" t="str">
            <v>Idaho Falls Pump Data.xls</v>
          </cell>
        </row>
        <row r="70">
          <cell r="A70" t="str">
            <v>Vertical Turbine</v>
          </cell>
          <cell r="B70">
            <v>200</v>
          </cell>
          <cell r="E70">
            <v>484.66666666666669</v>
          </cell>
          <cell r="F70">
            <v>184.66666666666666</v>
          </cell>
          <cell r="G70">
            <v>136</v>
          </cell>
          <cell r="H70">
            <v>37.9</v>
          </cell>
          <cell r="J70">
            <v>0.91152815013404831</v>
          </cell>
          <cell r="K70" t="str">
            <v>Dick Stroh</v>
          </cell>
          <cell r="L70" t="str">
            <v>Idaho Falls Pump Data.xls</v>
          </cell>
        </row>
        <row r="71">
          <cell r="A71" t="str">
            <v>Vertical Turbine</v>
          </cell>
          <cell r="B71">
            <v>200</v>
          </cell>
          <cell r="E71">
            <v>0</v>
          </cell>
          <cell r="F71">
            <v>0</v>
          </cell>
          <cell r="G71">
            <v>70.3</v>
          </cell>
          <cell r="H71">
            <v>69.2</v>
          </cell>
          <cell r="J71">
            <v>0.47117962466487939</v>
          </cell>
          <cell r="K71" t="str">
            <v>Dick Stroh</v>
          </cell>
          <cell r="L71" t="str">
            <v>Idaho Falls Pump Data.xls</v>
          </cell>
        </row>
        <row r="72">
          <cell r="A72" t="str">
            <v>Vertical Turbine</v>
          </cell>
          <cell r="B72">
            <v>60</v>
          </cell>
          <cell r="E72">
            <v>477.66666666666669</v>
          </cell>
          <cell r="F72">
            <v>61.966666666666669</v>
          </cell>
          <cell r="G72">
            <v>47</v>
          </cell>
          <cell r="H72">
            <v>54.5</v>
          </cell>
          <cell r="J72">
            <v>1.0500446827524577</v>
          </cell>
          <cell r="K72" t="str">
            <v>Dick Stroh</v>
          </cell>
          <cell r="L72" t="str">
            <v>Idaho Falls Pump Data.xls</v>
          </cell>
        </row>
        <row r="73">
          <cell r="A73" t="str">
            <v>Vertical Turbine</v>
          </cell>
          <cell r="B73">
            <v>60</v>
          </cell>
          <cell r="E73">
            <v>0</v>
          </cell>
          <cell r="F73">
            <v>0</v>
          </cell>
          <cell r="G73">
            <v>37.5</v>
          </cell>
          <cell r="H73">
            <v>68.400000000000006</v>
          </cell>
          <cell r="J73">
            <v>0.83780160857908847</v>
          </cell>
          <cell r="K73" t="str">
            <v>Dick Stroh</v>
          </cell>
          <cell r="L73" t="str">
            <v>Idaho Falls Pump Data.xls</v>
          </cell>
        </row>
        <row r="74">
          <cell r="A74" t="str">
            <v>Vertical Turbine</v>
          </cell>
          <cell r="B74">
            <v>125</v>
          </cell>
          <cell r="E74">
            <v>472.66666666666669</v>
          </cell>
          <cell r="F74">
            <v>122.06666666666666</v>
          </cell>
          <cell r="G74">
            <v>96</v>
          </cell>
          <cell r="H74">
            <v>40.4</v>
          </cell>
          <cell r="J74">
            <v>1.0294906166219839</v>
          </cell>
          <cell r="K74" t="str">
            <v>Dick Stroh</v>
          </cell>
          <cell r="L74" t="str">
            <v>Idaho Falls Pump Data.xls</v>
          </cell>
        </row>
        <row r="75">
          <cell r="A75" t="str">
            <v>Vertical Turbine</v>
          </cell>
          <cell r="B75">
            <v>125</v>
          </cell>
          <cell r="E75">
            <v>472.66666666666669</v>
          </cell>
          <cell r="F75">
            <v>118.16666666666667</v>
          </cell>
          <cell r="G75">
            <v>0</v>
          </cell>
          <cell r="H75">
            <v>42.5</v>
          </cell>
          <cell r="K75" t="str">
            <v>Dick Stroh</v>
          </cell>
          <cell r="L75" t="str">
            <v>Idaho Falls Pump Data.xls</v>
          </cell>
        </row>
        <row r="76">
          <cell r="A76" t="str">
            <v>Vertical Turbine</v>
          </cell>
          <cell r="B76">
            <v>50</v>
          </cell>
          <cell r="E76">
            <v>0</v>
          </cell>
          <cell r="F76">
            <v>0</v>
          </cell>
          <cell r="G76">
            <v>24.5</v>
          </cell>
          <cell r="H76">
            <v>69.400000000000006</v>
          </cell>
          <cell r="J76">
            <v>0.65683646112600547</v>
          </cell>
          <cell r="K76" t="str">
            <v>Dick Stroh</v>
          </cell>
          <cell r="L76" t="str">
            <v>Idaho Falls Pump Data.xls</v>
          </cell>
        </row>
        <row r="77">
          <cell r="A77" t="str">
            <v>Vertical Turbine</v>
          </cell>
          <cell r="B77">
            <v>75</v>
          </cell>
          <cell r="E77">
            <v>0</v>
          </cell>
          <cell r="F77">
            <v>0</v>
          </cell>
          <cell r="G77">
            <v>29.1</v>
          </cell>
          <cell r="H77">
            <v>71.5</v>
          </cell>
          <cell r="J77">
            <v>0.52010723860589814</v>
          </cell>
          <cell r="K77" t="str">
            <v>Dick Stroh</v>
          </cell>
          <cell r="L77" t="str">
            <v>Idaho Falls Pump Data.xls</v>
          </cell>
        </row>
        <row r="78">
          <cell r="A78" t="str">
            <v>Vertical Turbine</v>
          </cell>
          <cell r="B78">
            <v>25</v>
          </cell>
          <cell r="E78">
            <v>0</v>
          </cell>
          <cell r="F78">
            <v>0</v>
          </cell>
          <cell r="G78">
            <v>12.9</v>
          </cell>
          <cell r="H78">
            <v>73.5</v>
          </cell>
          <cell r="J78">
            <v>0.69168900804289546</v>
          </cell>
          <cell r="K78" t="str">
            <v>Dick Stroh</v>
          </cell>
          <cell r="L78" t="str">
            <v>Idaho Falls Pump Data.xls</v>
          </cell>
        </row>
        <row r="79">
          <cell r="A79" t="str">
            <v>Vertical Turbine</v>
          </cell>
          <cell r="B79">
            <v>125</v>
          </cell>
          <cell r="E79">
            <v>0</v>
          </cell>
          <cell r="F79">
            <v>0</v>
          </cell>
          <cell r="G79">
            <v>86.5</v>
          </cell>
          <cell r="H79">
            <v>68.400000000000006</v>
          </cell>
          <cell r="J79">
            <v>0.92761394101876671</v>
          </cell>
          <cell r="K79" t="str">
            <v>Dick Stroh</v>
          </cell>
          <cell r="L79" t="str">
            <v>Idaho Falls Pump Data.xls</v>
          </cell>
        </row>
        <row r="80">
          <cell r="A80" t="str">
            <v>Vertical Turbine</v>
          </cell>
          <cell r="B80">
            <v>20</v>
          </cell>
          <cell r="E80">
            <v>493.33333333333331</v>
          </cell>
          <cell r="F80">
            <v>16.166666666666668</v>
          </cell>
          <cell r="G80">
            <v>0</v>
          </cell>
          <cell r="H80">
            <v>35.799999999999997</v>
          </cell>
          <cell r="K80" t="str">
            <v>Dick Stroh</v>
          </cell>
          <cell r="L80" t="str">
            <v>Idaho Falls Pump Data.xls</v>
          </cell>
        </row>
        <row r="81">
          <cell r="A81" t="str">
            <v>End Suction Centrifugal</v>
          </cell>
          <cell r="B81">
            <v>25</v>
          </cell>
          <cell r="E81">
            <v>493.33333333333331</v>
          </cell>
          <cell r="F81">
            <v>27.166666666666668</v>
          </cell>
          <cell r="G81">
            <v>0</v>
          </cell>
          <cell r="H81">
            <v>63.9</v>
          </cell>
          <cell r="K81" t="str">
            <v>Dick Stroh</v>
          </cell>
          <cell r="L81" t="str">
            <v>Idaho Falls Pump Data.xls</v>
          </cell>
        </row>
        <row r="82">
          <cell r="A82" t="str">
            <v>Vertical Turbine</v>
          </cell>
          <cell r="B82">
            <v>75</v>
          </cell>
          <cell r="E82">
            <v>475</v>
          </cell>
          <cell r="F82">
            <v>73.400000000000006</v>
          </cell>
          <cell r="G82">
            <v>0</v>
          </cell>
          <cell r="H82">
            <v>73.2</v>
          </cell>
          <cell r="K82" t="str">
            <v>Dick Stroh</v>
          </cell>
          <cell r="L82" t="str">
            <v>Idaho Falls Pump Data.xls</v>
          </cell>
        </row>
        <row r="83">
          <cell r="A83" t="str">
            <v>Split–Case Centrifugal</v>
          </cell>
          <cell r="B83">
            <v>60</v>
          </cell>
          <cell r="C83">
            <v>1750</v>
          </cell>
          <cell r="E83">
            <v>474.66666666666669</v>
          </cell>
          <cell r="F83">
            <v>67.7</v>
          </cell>
          <cell r="G83">
            <v>0</v>
          </cell>
          <cell r="H83">
            <v>77.400000000000006</v>
          </cell>
          <cell r="K83" t="str">
            <v>Dick Stroh</v>
          </cell>
          <cell r="L83" t="str">
            <v>Idaho Falls Pump Data.xls</v>
          </cell>
        </row>
        <row r="84">
          <cell r="A84" t="str">
            <v>Vertical Turbine</v>
          </cell>
          <cell r="B84">
            <v>300</v>
          </cell>
          <cell r="C84">
            <v>1770</v>
          </cell>
          <cell r="E84">
            <v>491.33333333333331</v>
          </cell>
          <cell r="F84">
            <v>290.66666666666669</v>
          </cell>
          <cell r="G84">
            <v>225</v>
          </cell>
          <cell r="H84">
            <v>70.3</v>
          </cell>
          <cell r="J84">
            <v>1.0053619302949062</v>
          </cell>
          <cell r="K84" t="str">
            <v>Dick Stroh</v>
          </cell>
          <cell r="L84" t="str">
            <v>Idaho Falls Pump Data.xls</v>
          </cell>
        </row>
        <row r="85">
          <cell r="A85" t="str">
            <v>Vertical Turbine</v>
          </cell>
          <cell r="B85">
            <v>300</v>
          </cell>
          <cell r="C85">
            <v>1770</v>
          </cell>
          <cell r="E85">
            <v>492.66666666666669</v>
          </cell>
          <cell r="F85">
            <v>294.33333333333331</v>
          </cell>
          <cell r="G85">
            <v>219</v>
          </cell>
          <cell r="H85">
            <v>59.7</v>
          </cell>
          <cell r="J85">
            <v>0.97855227882037532</v>
          </cell>
          <cell r="K85" t="str">
            <v>Dick Stroh</v>
          </cell>
          <cell r="L85" t="str">
            <v>Idaho Falls Pump Data.xls</v>
          </cell>
        </row>
        <row r="86">
          <cell r="A86" t="str">
            <v>Vertical Turbine</v>
          </cell>
          <cell r="B86">
            <v>300</v>
          </cell>
          <cell r="C86">
            <v>1770</v>
          </cell>
          <cell r="E86">
            <v>490</v>
          </cell>
          <cell r="F86">
            <v>311.33333333333331</v>
          </cell>
          <cell r="G86">
            <v>241</v>
          </cell>
          <cell r="H86">
            <v>62.9</v>
          </cell>
          <cell r="J86">
            <v>1.0768543342269883</v>
          </cell>
          <cell r="K86" t="str">
            <v>Dick Stroh</v>
          </cell>
          <cell r="L86" t="str">
            <v>Idaho Falls Pump Data.xls</v>
          </cell>
        </row>
        <row r="87">
          <cell r="A87" t="str">
            <v>Vertical Turbine</v>
          </cell>
          <cell r="B87">
            <v>300</v>
          </cell>
          <cell r="C87">
            <v>1770</v>
          </cell>
          <cell r="E87">
            <v>489.66666666666669</v>
          </cell>
          <cell r="F87">
            <v>295</v>
          </cell>
          <cell r="G87">
            <v>230</v>
          </cell>
          <cell r="H87">
            <v>65</v>
          </cell>
          <cell r="J87">
            <v>1.0277033065236818</v>
          </cell>
          <cell r="K87" t="str">
            <v>Dick Stroh</v>
          </cell>
          <cell r="L87" t="str">
            <v>Idaho Falls Pump Data.xls</v>
          </cell>
        </row>
        <row r="88">
          <cell r="A88" t="str">
            <v>Vertical Turbine</v>
          </cell>
          <cell r="B88">
            <v>75</v>
          </cell>
          <cell r="E88">
            <v>477.66666666666669</v>
          </cell>
          <cell r="F88">
            <v>68.266666666666666</v>
          </cell>
          <cell r="G88">
            <v>52</v>
          </cell>
          <cell r="H88">
            <v>0</v>
          </cell>
          <cell r="J88">
            <v>0.92940125111706873</v>
          </cell>
          <cell r="K88" t="str">
            <v>Dick Stroh</v>
          </cell>
          <cell r="L88" t="str">
            <v>Idaho Falls Pump Data.xls</v>
          </cell>
        </row>
        <row r="89">
          <cell r="A89" t="str">
            <v>Vertical Turbine</v>
          </cell>
          <cell r="B89">
            <v>300</v>
          </cell>
          <cell r="C89">
            <v>1770</v>
          </cell>
          <cell r="E89">
            <v>479</v>
          </cell>
          <cell r="F89">
            <v>89.266666666666666</v>
          </cell>
          <cell r="G89">
            <v>58</v>
          </cell>
          <cell r="H89">
            <v>56.3</v>
          </cell>
          <cell r="J89">
            <v>0.259159964253798</v>
          </cell>
          <cell r="K89" t="str">
            <v>Dick Stroh</v>
          </cell>
          <cell r="L89" t="str">
            <v>Idaho Falls Pump Data.xls</v>
          </cell>
        </row>
        <row r="90">
          <cell r="A90" t="str">
            <v>Vertical Turbine</v>
          </cell>
          <cell r="B90">
            <v>75</v>
          </cell>
          <cell r="C90">
            <v>1770</v>
          </cell>
          <cell r="E90">
            <v>0</v>
          </cell>
          <cell r="F90">
            <v>0</v>
          </cell>
          <cell r="G90">
            <v>62.7</v>
          </cell>
          <cell r="H90">
            <v>62.7</v>
          </cell>
          <cell r="J90">
            <v>1.1206434316353888</v>
          </cell>
          <cell r="K90" t="str">
            <v>Dick Stroh</v>
          </cell>
          <cell r="L90" t="str">
            <v>Idaho Falls Pump Data.xls</v>
          </cell>
        </row>
        <row r="91">
          <cell r="A91" t="str">
            <v>Vertical Turbine</v>
          </cell>
          <cell r="B91">
            <v>100</v>
          </cell>
          <cell r="C91">
            <v>1770</v>
          </cell>
          <cell r="E91">
            <v>486</v>
          </cell>
          <cell r="F91">
            <v>117.93333333333332</v>
          </cell>
          <cell r="G91">
            <v>90</v>
          </cell>
          <cell r="H91">
            <v>41.3</v>
          </cell>
          <cell r="J91">
            <v>1.2064343163538875</v>
          </cell>
          <cell r="K91" t="str">
            <v>Dick Stroh</v>
          </cell>
          <cell r="L91" t="str">
            <v>Idaho Falls Pump Data.xls</v>
          </cell>
        </row>
        <row r="92">
          <cell r="A92" t="str">
            <v>Vertical Turbine</v>
          </cell>
          <cell r="B92">
            <v>125</v>
          </cell>
          <cell r="C92">
            <v>1770</v>
          </cell>
          <cell r="E92">
            <v>0</v>
          </cell>
          <cell r="F92">
            <v>0</v>
          </cell>
          <cell r="G92">
            <v>100.4</v>
          </cell>
          <cell r="H92">
            <v>68.599999999999994</v>
          </cell>
          <cell r="J92">
            <v>1.0766756032171583</v>
          </cell>
          <cell r="K92" t="str">
            <v>Dick Stroh</v>
          </cell>
          <cell r="L92" t="str">
            <v>Idaho Falls Pump Data.xls</v>
          </cell>
        </row>
        <row r="93">
          <cell r="A93" t="str">
            <v>Vertical Turbine</v>
          </cell>
          <cell r="B93">
            <v>300</v>
          </cell>
          <cell r="C93">
            <v>1770</v>
          </cell>
          <cell r="E93">
            <v>492.66666666666669</v>
          </cell>
          <cell r="F93">
            <v>295.66666666666669</v>
          </cell>
          <cell r="G93">
            <v>215</v>
          </cell>
          <cell r="H93">
            <v>67</v>
          </cell>
          <cell r="J93">
            <v>0.96067917783735468</v>
          </cell>
          <cell r="K93" t="str">
            <v>Dick Stroh</v>
          </cell>
          <cell r="L93" t="str">
            <v>Idaho Falls Pump Data.xls</v>
          </cell>
        </row>
        <row r="94">
          <cell r="A94" t="str">
            <v>Vertical Turbine</v>
          </cell>
          <cell r="B94">
            <v>150</v>
          </cell>
          <cell r="E94">
            <v>477</v>
          </cell>
          <cell r="F94">
            <v>159.30000000000001</v>
          </cell>
          <cell r="G94">
            <v>109.4</v>
          </cell>
          <cell r="H94">
            <v>59</v>
          </cell>
          <cell r="J94">
            <v>0.97765862377122426</v>
          </cell>
          <cell r="K94" t="str">
            <v>Dick Stroh</v>
          </cell>
          <cell r="L94" t="str">
            <v>Idaho Falls Pump Data.xls</v>
          </cell>
        </row>
        <row r="95">
          <cell r="A95" t="str">
            <v>Vertical Turbine</v>
          </cell>
          <cell r="B95">
            <v>150</v>
          </cell>
          <cell r="E95">
            <v>0</v>
          </cell>
          <cell r="F95">
            <v>0</v>
          </cell>
          <cell r="G95">
            <v>64.8</v>
          </cell>
          <cell r="H95">
            <v>72.2</v>
          </cell>
          <cell r="J95">
            <v>0.57908847184986589</v>
          </cell>
          <cell r="K95" t="str">
            <v>Dick Stroh</v>
          </cell>
          <cell r="L95" t="str">
            <v>Idaho Falls Pump Data.xls</v>
          </cell>
        </row>
        <row r="96">
          <cell r="A96" t="str">
            <v>Vertical Turbine</v>
          </cell>
          <cell r="B96">
            <v>75</v>
          </cell>
          <cell r="E96">
            <v>0</v>
          </cell>
          <cell r="F96">
            <v>0</v>
          </cell>
          <cell r="G96">
            <v>0</v>
          </cell>
          <cell r="H96">
            <v>73.2</v>
          </cell>
          <cell r="K96" t="str">
            <v>Dick Stroh</v>
          </cell>
          <cell r="L96" t="str">
            <v>Idaho Falls Pump Data.xls</v>
          </cell>
        </row>
        <row r="97">
          <cell r="A97" t="str">
            <v>Split–Case Centrifugal</v>
          </cell>
          <cell r="B97">
            <v>60</v>
          </cell>
          <cell r="C97">
            <v>1750</v>
          </cell>
          <cell r="E97">
            <v>0</v>
          </cell>
          <cell r="F97">
            <v>0</v>
          </cell>
          <cell r="G97">
            <v>0</v>
          </cell>
          <cell r="H97">
            <v>77.400000000000006</v>
          </cell>
          <cell r="K97" t="str">
            <v>Dick Stroh</v>
          </cell>
          <cell r="L97" t="str">
            <v>Idaho Falls Pump Data.xls</v>
          </cell>
        </row>
        <row r="98">
          <cell r="A98" t="str">
            <v>Vertical Turbine</v>
          </cell>
          <cell r="B98">
            <v>400</v>
          </cell>
          <cell r="C98">
            <v>1770</v>
          </cell>
          <cell r="E98">
            <v>158.33333333333334</v>
          </cell>
          <cell r="F98">
            <v>141.66666666666666</v>
          </cell>
          <cell r="G98">
            <v>321.7</v>
          </cell>
          <cell r="H98">
            <v>69</v>
          </cell>
          <cell r="J98">
            <v>1.0780831099195711</v>
          </cell>
          <cell r="K98" t="str">
            <v>Dick Stroh</v>
          </cell>
          <cell r="L98" t="str">
            <v>Idaho Falls Pump Data.xls</v>
          </cell>
        </row>
        <row r="99">
          <cell r="A99" t="str">
            <v>Vertical Turbine</v>
          </cell>
          <cell r="B99">
            <v>20</v>
          </cell>
          <cell r="E99">
            <v>482</v>
          </cell>
          <cell r="F99">
            <v>20.933333333333334</v>
          </cell>
          <cell r="G99">
            <v>16.600000000000001</v>
          </cell>
          <cell r="H99">
            <v>58.6</v>
          </cell>
          <cell r="J99">
            <v>1.1126005361930296</v>
          </cell>
          <cell r="K99" t="str">
            <v>Dick Stroh</v>
          </cell>
          <cell r="L99" t="str">
            <v>Idaho Falls Pump Data.xls</v>
          </cell>
        </row>
        <row r="100">
          <cell r="A100" t="str">
            <v>Vertical Turbine</v>
          </cell>
          <cell r="B100">
            <v>100</v>
          </cell>
          <cell r="E100">
            <v>478</v>
          </cell>
          <cell r="F100">
            <v>64.63333333333334</v>
          </cell>
          <cell r="G100">
            <v>52</v>
          </cell>
          <cell r="H100">
            <v>60.5</v>
          </cell>
          <cell r="J100">
            <v>0.69705093833780163</v>
          </cell>
          <cell r="K100" t="str">
            <v>Dick Stroh</v>
          </cell>
          <cell r="L100" t="str">
            <v>Idaho Falls Pump Data.xls</v>
          </cell>
        </row>
        <row r="101">
          <cell r="A101" t="str">
            <v>Vertical Turbine</v>
          </cell>
          <cell r="B101">
            <v>20</v>
          </cell>
          <cell r="E101">
            <v>484.66666666666669</v>
          </cell>
          <cell r="F101">
            <v>17.733333333333334</v>
          </cell>
          <cell r="G101">
            <v>13.5</v>
          </cell>
          <cell r="H101">
            <v>48.4</v>
          </cell>
          <cell r="J101">
            <v>0.9048257372654156</v>
          </cell>
          <cell r="K101" t="str">
            <v>Dick Stroh</v>
          </cell>
          <cell r="L101" t="str">
            <v>Idaho Falls Pump Data.xls</v>
          </cell>
        </row>
        <row r="102">
          <cell r="A102" t="str">
            <v>Vertical Turbine</v>
          </cell>
          <cell r="B102">
            <v>25</v>
          </cell>
          <cell r="C102">
            <v>1770</v>
          </cell>
          <cell r="E102">
            <v>478</v>
          </cell>
          <cell r="F102">
            <v>18.566666666666666</v>
          </cell>
          <cell r="G102">
            <v>14.1</v>
          </cell>
          <cell r="H102">
            <v>51.1</v>
          </cell>
          <cell r="J102">
            <v>0.7560321715817695</v>
          </cell>
          <cell r="K102" t="str">
            <v>Dick Stroh</v>
          </cell>
          <cell r="L102" t="str">
            <v>Idaho Falls Pump Data.xls</v>
          </cell>
        </row>
        <row r="103">
          <cell r="A103" t="str">
            <v>Vertical Turbine</v>
          </cell>
          <cell r="B103">
            <v>100</v>
          </cell>
          <cell r="C103">
            <v>1770</v>
          </cell>
          <cell r="E103">
            <v>478.66666666666669</v>
          </cell>
          <cell r="F103">
            <v>152.80000000000001</v>
          </cell>
          <cell r="G103">
            <v>97.5</v>
          </cell>
          <cell r="H103">
            <v>53.6</v>
          </cell>
          <cell r="J103">
            <v>1.3069705093833781</v>
          </cell>
          <cell r="K103" t="str">
            <v>Dick Stroh</v>
          </cell>
          <cell r="L103" t="str">
            <v>Idaho Falls Pump Data.xls</v>
          </cell>
        </row>
        <row r="104">
          <cell r="A104" t="str">
            <v>Split–Case Centrifugal</v>
          </cell>
          <cell r="B104">
            <v>30</v>
          </cell>
          <cell r="E104">
            <v>478.66666666666669</v>
          </cell>
          <cell r="F104">
            <v>37.200000000000003</v>
          </cell>
          <cell r="G104">
            <v>22.8</v>
          </cell>
          <cell r="H104">
            <v>62.1</v>
          </cell>
          <cell r="J104">
            <v>1.0187667560321716</v>
          </cell>
          <cell r="K104" t="str">
            <v>Dick Stroh</v>
          </cell>
          <cell r="L104" t="str">
            <v>Idaho Falls Pump Data.xls</v>
          </cell>
        </row>
        <row r="105">
          <cell r="A105" t="str">
            <v>Vertical Turbine</v>
          </cell>
          <cell r="B105">
            <v>100</v>
          </cell>
          <cell r="C105">
            <v>1770</v>
          </cell>
          <cell r="E105">
            <v>484</v>
          </cell>
          <cell r="F105">
            <v>140</v>
          </cell>
          <cell r="G105">
            <v>97</v>
          </cell>
          <cell r="H105">
            <v>56.5</v>
          </cell>
          <cell r="J105">
            <v>1.3002680965147455</v>
          </cell>
          <cell r="K105" t="str">
            <v>Dick Stroh</v>
          </cell>
          <cell r="L105" t="str">
            <v>Idaho Falls Pump Data.xls</v>
          </cell>
        </row>
        <row r="106">
          <cell r="A106" t="str">
            <v>Split–Case Centrifugal</v>
          </cell>
          <cell r="B106">
            <v>30</v>
          </cell>
          <cell r="E106">
            <v>481</v>
          </cell>
          <cell r="F106">
            <v>31.6</v>
          </cell>
          <cell r="G106">
            <v>21.4</v>
          </cell>
          <cell r="H106">
            <v>74.8</v>
          </cell>
          <cell r="J106">
            <v>0.95621090259159958</v>
          </cell>
          <cell r="K106" t="str">
            <v>Dick Stroh</v>
          </cell>
          <cell r="L106" t="str">
            <v>Idaho Falls Pump Data.xls</v>
          </cell>
        </row>
        <row r="107">
          <cell r="A107" t="str">
            <v>Vertical Turbine</v>
          </cell>
          <cell r="B107">
            <v>100</v>
          </cell>
          <cell r="C107">
            <v>1770</v>
          </cell>
          <cell r="E107">
            <v>481.33333333333331</v>
          </cell>
          <cell r="F107">
            <v>139.33333333333334</v>
          </cell>
          <cell r="G107">
            <v>97</v>
          </cell>
          <cell r="H107">
            <v>53</v>
          </cell>
          <cell r="J107">
            <v>1.3002680965147455</v>
          </cell>
          <cell r="K107" t="str">
            <v>Dick Stroh</v>
          </cell>
          <cell r="L107" t="str">
            <v>Idaho Falls Pump Data.xls</v>
          </cell>
        </row>
        <row r="108">
          <cell r="A108" t="str">
            <v>Vertical Turbine</v>
          </cell>
          <cell r="B108">
            <v>125</v>
          </cell>
          <cell r="C108">
            <v>1770</v>
          </cell>
          <cell r="E108">
            <v>0</v>
          </cell>
          <cell r="F108">
            <v>0</v>
          </cell>
          <cell r="G108">
            <v>97.5</v>
          </cell>
          <cell r="H108">
            <v>54.4</v>
          </cell>
          <cell r="J108">
            <v>1.0455764075067024</v>
          </cell>
          <cell r="K108" t="str">
            <v>Dick Stroh</v>
          </cell>
          <cell r="L108" t="str">
            <v>Idaho Falls Pump Data.xls</v>
          </cell>
        </row>
        <row r="109">
          <cell r="A109" t="str">
            <v>Split–Case Centrifugal</v>
          </cell>
          <cell r="B109">
            <v>30</v>
          </cell>
          <cell r="E109">
            <v>0</v>
          </cell>
          <cell r="F109">
            <v>0</v>
          </cell>
          <cell r="G109">
            <v>19.600000000000001</v>
          </cell>
          <cell r="H109">
            <v>71.3</v>
          </cell>
          <cell r="J109">
            <v>0.87578194816800725</v>
          </cell>
          <cell r="K109" t="str">
            <v>Dick Stroh</v>
          </cell>
          <cell r="L109" t="str">
            <v>Idaho Falls Pump Data.xls</v>
          </cell>
        </row>
        <row r="110">
          <cell r="A110" t="str">
            <v>Vertical Turbine</v>
          </cell>
          <cell r="B110">
            <v>125</v>
          </cell>
          <cell r="C110">
            <v>1770</v>
          </cell>
          <cell r="E110">
            <v>0</v>
          </cell>
          <cell r="F110">
            <v>0</v>
          </cell>
          <cell r="G110">
            <v>97</v>
          </cell>
          <cell r="H110">
            <v>51.8</v>
          </cell>
          <cell r="J110">
            <v>1.0402144772117963</v>
          </cell>
          <cell r="K110" t="str">
            <v>Dick Stroh</v>
          </cell>
          <cell r="L110" t="str">
            <v>Idaho Falls Pump Data.xls</v>
          </cell>
        </row>
        <row r="111">
          <cell r="A111" t="str">
            <v>Split–Case Centrifugal</v>
          </cell>
          <cell r="B111">
            <v>30</v>
          </cell>
          <cell r="E111">
            <v>0</v>
          </cell>
          <cell r="F111">
            <v>0</v>
          </cell>
          <cell r="G111">
            <v>21.4</v>
          </cell>
          <cell r="H111">
            <v>74.8</v>
          </cell>
          <cell r="J111">
            <v>0.95621090259159958</v>
          </cell>
          <cell r="K111" t="str">
            <v>Dick Stroh</v>
          </cell>
          <cell r="L111" t="str">
            <v>Idaho Falls Pump Data.xls</v>
          </cell>
        </row>
        <row r="112">
          <cell r="A112" t="str">
            <v>Vertical Turbine</v>
          </cell>
          <cell r="B112">
            <v>125</v>
          </cell>
          <cell r="C112">
            <v>1770</v>
          </cell>
          <cell r="E112">
            <v>0</v>
          </cell>
          <cell r="F112">
            <v>0</v>
          </cell>
          <cell r="G112">
            <v>97</v>
          </cell>
          <cell r="H112">
            <v>48</v>
          </cell>
          <cell r="J112">
            <v>1.0402144772117963</v>
          </cell>
          <cell r="K112" t="str">
            <v>Dick Stroh</v>
          </cell>
          <cell r="L112" t="str">
            <v>Idaho Falls Pump Data.xls</v>
          </cell>
        </row>
        <row r="113">
          <cell r="A113" t="str">
            <v>Vertical Turbine</v>
          </cell>
          <cell r="B113">
            <v>150</v>
          </cell>
          <cell r="C113">
            <v>1780</v>
          </cell>
          <cell r="E113">
            <v>466.33333333333331</v>
          </cell>
          <cell r="F113">
            <v>179.66666666666666</v>
          </cell>
          <cell r="G113">
            <v>122.4</v>
          </cell>
          <cell r="H113">
            <v>52.9</v>
          </cell>
          <cell r="J113">
            <v>1.093833780160858</v>
          </cell>
          <cell r="K113" t="str">
            <v>Dick Stroh</v>
          </cell>
          <cell r="L113" t="str">
            <v>Idaho Falls Pump Data.xls</v>
          </cell>
        </row>
        <row r="114">
          <cell r="A114" t="str">
            <v>Vertical Turbine</v>
          </cell>
          <cell r="B114">
            <v>150</v>
          </cell>
          <cell r="C114">
            <v>1770</v>
          </cell>
          <cell r="E114">
            <v>0</v>
          </cell>
          <cell r="F114">
            <v>0</v>
          </cell>
          <cell r="G114">
            <v>75</v>
          </cell>
          <cell r="H114">
            <v>71.599999999999994</v>
          </cell>
          <cell r="J114">
            <v>0.67024128686327078</v>
          </cell>
          <cell r="K114" t="str">
            <v>Dick Stroh</v>
          </cell>
          <cell r="L114" t="str">
            <v>Idaho Falls Pump Data.xls</v>
          </cell>
        </row>
        <row r="115">
          <cell r="A115" t="str">
            <v>Vertical Turbine</v>
          </cell>
          <cell r="B115">
            <v>150</v>
          </cell>
          <cell r="C115">
            <v>1770</v>
          </cell>
          <cell r="E115">
            <v>472.66666666666669</v>
          </cell>
          <cell r="F115">
            <v>137.33333333333334</v>
          </cell>
          <cell r="G115">
            <v>89.2</v>
          </cell>
          <cell r="H115">
            <v>69</v>
          </cell>
          <cell r="J115">
            <v>0.79714030384271672</v>
          </cell>
          <cell r="K115" t="str">
            <v>Dick Stroh</v>
          </cell>
          <cell r="L115" t="str">
            <v>Idaho Falls Pump Data.xls</v>
          </cell>
        </row>
        <row r="116">
          <cell r="A116" t="str">
            <v>Vertical Turbine</v>
          </cell>
          <cell r="B116">
            <v>700</v>
          </cell>
          <cell r="C116">
            <v>1775</v>
          </cell>
          <cell r="E116">
            <v>0</v>
          </cell>
          <cell r="F116">
            <v>0</v>
          </cell>
          <cell r="G116">
            <v>430</v>
          </cell>
          <cell r="H116">
            <v>68.599999999999994</v>
          </cell>
          <cell r="J116">
            <v>0.82343929528916116</v>
          </cell>
          <cell r="K116" t="str">
            <v>Dick Stroh</v>
          </cell>
          <cell r="L116" t="str">
            <v>Idaho Falls Pump Data.xls</v>
          </cell>
        </row>
        <row r="117">
          <cell r="A117" t="str">
            <v>Vertical Turbine</v>
          </cell>
          <cell r="B117">
            <v>50</v>
          </cell>
          <cell r="E117">
            <v>459</v>
          </cell>
          <cell r="F117">
            <v>67.833333333333329</v>
          </cell>
          <cell r="G117">
            <v>43.7</v>
          </cell>
          <cell r="H117">
            <v>44.7</v>
          </cell>
          <cell r="J117">
            <v>1.1715817694369974</v>
          </cell>
          <cell r="K117" t="str">
            <v>Dick Stroh</v>
          </cell>
          <cell r="L117" t="str">
            <v>Idaho Falls Pump Data.xls</v>
          </cell>
        </row>
        <row r="118">
          <cell r="A118" t="str">
            <v>Vertical Turbine</v>
          </cell>
          <cell r="B118">
            <v>75</v>
          </cell>
          <cell r="E118">
            <v>0</v>
          </cell>
          <cell r="F118">
            <v>0</v>
          </cell>
          <cell r="G118">
            <v>58.5</v>
          </cell>
          <cell r="H118">
            <v>72.400000000000006</v>
          </cell>
          <cell r="J118">
            <v>1.0455764075067024</v>
          </cell>
          <cell r="K118" t="str">
            <v>Dick Stroh</v>
          </cell>
          <cell r="L118" t="str">
            <v>Idaho Falls Pump Data.xls</v>
          </cell>
        </row>
        <row r="119">
          <cell r="A119" t="str">
            <v>Vertical Turbine</v>
          </cell>
          <cell r="B119">
            <v>250</v>
          </cell>
          <cell r="C119">
            <v>1760</v>
          </cell>
          <cell r="E119">
            <v>484</v>
          </cell>
          <cell r="F119">
            <v>241</v>
          </cell>
          <cell r="G119">
            <v>185.9</v>
          </cell>
          <cell r="H119">
            <v>64.8</v>
          </cell>
          <cell r="J119">
            <v>0.99678284182305632</v>
          </cell>
          <cell r="K119" t="str">
            <v>Dick Stroh</v>
          </cell>
          <cell r="L119" t="str">
            <v>Idaho Falls Pump Data.xls</v>
          </cell>
        </row>
        <row r="120">
          <cell r="A120" t="str">
            <v>Vertical Turbine</v>
          </cell>
          <cell r="B120">
            <v>250</v>
          </cell>
          <cell r="C120">
            <v>1760</v>
          </cell>
          <cell r="E120">
            <v>484</v>
          </cell>
          <cell r="F120">
            <v>231</v>
          </cell>
          <cell r="G120">
            <v>178.2</v>
          </cell>
          <cell r="H120">
            <v>66.7</v>
          </cell>
          <cell r="J120">
            <v>0.95549597855227875</v>
          </cell>
          <cell r="K120" t="str">
            <v>Dick Stroh</v>
          </cell>
          <cell r="L120" t="str">
            <v>Idaho Falls Pump Data.xls</v>
          </cell>
        </row>
        <row r="121">
          <cell r="A121" t="str">
            <v>Vertical Turbine</v>
          </cell>
          <cell r="B121">
            <v>100</v>
          </cell>
          <cell r="C121">
            <v>1770</v>
          </cell>
          <cell r="E121">
            <v>481</v>
          </cell>
          <cell r="F121">
            <v>102.5</v>
          </cell>
          <cell r="G121">
            <v>77.7</v>
          </cell>
          <cell r="H121">
            <v>67.2</v>
          </cell>
          <cell r="J121">
            <v>1.0415549597855229</v>
          </cell>
          <cell r="K121" t="str">
            <v>Dick Stroh</v>
          </cell>
          <cell r="L121" t="str">
            <v>Idaho Falls Pump Data.xls</v>
          </cell>
        </row>
        <row r="122">
          <cell r="A122" t="str">
            <v>Vertical Turbine</v>
          </cell>
          <cell r="B122">
            <v>100</v>
          </cell>
          <cell r="C122">
            <v>1770</v>
          </cell>
          <cell r="E122">
            <v>0</v>
          </cell>
          <cell r="F122">
            <v>0</v>
          </cell>
          <cell r="G122">
            <v>78.099999999999994</v>
          </cell>
          <cell r="H122">
            <v>66.5</v>
          </cell>
          <cell r="J122">
            <v>1.0469168900804289</v>
          </cell>
          <cell r="K122" t="str">
            <v>Dick Stroh</v>
          </cell>
          <cell r="L122" t="str">
            <v>Idaho Falls Pump Data.xls</v>
          </cell>
        </row>
        <row r="123">
          <cell r="A123" t="str">
            <v>Vertical Turbine</v>
          </cell>
          <cell r="B123">
            <v>100</v>
          </cell>
          <cell r="C123">
            <v>1770</v>
          </cell>
          <cell r="E123">
            <v>0</v>
          </cell>
          <cell r="F123">
            <v>0</v>
          </cell>
          <cell r="G123">
            <v>78.8</v>
          </cell>
          <cell r="H123">
            <v>66.099999999999994</v>
          </cell>
          <cell r="J123">
            <v>1.0563002680965148</v>
          </cell>
          <cell r="K123" t="str">
            <v>Dick Stroh</v>
          </cell>
          <cell r="L123" t="str">
            <v>Idaho Falls Pump Data.xls</v>
          </cell>
        </row>
        <row r="124">
          <cell r="A124" t="str">
            <v>End Suction Centrifugal</v>
          </cell>
          <cell r="B124">
            <v>75</v>
          </cell>
          <cell r="E124">
            <v>485.66666666666669</v>
          </cell>
          <cell r="F124">
            <v>85.666666666666671</v>
          </cell>
          <cell r="G124">
            <v>57.4</v>
          </cell>
          <cell r="H124">
            <v>67.5</v>
          </cell>
          <cell r="J124">
            <v>1.0259159964253797</v>
          </cell>
          <cell r="K124" t="str">
            <v>Dick Stroh</v>
          </cell>
          <cell r="L124" t="str">
            <v>Idaho Falls Pump Data.xls</v>
          </cell>
        </row>
        <row r="125">
          <cell r="A125" t="str">
            <v>End Suction Centrifugal</v>
          </cell>
          <cell r="B125">
            <v>75</v>
          </cell>
          <cell r="E125">
            <v>0</v>
          </cell>
          <cell r="F125">
            <v>0</v>
          </cell>
          <cell r="G125">
            <v>63.7</v>
          </cell>
          <cell r="H125">
            <v>75</v>
          </cell>
          <cell r="J125">
            <v>1.1385165326184092</v>
          </cell>
          <cell r="K125" t="str">
            <v>Dick Stroh</v>
          </cell>
          <cell r="L125" t="str">
            <v>Idaho Falls Pump Data.xls</v>
          </cell>
        </row>
        <row r="126">
          <cell r="A126" t="str">
            <v>Vertical Turbine</v>
          </cell>
          <cell r="B126">
            <v>100</v>
          </cell>
          <cell r="E126">
            <v>486</v>
          </cell>
          <cell r="F126">
            <v>122.33333333333333</v>
          </cell>
          <cell r="G126">
            <v>88.9</v>
          </cell>
          <cell r="H126">
            <v>63.9</v>
          </cell>
          <cell r="J126">
            <v>1.1916890080428957</v>
          </cell>
          <cell r="K126" t="str">
            <v>Dick Stroh</v>
          </cell>
          <cell r="L126" t="str">
            <v>Idaho Falls Pump Data.xls</v>
          </cell>
        </row>
        <row r="127">
          <cell r="A127" t="str">
            <v>End Suction Centrifugal</v>
          </cell>
          <cell r="B127">
            <v>100</v>
          </cell>
          <cell r="C127">
            <v>1770</v>
          </cell>
          <cell r="E127">
            <v>0</v>
          </cell>
          <cell r="F127">
            <v>0</v>
          </cell>
          <cell r="G127">
            <v>88.4</v>
          </cell>
          <cell r="H127">
            <v>75</v>
          </cell>
          <cell r="J127">
            <v>1.1849865951742629</v>
          </cell>
          <cell r="K127" t="str">
            <v>Dick Stroh</v>
          </cell>
          <cell r="L127" t="str">
            <v>Idaho Falls Pump Data.xls</v>
          </cell>
        </row>
      </sheetData>
      <sheetData sheetId="28">
        <row r="6">
          <cell r="C6" t="str">
            <v>Site Count</v>
          </cell>
          <cell r="D6">
            <v>92</v>
          </cell>
        </row>
        <row r="8">
          <cell r="C8" t="str">
            <v>Method</v>
          </cell>
          <cell r="D8" t="str">
            <v>Flow rate (gpm)</v>
          </cell>
          <cell r="E8" t="str">
            <v>Pumping Lift (ft)</v>
          </cell>
          <cell r="F8" t="str">
            <v>Discharge pressure (psi)</v>
          </cell>
          <cell r="G8" t="str">
            <v>TDH</v>
          </cell>
          <cell r="H8" t="str">
            <v>Eff</v>
          </cell>
          <cell r="I8" t="str">
            <v>Average Hours (kWh/kW, average for multiple years)</v>
          </cell>
          <cell r="J8" t="str">
            <v>Average Median Hours
(kWh/kW, median for multiple years)</v>
          </cell>
        </row>
        <row r="9">
          <cell r="C9" t="str">
            <v>Average</v>
          </cell>
          <cell r="D9">
            <v>1090.292967032967</v>
          </cell>
          <cell r="G9">
            <v>224.20733694876557</v>
          </cell>
        </row>
        <row r="10">
          <cell r="C10" t="str">
            <v>Flow-weighted average</v>
          </cell>
          <cell r="E10">
            <v>99.383497522828662</v>
          </cell>
          <cell r="F10">
            <v>66.228737996219579</v>
          </cell>
        </row>
        <row r="11">
          <cell r="C11" t="str">
            <v>TDH-weighted average</v>
          </cell>
          <cell r="H11">
            <v>0.58334415460450684</v>
          </cell>
          <cell r="I11">
            <v>1110.4004822704537</v>
          </cell>
          <cell r="J11">
            <v>1142.0704360309376</v>
          </cell>
        </row>
        <row r="15">
          <cell r="B15" t="str">
            <v>Source: 2009 - 2011 Idaho irrigation data from PacifiCorp</v>
          </cell>
        </row>
        <row r="17">
          <cell r="C17" t="str">
            <v>System Type</v>
          </cell>
          <cell r="D17" t="str">
            <v>Count</v>
          </cell>
          <cell r="E17" t="str">
            <v>Average Values</v>
          </cell>
        </row>
        <row r="18">
          <cell r="E18" t="str">
            <v>Verified at Pump</v>
          </cell>
          <cell r="F18">
            <v>0</v>
          </cell>
          <cell r="G18">
            <v>0</v>
          </cell>
          <cell r="H18" t="str">
            <v>Verified at Pivot</v>
          </cell>
          <cell r="I18">
            <v>0</v>
          </cell>
          <cell r="J18">
            <v>0</v>
          </cell>
          <cell r="K18" t="str">
            <v>TDH (ft.)</v>
          </cell>
          <cell r="L18" t="str">
            <v>Primary pump specs:</v>
          </cell>
          <cell r="M18">
            <v>0</v>
          </cell>
          <cell r="N18">
            <v>0</v>
          </cell>
          <cell r="O18" t="str">
            <v>Booster pump specs:</v>
          </cell>
          <cell r="P18">
            <v>0</v>
          </cell>
          <cell r="Q18">
            <v>0</v>
          </cell>
          <cell r="R18">
            <v>0</v>
          </cell>
          <cell r="S18">
            <v>0</v>
          </cell>
        </row>
        <row r="19">
          <cell r="E19" t="str">
            <v>GPM @ Pump</v>
          </cell>
          <cell r="F19" t="str">
            <v>Flow rate at pump (ft/sec)</v>
          </cell>
          <cell r="G19" t="str">
            <v>Pressure at Pump (PSI)</v>
          </cell>
          <cell r="H19" t="str">
            <v>GPM @ Pivot</v>
          </cell>
          <cell r="I19" t="str">
            <v>Flow rate at Pivot (ft/sec)</v>
          </cell>
          <cell r="J19" t="str">
            <v>Pressure at Pivot (PSI)</v>
          </cell>
          <cell r="K19">
            <v>0</v>
          </cell>
          <cell r="L19" t="str">
            <v>HP</v>
          </cell>
          <cell r="M19" t="str">
            <v>rated motor kW</v>
          </cell>
          <cell r="N19" t="str">
            <v>Full load kW 
(spot reading)</v>
          </cell>
          <cell r="O19" t="str">
            <v>spot  reading avg PF</v>
          </cell>
          <cell r="P19" t="str">
            <v>HP</v>
          </cell>
          <cell r="Q19" t="str">
            <v>Booster spot  reading kW</v>
          </cell>
          <cell r="R19" t="str">
            <v>Booster PF</v>
          </cell>
          <cell r="S19" t="str">
            <v>Booster pump kW</v>
          </cell>
        </row>
        <row r="20">
          <cell r="C20" t="str">
            <v>canal</v>
          </cell>
          <cell r="D20">
            <v>1</v>
          </cell>
          <cell r="E20">
            <v>6713.3</v>
          </cell>
          <cell r="F20">
            <v>7.13</v>
          </cell>
          <cell r="G20">
            <v>0</v>
          </cell>
          <cell r="K20">
            <v>187.065</v>
          </cell>
          <cell r="L20">
            <v>100</v>
          </cell>
          <cell r="N20">
            <v>62.19</v>
          </cell>
          <cell r="O20">
            <v>0.91300000000000014</v>
          </cell>
        </row>
        <row r="21">
          <cell r="C21" t="str">
            <v>handline</v>
          </cell>
          <cell r="D21">
            <v>25</v>
          </cell>
          <cell r="E21">
            <v>823.66507936507924</v>
          </cell>
          <cell r="F21">
            <v>4.1516666666666664</v>
          </cell>
          <cell r="G21">
            <v>59.1</v>
          </cell>
          <cell r="H21">
            <v>10.3</v>
          </cell>
          <cell r="J21">
            <v>50.25</v>
          </cell>
          <cell r="K21">
            <v>296.57680000000005</v>
          </cell>
          <cell r="L21">
            <v>191</v>
          </cell>
          <cell r="M21">
            <v>202.72177549731401</v>
          </cell>
          <cell r="N21">
            <v>126.59403556611574</v>
          </cell>
          <cell r="O21">
            <v>0.85270666666666672</v>
          </cell>
          <cell r="P21">
            <v>144</v>
          </cell>
          <cell r="R21">
            <v>0.85959999999999981</v>
          </cell>
          <cell r="S21">
            <v>107.380781568</v>
          </cell>
        </row>
        <row r="22">
          <cell r="C22" t="str">
            <v>pivot</v>
          </cell>
          <cell r="D22">
            <v>121</v>
          </cell>
          <cell r="E22">
            <v>1427.3336016096575</v>
          </cell>
          <cell r="F22">
            <v>6.6310000000000002</v>
          </cell>
          <cell r="G22">
            <v>68.027111111111111</v>
          </cell>
          <cell r="H22">
            <v>910.11304347826115</v>
          </cell>
          <cell r="I22">
            <v>6.331714285714285</v>
          </cell>
          <cell r="J22">
            <v>54.785714285714285</v>
          </cell>
          <cell r="K22">
            <v>447.53962809917374</v>
          </cell>
          <cell r="L22">
            <v>306.77685950413223</v>
          </cell>
          <cell r="M22">
            <v>273.08950134456074</v>
          </cell>
          <cell r="N22">
            <v>250.26382566969187</v>
          </cell>
          <cell r="O22">
            <v>0.85763911845729957</v>
          </cell>
          <cell r="P22">
            <v>157.23684210526315</v>
          </cell>
          <cell r="Q22">
            <v>134.22798467294041</v>
          </cell>
          <cell r="R22">
            <v>0.84905263157894761</v>
          </cell>
          <cell r="S22">
            <v>118.41035950822754</v>
          </cell>
        </row>
        <row r="23">
          <cell r="C23" t="str">
            <v>solid set</v>
          </cell>
          <cell r="D23">
            <v>6</v>
          </cell>
          <cell r="E23">
            <v>638.51666666666665</v>
          </cell>
          <cell r="F23">
            <v>3.7450000000000006</v>
          </cell>
          <cell r="G23">
            <v>108</v>
          </cell>
          <cell r="H23">
            <v>198.66000000000003</v>
          </cell>
          <cell r="I23">
            <v>5.6759999999999993</v>
          </cell>
          <cell r="K23">
            <v>202.17499999999998</v>
          </cell>
          <cell r="L23">
            <v>71.666666666666671</v>
          </cell>
          <cell r="M23">
            <v>72.820630726820539</v>
          </cell>
          <cell r="N23">
            <v>61.534995477442095</v>
          </cell>
          <cell r="O23">
            <v>0.85138888888888886</v>
          </cell>
        </row>
        <row r="24">
          <cell r="C24" t="str">
            <v>wheel</v>
          </cell>
          <cell r="D24">
            <v>3</v>
          </cell>
          <cell r="E24">
            <v>977.2</v>
          </cell>
          <cell r="F24">
            <v>2.96</v>
          </cell>
          <cell r="G24">
            <v>70</v>
          </cell>
          <cell r="K24">
            <v>343.53333333333336</v>
          </cell>
          <cell r="L24">
            <v>266.66666666666669</v>
          </cell>
          <cell r="M24">
            <v>223.31660089558295</v>
          </cell>
          <cell r="N24">
            <v>81.89421339669434</v>
          </cell>
          <cell r="O24">
            <v>0.84922222222222221</v>
          </cell>
        </row>
        <row r="25">
          <cell r="C25" t="str">
            <v>wheel and handlines</v>
          </cell>
          <cell r="D25">
            <v>2</v>
          </cell>
          <cell r="G25">
            <v>78</v>
          </cell>
          <cell r="K25">
            <v>492.43</v>
          </cell>
          <cell r="L25">
            <v>350</v>
          </cell>
          <cell r="M25">
            <v>306.47987192853162</v>
          </cell>
          <cell r="O25">
            <v>0.85</v>
          </cell>
        </row>
        <row r="26">
          <cell r="C26" t="str">
            <v>(blank)</v>
          </cell>
          <cell r="D26">
            <v>3</v>
          </cell>
          <cell r="E26">
            <v>25.666666666666668</v>
          </cell>
          <cell r="K26">
            <v>158.6</v>
          </cell>
          <cell r="L26">
            <v>26.666666666666668</v>
          </cell>
          <cell r="M26">
            <v>24.168006429625947</v>
          </cell>
          <cell r="O26">
            <v>0.85</v>
          </cell>
        </row>
        <row r="27">
          <cell r="C27" t="str">
            <v>All</v>
          </cell>
          <cell r="D27">
            <v>161</v>
          </cell>
        </row>
        <row r="29">
          <cell r="C29" t="str">
            <v>Type</v>
          </cell>
          <cell r="D29" t="str">
            <v>Count</v>
          </cell>
        </row>
        <row r="30">
          <cell r="C30" t="str">
            <v>All</v>
          </cell>
          <cell r="D30">
            <v>161</v>
          </cell>
        </row>
        <row r="31">
          <cell r="C31" t="str">
            <v>Canal</v>
          </cell>
          <cell r="D31">
            <v>2</v>
          </cell>
        </row>
        <row r="32">
          <cell r="C32" t="str">
            <v>Gravity</v>
          </cell>
          <cell r="D32">
            <v>3</v>
          </cell>
        </row>
        <row r="33">
          <cell r="C33" t="str">
            <v>Surface</v>
          </cell>
          <cell r="D33">
            <v>14</v>
          </cell>
        </row>
        <row r="34">
          <cell r="C34" t="str">
            <v>Surface Water</v>
          </cell>
          <cell r="D34">
            <v>31</v>
          </cell>
          <cell r="E34">
            <v>0.28846153846153844</v>
          </cell>
        </row>
        <row r="35">
          <cell r="C35" t="str">
            <v>Well</v>
          </cell>
          <cell r="D35">
            <v>111</v>
          </cell>
        </row>
      </sheetData>
      <sheetData sheetId="29">
        <row r="4">
          <cell r="A4" t="str">
            <v xml:space="preserve"> </v>
          </cell>
        </row>
        <row r="5">
          <cell r="A5" t="str">
            <v>1993 Data</v>
          </cell>
        </row>
        <row r="6">
          <cell r="A6" t="str">
            <v>State</v>
          </cell>
          <cell r="B6" t="str">
            <v>Farms</v>
          </cell>
          <cell r="C6" t="str">
            <v>Acres</v>
          </cell>
          <cell r="D6" t="str">
            <v>Center Pivot</v>
          </cell>
        </row>
        <row r="7">
          <cell r="D7" t="str">
            <v>Farms</v>
          </cell>
          <cell r="E7" t="str">
            <v>Acres</v>
          </cell>
          <cell r="F7" t="str">
            <v>High Pressure -      60 psi +</v>
          </cell>
          <cell r="H7" t="str">
            <v>Medium Pressure 30 to 59 psi</v>
          </cell>
          <cell r="J7" t="str">
            <v>Low Pressure Under 30 psi</v>
          </cell>
          <cell r="L7" t="str">
            <v>High Pressure Penetration</v>
          </cell>
          <cell r="N7" t="str">
            <v>Medium Pressure Penetration</v>
          </cell>
          <cell r="P7" t="str">
            <v>Low Pressure Penetration</v>
          </cell>
        </row>
        <row r="8">
          <cell r="F8" t="str">
            <v>Farms</v>
          </cell>
          <cell r="G8" t="str">
            <v>Acres</v>
          </cell>
          <cell r="H8" t="str">
            <v>Farms</v>
          </cell>
          <cell r="I8" t="str">
            <v>Acres</v>
          </cell>
          <cell r="J8" t="str">
            <v>Farms</v>
          </cell>
          <cell r="K8" t="str">
            <v>Acres</v>
          </cell>
          <cell r="L8" t="str">
            <v>Farms</v>
          </cell>
          <cell r="M8" t="str">
            <v>Acres</v>
          </cell>
          <cell r="N8" t="str">
            <v>Farms</v>
          </cell>
          <cell r="O8" t="str">
            <v>Acres</v>
          </cell>
          <cell r="P8" t="str">
            <v>Farms</v>
          </cell>
          <cell r="Q8" t="str">
            <v>Acres</v>
          </cell>
        </row>
        <row r="9">
          <cell r="A9" t="str">
            <v>Idaho</v>
          </cell>
          <cell r="B9">
            <v>7951</v>
          </cell>
          <cell r="C9">
            <v>2067772</v>
          </cell>
          <cell r="D9">
            <v>2147</v>
          </cell>
          <cell r="E9">
            <v>776081</v>
          </cell>
          <cell r="F9">
            <v>586</v>
          </cell>
          <cell r="G9">
            <v>191833</v>
          </cell>
          <cell r="H9">
            <v>1326</v>
          </cell>
          <cell r="I9">
            <v>353580</v>
          </cell>
          <cell r="J9">
            <v>477</v>
          </cell>
          <cell r="K9">
            <v>230668</v>
          </cell>
          <cell r="L9">
            <v>0.27293898462971589</v>
          </cell>
          <cell r="M9">
            <v>0.24718167304701441</v>
          </cell>
          <cell r="N9">
            <v>0.61760596180717275</v>
          </cell>
          <cell r="O9">
            <v>0.4555967740480697</v>
          </cell>
          <cell r="P9">
            <v>0.22217047042384722</v>
          </cell>
          <cell r="Q9">
            <v>0.29722155290491586</v>
          </cell>
        </row>
        <row r="10">
          <cell r="A10" t="str">
            <v>Montana</v>
          </cell>
          <cell r="B10">
            <v>3955</v>
          </cell>
          <cell r="C10">
            <v>746655</v>
          </cell>
          <cell r="D10">
            <v>949</v>
          </cell>
          <cell r="E10">
            <v>249059</v>
          </cell>
          <cell r="F10">
            <v>169</v>
          </cell>
          <cell r="G10">
            <v>49383</v>
          </cell>
          <cell r="H10">
            <v>567</v>
          </cell>
          <cell r="I10">
            <v>119238</v>
          </cell>
          <cell r="J10">
            <v>260</v>
          </cell>
          <cell r="K10">
            <v>80438</v>
          </cell>
          <cell r="L10">
            <v>0.17808219178082191</v>
          </cell>
          <cell r="M10">
            <v>0.1982783195949554</v>
          </cell>
          <cell r="N10">
            <v>0.59747102212855641</v>
          </cell>
          <cell r="O10">
            <v>0.4787540301695582</v>
          </cell>
          <cell r="P10">
            <v>0.27397260273972601</v>
          </cell>
          <cell r="Q10">
            <v>0.32296765023548635</v>
          </cell>
        </row>
        <row r="11">
          <cell r="A11" t="str">
            <v>Oregon</v>
          </cell>
          <cell r="B11">
            <v>7190</v>
          </cell>
          <cell r="C11">
            <v>991533</v>
          </cell>
          <cell r="D11">
            <v>2012</v>
          </cell>
          <cell r="E11">
            <v>337270</v>
          </cell>
          <cell r="F11">
            <v>309</v>
          </cell>
          <cell r="G11">
            <v>58469</v>
          </cell>
          <cell r="H11">
            <v>1421</v>
          </cell>
          <cell r="I11">
            <v>149078</v>
          </cell>
          <cell r="J11">
            <v>350</v>
          </cell>
          <cell r="K11">
            <v>129723</v>
          </cell>
          <cell r="L11">
            <v>0.15357852882703776</v>
          </cell>
          <cell r="M11">
            <v>0.17335962285409315</v>
          </cell>
          <cell r="N11">
            <v>0.7062624254473161</v>
          </cell>
          <cell r="O11">
            <v>0.44201381682331664</v>
          </cell>
          <cell r="P11">
            <v>0.17395626242544732</v>
          </cell>
          <cell r="Q11">
            <v>0.38462656032259018</v>
          </cell>
        </row>
        <row r="12">
          <cell r="A12" t="str">
            <v>Washington</v>
          </cell>
          <cell r="B12">
            <v>8320</v>
          </cell>
          <cell r="C12">
            <v>1164938</v>
          </cell>
          <cell r="D12">
            <v>1960</v>
          </cell>
          <cell r="E12">
            <v>578414</v>
          </cell>
          <cell r="F12">
            <v>740</v>
          </cell>
          <cell r="G12">
            <v>168166</v>
          </cell>
          <cell r="H12">
            <v>1089</v>
          </cell>
          <cell r="I12">
            <v>262862</v>
          </cell>
          <cell r="J12">
            <v>247</v>
          </cell>
          <cell r="K12">
            <v>147386</v>
          </cell>
          <cell r="L12">
            <v>0.37755102040816324</v>
          </cell>
          <cell r="M12">
            <v>0.290736392964209</v>
          </cell>
          <cell r="N12">
            <v>0.55561224489795913</v>
          </cell>
          <cell r="O12">
            <v>0.45445303882686106</v>
          </cell>
          <cell r="P12">
            <v>0.12602040816326532</v>
          </cell>
          <cell r="Q12">
            <v>0.25481056820892994</v>
          </cell>
        </row>
        <row r="13">
          <cell r="A13" t="str">
            <v>PNW</v>
          </cell>
          <cell r="B13">
            <v>27416</v>
          </cell>
          <cell r="C13">
            <v>4970898</v>
          </cell>
          <cell r="D13">
            <v>7068</v>
          </cell>
          <cell r="E13">
            <v>1940824</v>
          </cell>
          <cell r="F13">
            <v>1804</v>
          </cell>
          <cell r="G13">
            <v>467851</v>
          </cell>
          <cell r="H13">
            <v>4403</v>
          </cell>
          <cell r="I13">
            <v>884758</v>
          </cell>
          <cell r="J13">
            <v>1334</v>
          </cell>
          <cell r="K13">
            <v>588215</v>
          </cell>
          <cell r="L13">
            <v>0.2552348613469157</v>
          </cell>
          <cell r="M13">
            <v>0.24105792178992017</v>
          </cell>
          <cell r="N13">
            <v>0.62294850028296544</v>
          </cell>
          <cell r="O13">
            <v>0.45586719867437747</v>
          </cell>
          <cell r="P13">
            <v>0.18873797396717601</v>
          </cell>
          <cell r="Q13">
            <v>0.30307487953570234</v>
          </cell>
        </row>
        <row r="14">
          <cell r="A14" t="str">
            <v xml:space="preserve"> </v>
          </cell>
        </row>
        <row r="15">
          <cell r="A15" t="str">
            <v>1993 Data</v>
          </cell>
        </row>
        <row r="16">
          <cell r="A16" t="str">
            <v>State</v>
          </cell>
          <cell r="B16" t="str">
            <v>Mechanical Move</v>
          </cell>
          <cell r="H16" t="str">
            <v>Hand Move</v>
          </cell>
          <cell r="J16" t="str">
            <v>Solid Set and Permanent</v>
          </cell>
        </row>
        <row r="17">
          <cell r="B17" t="str">
            <v>Farms</v>
          </cell>
          <cell r="C17" t="str">
            <v>Acres</v>
          </cell>
          <cell r="D17" t="str">
            <v>Linear and Wheel Move Systems</v>
          </cell>
          <cell r="F17" t="str">
            <v>All Other</v>
          </cell>
          <cell r="H17" t="str">
            <v>Farms</v>
          </cell>
          <cell r="I17" t="str">
            <v>Acres</v>
          </cell>
          <cell r="J17" t="str">
            <v>Farms</v>
          </cell>
          <cell r="K17" t="str">
            <v>Acres</v>
          </cell>
        </row>
        <row r="18">
          <cell r="D18" t="str">
            <v>Farms</v>
          </cell>
          <cell r="E18" t="str">
            <v>Acres</v>
          </cell>
          <cell r="F18" t="str">
            <v>Farms</v>
          </cell>
          <cell r="G18" t="str">
            <v>Acres</v>
          </cell>
        </row>
        <row r="19">
          <cell r="A19" t="str">
            <v>Idaho</v>
          </cell>
          <cell r="B19">
            <v>4772</v>
          </cell>
          <cell r="C19">
            <v>792605</v>
          </cell>
          <cell r="D19">
            <v>4389</v>
          </cell>
          <cell r="E19">
            <v>667128</v>
          </cell>
          <cell r="F19">
            <v>652</v>
          </cell>
          <cell r="G19">
            <v>125477</v>
          </cell>
          <cell r="H19">
            <v>5432</v>
          </cell>
          <cell r="I19">
            <v>468444</v>
          </cell>
          <cell r="J19">
            <v>581</v>
          </cell>
          <cell r="K19">
            <v>10646</v>
          </cell>
        </row>
        <row r="20">
          <cell r="A20" t="str">
            <v>Montana</v>
          </cell>
          <cell r="B20">
            <v>2396</v>
          </cell>
          <cell r="C20">
            <v>378550</v>
          </cell>
          <cell r="D20">
            <v>2308</v>
          </cell>
          <cell r="E20">
            <v>353780</v>
          </cell>
          <cell r="F20">
            <v>262</v>
          </cell>
          <cell r="G20">
            <v>24770</v>
          </cell>
          <cell r="H20">
            <v>2330</v>
          </cell>
          <cell r="I20">
            <v>118167</v>
          </cell>
          <cell r="J20">
            <v>23</v>
          </cell>
          <cell r="K20">
            <v>879</v>
          </cell>
        </row>
        <row r="21">
          <cell r="A21" t="str">
            <v>Oregon</v>
          </cell>
          <cell r="B21">
            <v>2960</v>
          </cell>
          <cell r="C21">
            <v>404312</v>
          </cell>
          <cell r="D21">
            <v>2705</v>
          </cell>
          <cell r="E21">
            <v>362339</v>
          </cell>
          <cell r="F21">
            <v>572</v>
          </cell>
          <cell r="G21">
            <v>41973</v>
          </cell>
          <cell r="H21">
            <v>4194</v>
          </cell>
          <cell r="I21">
            <v>185918</v>
          </cell>
          <cell r="J21">
            <v>1240</v>
          </cell>
          <cell r="K21">
            <v>64033</v>
          </cell>
        </row>
        <row r="22">
          <cell r="A22" t="str">
            <v>Washington</v>
          </cell>
          <cell r="B22">
            <v>2090</v>
          </cell>
          <cell r="C22">
            <v>252782</v>
          </cell>
          <cell r="D22">
            <v>1820</v>
          </cell>
          <cell r="E22">
            <v>225596</v>
          </cell>
          <cell r="F22">
            <v>424</v>
          </cell>
          <cell r="G22">
            <v>27186</v>
          </cell>
          <cell r="H22">
            <v>4070</v>
          </cell>
          <cell r="I22">
            <v>130411</v>
          </cell>
          <cell r="J22">
            <v>3466</v>
          </cell>
          <cell r="K22">
            <v>203331</v>
          </cell>
        </row>
        <row r="23">
          <cell r="A23" t="str">
            <v>PNW</v>
          </cell>
          <cell r="B23">
            <v>12218</v>
          </cell>
          <cell r="C23">
            <v>1828249</v>
          </cell>
          <cell r="D23">
            <v>11222</v>
          </cell>
          <cell r="E23">
            <v>1608843</v>
          </cell>
          <cell r="F23">
            <v>1910</v>
          </cell>
          <cell r="G23">
            <v>219406</v>
          </cell>
          <cell r="H23">
            <v>16026</v>
          </cell>
          <cell r="I23">
            <v>902940</v>
          </cell>
          <cell r="J23">
            <v>5310</v>
          </cell>
          <cell r="K23">
            <v>278889</v>
          </cell>
        </row>
        <row r="25">
          <cell r="A25" t="str">
            <v>1997 Data</v>
          </cell>
        </row>
        <row r="26">
          <cell r="A26" t="str">
            <v>State</v>
          </cell>
          <cell r="B26" t="str">
            <v>Farms</v>
          </cell>
          <cell r="C26" t="str">
            <v>Acres</v>
          </cell>
          <cell r="D26" t="str">
            <v>Center Pivot</v>
          </cell>
        </row>
        <row r="27">
          <cell r="D27" t="str">
            <v>Farms</v>
          </cell>
          <cell r="E27" t="str">
            <v>Acres</v>
          </cell>
          <cell r="F27" t="str">
            <v>High Pressure -      60 psi +</v>
          </cell>
          <cell r="H27" t="str">
            <v>Medium Pressure 30 to 59 psi</v>
          </cell>
          <cell r="J27" t="str">
            <v>Low Pressure Under 30 psi</v>
          </cell>
          <cell r="L27" t="str">
            <v>High Pressure Penetration</v>
          </cell>
          <cell r="N27" t="str">
            <v>Medium Pressure Penetration</v>
          </cell>
          <cell r="P27" t="str">
            <v>Low Pressure Penetration</v>
          </cell>
        </row>
        <row r="28">
          <cell r="F28" t="str">
            <v>Farms</v>
          </cell>
          <cell r="G28" t="str">
            <v>Acres</v>
          </cell>
          <cell r="H28" t="str">
            <v>Farms</v>
          </cell>
          <cell r="I28" t="str">
            <v>Acres</v>
          </cell>
          <cell r="J28" t="str">
            <v>Farms</v>
          </cell>
          <cell r="K28" t="str">
            <v>Acres</v>
          </cell>
          <cell r="L28" t="str">
            <v>Farms</v>
          </cell>
          <cell r="M28" t="str">
            <v>Acres</v>
          </cell>
          <cell r="N28" t="str">
            <v>Farms</v>
          </cell>
          <cell r="O28" t="str">
            <v>Acres</v>
          </cell>
          <cell r="P28" t="str">
            <v>Farms</v>
          </cell>
          <cell r="Q28" t="str">
            <v>Acres</v>
          </cell>
        </row>
        <row r="29">
          <cell r="A29" t="str">
            <v>Idaho</v>
          </cell>
          <cell r="B29">
            <v>5831</v>
          </cell>
          <cell r="C29">
            <v>2186806</v>
          </cell>
          <cell r="D29">
            <v>1569</v>
          </cell>
          <cell r="E29">
            <v>1001607</v>
          </cell>
          <cell r="F29">
            <v>211</v>
          </cell>
          <cell r="G29">
            <v>115699</v>
          </cell>
          <cell r="H29">
            <v>912</v>
          </cell>
          <cell r="I29">
            <v>450126</v>
          </cell>
          <cell r="J29">
            <v>584</v>
          </cell>
          <cell r="K29">
            <v>435782</v>
          </cell>
          <cell r="L29">
            <v>0.13448056086679414</v>
          </cell>
          <cell r="M29">
            <v>0.11551337001438688</v>
          </cell>
          <cell r="N29">
            <v>0.58126195028680694</v>
          </cell>
          <cell r="O29">
            <v>0.44940380808041475</v>
          </cell>
          <cell r="P29">
            <v>0.37221159974506057</v>
          </cell>
          <cell r="Q29">
            <v>0.43508282190519837</v>
          </cell>
        </row>
        <row r="30">
          <cell r="A30" t="str">
            <v>Montana</v>
          </cell>
          <cell r="B30">
            <v>3002</v>
          </cell>
          <cell r="C30">
            <v>570550</v>
          </cell>
          <cell r="D30">
            <v>1015</v>
          </cell>
          <cell r="E30">
            <v>241287</v>
          </cell>
          <cell r="F30">
            <v>106</v>
          </cell>
          <cell r="G30">
            <v>23565</v>
          </cell>
          <cell r="H30">
            <v>677</v>
          </cell>
          <cell r="I30">
            <v>96438</v>
          </cell>
          <cell r="J30">
            <v>268</v>
          </cell>
          <cell r="K30">
            <v>121284</v>
          </cell>
          <cell r="L30">
            <v>0.10443349753694581</v>
          </cell>
          <cell r="M30">
            <v>9.7663777990525807E-2</v>
          </cell>
          <cell r="N30">
            <v>0.6669950738916256</v>
          </cell>
          <cell r="O30">
            <v>0.3996817068470328</v>
          </cell>
          <cell r="P30">
            <v>0.26403940886699506</v>
          </cell>
          <cell r="Q30">
            <v>0.50265451516244142</v>
          </cell>
        </row>
        <row r="31">
          <cell r="A31" t="str">
            <v>Oregon</v>
          </cell>
          <cell r="B31">
            <v>6888</v>
          </cell>
          <cell r="C31">
            <v>769310</v>
          </cell>
          <cell r="D31">
            <v>487</v>
          </cell>
          <cell r="E31">
            <v>256678</v>
          </cell>
          <cell r="F31">
            <v>44</v>
          </cell>
          <cell r="G31">
            <v>18163</v>
          </cell>
          <cell r="H31">
            <v>260</v>
          </cell>
          <cell r="I31">
            <v>122231</v>
          </cell>
          <cell r="J31">
            <v>202</v>
          </cell>
          <cell r="K31">
            <v>116284</v>
          </cell>
          <cell r="L31">
            <v>9.034907597535935E-2</v>
          </cell>
          <cell r="M31">
            <v>7.0761810517457668E-2</v>
          </cell>
          <cell r="N31">
            <v>0.53388090349075978</v>
          </cell>
          <cell r="O31">
            <v>0.47620364815060112</v>
          </cell>
          <cell r="P31">
            <v>0.41478439425051333</v>
          </cell>
          <cell r="Q31">
            <v>0.45303454133194121</v>
          </cell>
        </row>
        <row r="32">
          <cell r="A32" t="str">
            <v>Washington</v>
          </cell>
          <cell r="B32">
            <v>7124</v>
          </cell>
          <cell r="C32">
            <v>1263572</v>
          </cell>
          <cell r="D32">
            <v>1301</v>
          </cell>
          <cell r="E32">
            <v>773788</v>
          </cell>
          <cell r="F32">
            <v>279</v>
          </cell>
          <cell r="G32">
            <v>101701</v>
          </cell>
          <cell r="H32">
            <v>831</v>
          </cell>
          <cell r="I32">
            <v>369629</v>
          </cell>
          <cell r="J32">
            <v>405</v>
          </cell>
          <cell r="K32">
            <v>302458</v>
          </cell>
          <cell r="L32">
            <v>0.21445042275172943</v>
          </cell>
          <cell r="M32">
            <v>0.13143264046483016</v>
          </cell>
          <cell r="N32">
            <v>0.63873943120676402</v>
          </cell>
          <cell r="O32">
            <v>0.47768768706674181</v>
          </cell>
          <cell r="P32">
            <v>0.31129900076863953</v>
          </cell>
          <cell r="Q32">
            <v>0.39087967246842803</v>
          </cell>
        </row>
        <row r="33">
          <cell r="A33" t="str">
            <v>PNW</v>
          </cell>
          <cell r="B33">
            <v>22845</v>
          </cell>
          <cell r="C33">
            <v>4790238</v>
          </cell>
          <cell r="D33">
            <v>4372</v>
          </cell>
          <cell r="E33">
            <v>2273360</v>
          </cell>
          <cell r="F33">
            <v>640</v>
          </cell>
          <cell r="G33">
            <v>259128</v>
          </cell>
          <cell r="H33">
            <v>2680</v>
          </cell>
          <cell r="I33">
            <v>1038424</v>
          </cell>
          <cell r="J33">
            <v>1459</v>
          </cell>
          <cell r="K33">
            <v>975808</v>
          </cell>
          <cell r="L33">
            <v>0.1463860933211345</v>
          </cell>
          <cell r="M33">
            <v>0.1139845866910652</v>
          </cell>
          <cell r="N33">
            <v>0.61299176578225067</v>
          </cell>
          <cell r="O33">
            <v>0.45677939261709538</v>
          </cell>
          <cell r="P33">
            <v>0.33371454711802379</v>
          </cell>
          <cell r="Q33">
            <v>0.42923602069183941</v>
          </cell>
        </row>
        <row r="34">
          <cell r="A34" t="str">
            <v xml:space="preserve"> </v>
          </cell>
        </row>
        <row r="35">
          <cell r="A35" t="str">
            <v>1997 Data</v>
          </cell>
        </row>
        <row r="36">
          <cell r="A36" t="str">
            <v>State</v>
          </cell>
          <cell r="B36" t="str">
            <v>Mechanical Move</v>
          </cell>
        </row>
        <row r="37">
          <cell r="B37" t="str">
            <v>Farms</v>
          </cell>
          <cell r="C37" t="str">
            <v>Acres</v>
          </cell>
          <cell r="D37" t="str">
            <v>Linear Move Systems Low Pressure Under 30 psi</v>
          </cell>
          <cell r="F37" t="str">
            <v>Linear Move Systems Medium to High Pressure</v>
          </cell>
          <cell r="H37" t="str">
            <v>Side roll, wheel move, or other mechanical move</v>
          </cell>
          <cell r="J37" t="str">
            <v>Traveler or Big Gun</v>
          </cell>
          <cell r="L37" t="str">
            <v>Hand move</v>
          </cell>
          <cell r="N37" t="str">
            <v>Solid Set and Permanent Low Pressure Under 30 psi</v>
          </cell>
          <cell r="P37" t="str">
            <v>Solid Set and Permanent Medium to High Pressure</v>
          </cell>
        </row>
        <row r="38">
          <cell r="D38" t="str">
            <v>Farms</v>
          </cell>
          <cell r="E38" t="str">
            <v>Acres</v>
          </cell>
          <cell r="F38" t="str">
            <v>Farms</v>
          </cell>
          <cell r="G38" t="str">
            <v>Acres</v>
          </cell>
          <cell r="H38" t="str">
            <v>Farms</v>
          </cell>
          <cell r="I38" t="str">
            <v>Acres</v>
          </cell>
          <cell r="J38" t="str">
            <v>Farms</v>
          </cell>
          <cell r="K38" t="str">
            <v>Acres</v>
          </cell>
          <cell r="L38" t="str">
            <v>Farms</v>
          </cell>
          <cell r="M38" t="str">
            <v>Acres</v>
          </cell>
          <cell r="N38" t="str">
            <v>Farms</v>
          </cell>
          <cell r="O38" t="str">
            <v>Acres</v>
          </cell>
          <cell r="P38" t="str">
            <v>Farms</v>
          </cell>
          <cell r="Q38" t="str">
            <v>Acres</v>
          </cell>
        </row>
        <row r="39">
          <cell r="A39" t="str">
            <v>Idaho</v>
          </cell>
          <cell r="B39">
            <v>2645</v>
          </cell>
          <cell r="C39">
            <v>621503</v>
          </cell>
          <cell r="D39">
            <v>83</v>
          </cell>
          <cell r="E39">
            <v>41964</v>
          </cell>
          <cell r="H39">
            <v>2507</v>
          </cell>
          <cell r="I39">
            <v>575875</v>
          </cell>
          <cell r="J39">
            <v>55</v>
          </cell>
          <cell r="K39">
            <v>3664</v>
          </cell>
          <cell r="L39">
            <v>4482</v>
          </cell>
          <cell r="M39">
            <v>501950</v>
          </cell>
          <cell r="N39">
            <v>438</v>
          </cell>
          <cell r="O39">
            <v>61746</v>
          </cell>
          <cell r="P39">
            <v>438</v>
          </cell>
          <cell r="Q39">
            <v>61746</v>
          </cell>
        </row>
        <row r="40">
          <cell r="A40" t="str">
            <v>Montana</v>
          </cell>
          <cell r="B40">
            <v>1652</v>
          </cell>
          <cell r="C40">
            <v>237703</v>
          </cell>
          <cell r="D40">
            <v>6</v>
          </cell>
          <cell r="E40">
            <v>2820</v>
          </cell>
          <cell r="H40">
            <v>1590</v>
          </cell>
          <cell r="I40">
            <v>231547</v>
          </cell>
          <cell r="J40">
            <v>56</v>
          </cell>
          <cell r="K40">
            <v>3336</v>
          </cell>
          <cell r="L40">
            <v>1498</v>
          </cell>
          <cell r="M40">
            <v>86555</v>
          </cell>
          <cell r="N40">
            <v>10</v>
          </cell>
          <cell r="O40">
            <v>5005</v>
          </cell>
          <cell r="P40">
            <v>10</v>
          </cell>
          <cell r="Q40">
            <v>5005</v>
          </cell>
        </row>
        <row r="41">
          <cell r="A41" t="str">
            <v>Oregon</v>
          </cell>
          <cell r="B41">
            <v>2610</v>
          </cell>
          <cell r="C41">
            <v>300553</v>
          </cell>
          <cell r="D41">
            <v>262</v>
          </cell>
          <cell r="E41">
            <v>13775</v>
          </cell>
          <cell r="H41">
            <v>1539</v>
          </cell>
          <cell r="I41">
            <v>216136</v>
          </cell>
          <cell r="J41">
            <v>809</v>
          </cell>
          <cell r="K41">
            <v>70642</v>
          </cell>
          <cell r="L41">
            <v>3971</v>
          </cell>
          <cell r="M41">
            <v>159880</v>
          </cell>
          <cell r="N41">
            <v>1876</v>
          </cell>
          <cell r="O41">
            <v>52199</v>
          </cell>
          <cell r="P41">
            <v>1876</v>
          </cell>
          <cell r="Q41">
            <v>52199</v>
          </cell>
        </row>
        <row r="42">
          <cell r="A42" t="str">
            <v>Washington</v>
          </cell>
          <cell r="B42">
            <v>2100</v>
          </cell>
          <cell r="C42">
            <v>181653</v>
          </cell>
          <cell r="D42">
            <v>12</v>
          </cell>
          <cell r="E42">
            <v>2910</v>
          </cell>
          <cell r="H42">
            <v>1595</v>
          </cell>
          <cell r="I42">
            <v>120805</v>
          </cell>
          <cell r="J42">
            <v>493</v>
          </cell>
          <cell r="K42">
            <v>57938</v>
          </cell>
          <cell r="L42">
            <v>2911</v>
          </cell>
          <cell r="M42">
            <v>98661</v>
          </cell>
          <cell r="N42">
            <v>2994</v>
          </cell>
          <cell r="O42">
            <v>209470</v>
          </cell>
          <cell r="P42">
            <v>2994</v>
          </cell>
          <cell r="Q42">
            <v>209470</v>
          </cell>
        </row>
        <row r="43">
          <cell r="A43" t="str">
            <v>PNW</v>
          </cell>
          <cell r="B43">
            <v>9007</v>
          </cell>
          <cell r="C43">
            <v>1341412</v>
          </cell>
          <cell r="D43">
            <v>363</v>
          </cell>
          <cell r="E43">
            <v>61469</v>
          </cell>
          <cell r="H43">
            <v>7231</v>
          </cell>
          <cell r="I43">
            <v>1144363</v>
          </cell>
          <cell r="J43">
            <v>1413</v>
          </cell>
          <cell r="K43">
            <v>135580</v>
          </cell>
          <cell r="L43">
            <v>12862</v>
          </cell>
          <cell r="M43">
            <v>847046</v>
          </cell>
          <cell r="N43">
            <v>5318</v>
          </cell>
          <cell r="O43">
            <v>328420</v>
          </cell>
          <cell r="P43">
            <v>5318</v>
          </cell>
          <cell r="Q43">
            <v>328420</v>
          </cell>
        </row>
        <row r="45">
          <cell r="A45" t="str">
            <v>2003 Data</v>
          </cell>
        </row>
        <row r="46">
          <cell r="A46" t="str">
            <v>State</v>
          </cell>
          <cell r="B46" t="str">
            <v>Farms</v>
          </cell>
          <cell r="C46" t="str">
            <v>Acres</v>
          </cell>
          <cell r="D46" t="str">
            <v>Center Pivot</v>
          </cell>
        </row>
        <row r="47">
          <cell r="D47" t="str">
            <v>Farms</v>
          </cell>
          <cell r="E47" t="str">
            <v>Acres</v>
          </cell>
          <cell r="F47" t="str">
            <v>High Pressure -      60 psi +</v>
          </cell>
          <cell r="H47" t="str">
            <v>Medium Pressure 30 to 59 psi</v>
          </cell>
          <cell r="J47" t="str">
            <v>Low Pressure Under 30 psi</v>
          </cell>
          <cell r="L47" t="str">
            <v>High Pressure Penetration</v>
          </cell>
          <cell r="N47" t="str">
            <v>Medium Pressure Penetration</v>
          </cell>
          <cell r="P47" t="str">
            <v>Low Pressure Penetration</v>
          </cell>
        </row>
        <row r="48">
          <cell r="F48" t="str">
            <v>Farms</v>
          </cell>
          <cell r="G48" t="str">
            <v>Acres</v>
          </cell>
          <cell r="H48" t="str">
            <v>Farms</v>
          </cell>
          <cell r="I48" t="str">
            <v>Acres</v>
          </cell>
          <cell r="J48" t="str">
            <v>Farms</v>
          </cell>
          <cell r="K48" t="str">
            <v>Acres</v>
          </cell>
          <cell r="L48" t="str">
            <v>Farms</v>
          </cell>
          <cell r="M48" t="str">
            <v>Acres</v>
          </cell>
          <cell r="N48" t="str">
            <v>Farms</v>
          </cell>
          <cell r="O48" t="str">
            <v>Acres</v>
          </cell>
          <cell r="P48" t="str">
            <v>Farms</v>
          </cell>
          <cell r="Q48" t="str">
            <v>Acres</v>
          </cell>
        </row>
        <row r="49">
          <cell r="A49" t="str">
            <v>Idaho</v>
          </cell>
          <cell r="B49">
            <v>7815</v>
          </cell>
          <cell r="C49">
            <v>2202917</v>
          </cell>
          <cell r="D49">
            <v>2220</v>
          </cell>
          <cell r="E49">
            <v>1333589</v>
          </cell>
          <cell r="F49">
            <v>364</v>
          </cell>
          <cell r="G49">
            <v>169804</v>
          </cell>
          <cell r="H49">
            <v>1277</v>
          </cell>
          <cell r="I49">
            <v>740088</v>
          </cell>
          <cell r="J49">
            <v>655</v>
          </cell>
          <cell r="K49">
            <v>423697</v>
          </cell>
          <cell r="L49">
            <v>0.16396396396396395</v>
          </cell>
          <cell r="M49">
            <v>0.12732858474387537</v>
          </cell>
          <cell r="N49">
            <v>0.57522522522522523</v>
          </cell>
          <cell r="O49">
            <v>0.55495958649928878</v>
          </cell>
          <cell r="P49">
            <v>0.29504504504504503</v>
          </cell>
          <cell r="Q49">
            <v>0.3177118287568359</v>
          </cell>
        </row>
        <row r="50">
          <cell r="A50" t="str">
            <v>Montana</v>
          </cell>
          <cell r="B50">
            <v>3443</v>
          </cell>
          <cell r="C50">
            <v>773008</v>
          </cell>
          <cell r="D50">
            <v>1413</v>
          </cell>
          <cell r="E50">
            <v>495051</v>
          </cell>
          <cell r="F50">
            <v>42</v>
          </cell>
          <cell r="G50">
            <v>15840</v>
          </cell>
          <cell r="H50">
            <v>646</v>
          </cell>
          <cell r="I50">
            <v>203885</v>
          </cell>
          <cell r="J50">
            <v>786</v>
          </cell>
          <cell r="K50">
            <v>275326</v>
          </cell>
          <cell r="L50">
            <v>2.9723991507430998E-2</v>
          </cell>
          <cell r="M50">
            <v>3.1996703369955824E-2</v>
          </cell>
          <cell r="N50">
            <v>0.45718329794762913</v>
          </cell>
          <cell r="O50">
            <v>0.4118464562237022</v>
          </cell>
          <cell r="P50">
            <v>0.5562632696390658</v>
          </cell>
          <cell r="Q50">
            <v>0.55615684040634195</v>
          </cell>
        </row>
        <row r="51">
          <cell r="A51" t="str">
            <v>Oregon</v>
          </cell>
          <cell r="B51">
            <v>10779</v>
          </cell>
          <cell r="C51">
            <v>1048211</v>
          </cell>
          <cell r="D51">
            <v>1315</v>
          </cell>
          <cell r="E51">
            <v>367743</v>
          </cell>
          <cell r="F51">
            <v>115</v>
          </cell>
          <cell r="G51">
            <v>39408</v>
          </cell>
          <cell r="H51">
            <v>259</v>
          </cell>
          <cell r="I51">
            <v>162464</v>
          </cell>
          <cell r="J51">
            <v>946</v>
          </cell>
          <cell r="K51">
            <v>165871</v>
          </cell>
          <cell r="L51">
            <v>8.7452471482889732E-2</v>
          </cell>
          <cell r="M51">
            <v>0.10716179505796168</v>
          </cell>
          <cell r="N51">
            <v>0.19695817490494297</v>
          </cell>
          <cell r="O51">
            <v>0.44178679131893739</v>
          </cell>
          <cell r="P51">
            <v>0.71939163498098857</v>
          </cell>
          <cell r="Q51">
            <v>0.45105141362310092</v>
          </cell>
        </row>
        <row r="52">
          <cell r="A52" t="str">
            <v>Washington</v>
          </cell>
          <cell r="B52">
            <v>10040</v>
          </cell>
          <cell r="C52">
            <v>1450274</v>
          </cell>
          <cell r="D52">
            <v>1864</v>
          </cell>
          <cell r="E52">
            <v>905233</v>
          </cell>
          <cell r="F52">
            <v>444</v>
          </cell>
          <cell r="G52">
            <v>110535</v>
          </cell>
          <cell r="H52">
            <v>1137</v>
          </cell>
          <cell r="I52">
            <v>496837</v>
          </cell>
          <cell r="J52">
            <v>376</v>
          </cell>
          <cell r="K52">
            <v>297861</v>
          </cell>
          <cell r="L52">
            <v>0.23819742489270387</v>
          </cell>
          <cell r="M52">
            <v>0.12210668413546567</v>
          </cell>
          <cell r="N52">
            <v>0.60997854077253222</v>
          </cell>
          <cell r="O52">
            <v>0.54884985412595433</v>
          </cell>
          <cell r="P52">
            <v>0.20171673819742489</v>
          </cell>
          <cell r="Q52">
            <v>0.32904346173858001</v>
          </cell>
        </row>
        <row r="53">
          <cell r="A53" t="str">
            <v>PNW</v>
          </cell>
          <cell r="B53">
            <v>32077</v>
          </cell>
          <cell r="C53">
            <v>5474410</v>
          </cell>
          <cell r="D53">
            <v>6812</v>
          </cell>
          <cell r="E53">
            <v>3101616</v>
          </cell>
          <cell r="F53">
            <v>965</v>
          </cell>
          <cell r="G53">
            <v>335587</v>
          </cell>
          <cell r="H53">
            <v>3319</v>
          </cell>
          <cell r="I53">
            <v>1603274</v>
          </cell>
          <cell r="J53">
            <v>2763</v>
          </cell>
          <cell r="K53">
            <v>1162755</v>
          </cell>
          <cell r="L53">
            <v>0.14166177334116264</v>
          </cell>
          <cell r="M53">
            <v>0.10819746867439425</v>
          </cell>
          <cell r="N53">
            <v>0.4872284204345273</v>
          </cell>
          <cell r="O53">
            <v>0.5169156981392925</v>
          </cell>
          <cell r="P53">
            <v>0.40560775102759833</v>
          </cell>
          <cell r="Q53">
            <v>0.37488683318631322</v>
          </cell>
        </row>
        <row r="54">
          <cell r="A54" t="str">
            <v xml:space="preserve"> </v>
          </cell>
        </row>
        <row r="55">
          <cell r="A55" t="str">
            <v>2003 Data</v>
          </cell>
        </row>
        <row r="56">
          <cell r="A56" t="str">
            <v>State</v>
          </cell>
          <cell r="B56" t="str">
            <v>Mechanical Move</v>
          </cell>
        </row>
        <row r="57">
          <cell r="B57" t="str">
            <v>Farms</v>
          </cell>
          <cell r="C57" t="str">
            <v>Acres</v>
          </cell>
          <cell r="D57" t="str">
            <v>Linear Move Systems Low Pressure Under 30 psi</v>
          </cell>
          <cell r="F57" t="str">
            <v>Linear Move Systems Medium to High Pressure</v>
          </cell>
          <cell r="H57" t="str">
            <v>Side roll, wheel move, or other mechanical move</v>
          </cell>
          <cell r="J57" t="str">
            <v>Traveler or Big Gun</v>
          </cell>
          <cell r="L57" t="str">
            <v>Hand move</v>
          </cell>
          <cell r="N57" t="str">
            <v>Solid Set and Permanent Low Pressure Under 30 psi</v>
          </cell>
          <cell r="P57" t="str">
            <v>Solid Set and Permanent Medium to High Pressure</v>
          </cell>
        </row>
        <row r="58">
          <cell r="D58" t="str">
            <v>Farms</v>
          </cell>
          <cell r="E58" t="str">
            <v>Acres</v>
          </cell>
          <cell r="F58" t="str">
            <v>Farms</v>
          </cell>
          <cell r="G58" t="str">
            <v>Acres</v>
          </cell>
          <cell r="H58" t="str">
            <v>Farms</v>
          </cell>
          <cell r="I58" t="str">
            <v>Acres</v>
          </cell>
          <cell r="J58" t="str">
            <v>Farms</v>
          </cell>
          <cell r="K58" t="str">
            <v>Acres</v>
          </cell>
          <cell r="L58" t="str">
            <v>Farms</v>
          </cell>
          <cell r="M58" t="str">
            <v>Acres</v>
          </cell>
          <cell r="N58" t="str">
            <v>Farms</v>
          </cell>
          <cell r="O58" t="str">
            <v>Acres</v>
          </cell>
          <cell r="P58" t="str">
            <v>Farms</v>
          </cell>
          <cell r="Q58" t="str">
            <v>Acres</v>
          </cell>
        </row>
        <row r="59">
          <cell r="A59" t="str">
            <v>Idaho</v>
          </cell>
          <cell r="B59">
            <v>2968</v>
          </cell>
          <cell r="C59">
            <v>494577</v>
          </cell>
          <cell r="D59">
            <v>113</v>
          </cell>
          <cell r="E59">
            <v>20846</v>
          </cell>
          <cell r="F59">
            <v>160</v>
          </cell>
          <cell r="G59">
            <v>34439</v>
          </cell>
          <cell r="H59">
            <v>2652</v>
          </cell>
          <cell r="I59">
            <v>438616</v>
          </cell>
          <cell r="J59">
            <v>43</v>
          </cell>
          <cell r="K59">
            <v>676</v>
          </cell>
          <cell r="L59">
            <v>5281</v>
          </cell>
          <cell r="M59">
            <v>325186</v>
          </cell>
          <cell r="N59">
            <v>36</v>
          </cell>
          <cell r="O59">
            <v>3659</v>
          </cell>
          <cell r="P59">
            <v>1107</v>
          </cell>
          <cell r="Q59">
            <v>45906</v>
          </cell>
        </row>
        <row r="60">
          <cell r="A60" t="str">
            <v>Montana</v>
          </cell>
          <cell r="B60">
            <v>1765</v>
          </cell>
          <cell r="C60">
            <v>216616</v>
          </cell>
          <cell r="D60">
            <v>4</v>
          </cell>
          <cell r="E60">
            <v>712</v>
          </cell>
          <cell r="F60">
            <v>75</v>
          </cell>
          <cell r="G60">
            <v>14040</v>
          </cell>
          <cell r="H60">
            <v>1479</v>
          </cell>
          <cell r="I60">
            <v>196136</v>
          </cell>
          <cell r="J60">
            <v>207</v>
          </cell>
          <cell r="K60">
            <v>5728</v>
          </cell>
          <cell r="L60">
            <v>1374</v>
          </cell>
          <cell r="M60">
            <v>61341</v>
          </cell>
          <cell r="N60" t="str">
            <v>-</v>
          </cell>
          <cell r="O60" t="str">
            <v>-</v>
          </cell>
          <cell r="P60" t="str">
            <v>-</v>
          </cell>
          <cell r="Q60" t="str">
            <v>-</v>
          </cell>
        </row>
        <row r="61">
          <cell r="A61" t="str">
            <v>Oregon</v>
          </cell>
          <cell r="B61">
            <v>3478</v>
          </cell>
          <cell r="C61">
            <v>383528</v>
          </cell>
          <cell r="D61">
            <v>20</v>
          </cell>
          <cell r="E61">
            <v>9005</v>
          </cell>
          <cell r="F61">
            <v>306</v>
          </cell>
          <cell r="G61">
            <v>23033</v>
          </cell>
          <cell r="H61">
            <v>2496</v>
          </cell>
          <cell r="I61">
            <v>270704</v>
          </cell>
          <cell r="J61">
            <v>656</v>
          </cell>
          <cell r="K61">
            <v>80786</v>
          </cell>
          <cell r="L61">
            <v>5675</v>
          </cell>
          <cell r="M61">
            <v>224704</v>
          </cell>
          <cell r="N61">
            <v>1133</v>
          </cell>
          <cell r="O61">
            <v>9614</v>
          </cell>
          <cell r="P61">
            <v>1602</v>
          </cell>
          <cell r="Q61">
            <v>62622</v>
          </cell>
        </row>
        <row r="62">
          <cell r="A62" t="str">
            <v>Washington</v>
          </cell>
          <cell r="B62">
            <v>2419</v>
          </cell>
          <cell r="C62">
            <v>187899</v>
          </cell>
          <cell r="D62">
            <v>20</v>
          </cell>
          <cell r="E62">
            <v>3353</v>
          </cell>
          <cell r="F62">
            <v>435</v>
          </cell>
          <cell r="G62">
            <v>26159</v>
          </cell>
          <cell r="H62">
            <v>1615</v>
          </cell>
          <cell r="I62">
            <v>104243</v>
          </cell>
          <cell r="J62">
            <v>349</v>
          </cell>
          <cell r="K62">
            <v>54144</v>
          </cell>
          <cell r="L62">
            <v>3324</v>
          </cell>
          <cell r="M62">
            <v>124694</v>
          </cell>
          <cell r="N62">
            <v>473</v>
          </cell>
          <cell r="O62">
            <v>10293</v>
          </cell>
          <cell r="P62">
            <v>4520</v>
          </cell>
          <cell r="Q62">
            <v>222155</v>
          </cell>
        </row>
        <row r="63">
          <cell r="A63" t="str">
            <v>PNW</v>
          </cell>
          <cell r="B63">
            <v>10630</v>
          </cell>
          <cell r="C63">
            <v>1282620</v>
          </cell>
          <cell r="D63">
            <v>157</v>
          </cell>
          <cell r="E63">
            <v>33916</v>
          </cell>
          <cell r="F63">
            <v>976</v>
          </cell>
          <cell r="G63">
            <v>97671</v>
          </cell>
          <cell r="H63">
            <v>8242</v>
          </cell>
          <cell r="I63">
            <v>1009699</v>
          </cell>
          <cell r="J63">
            <v>1255</v>
          </cell>
          <cell r="K63">
            <v>141334</v>
          </cell>
          <cell r="L63">
            <v>15654</v>
          </cell>
          <cell r="M63">
            <v>735925</v>
          </cell>
          <cell r="N63">
            <v>1642</v>
          </cell>
          <cell r="O63">
            <v>23566</v>
          </cell>
          <cell r="P63">
            <v>7229</v>
          </cell>
          <cell r="Q63">
            <v>330683</v>
          </cell>
        </row>
        <row r="65">
          <cell r="A65" t="str">
            <v>2008 Data</v>
          </cell>
        </row>
        <row r="66">
          <cell r="A66" t="str">
            <v>State</v>
          </cell>
          <cell r="B66" t="str">
            <v>Farms</v>
          </cell>
          <cell r="C66" t="str">
            <v>Acres</v>
          </cell>
          <cell r="D66" t="str">
            <v>Center Pivot</v>
          </cell>
        </row>
        <row r="67">
          <cell r="D67" t="str">
            <v>Farms</v>
          </cell>
          <cell r="E67" t="str">
            <v>Acres</v>
          </cell>
          <cell r="F67" t="str">
            <v>High Pressure -      60 psi +</v>
          </cell>
          <cell r="H67" t="str">
            <v>Medium Pressure 30 to 59 psi</v>
          </cell>
          <cell r="J67" t="str">
            <v>Low Pressure Under 30 psi</v>
          </cell>
          <cell r="L67" t="str">
            <v>High Pressure Penetration</v>
          </cell>
          <cell r="N67" t="str">
            <v>Medium Pressure Penetration</v>
          </cell>
          <cell r="P67" t="str">
            <v>Low Pressure Penetration</v>
          </cell>
        </row>
        <row r="68">
          <cell r="F68" t="str">
            <v>Farms</v>
          </cell>
          <cell r="G68" t="str">
            <v>Acres</v>
          </cell>
          <cell r="H68" t="str">
            <v>Farms</v>
          </cell>
          <cell r="I68" t="str">
            <v>Acres</v>
          </cell>
          <cell r="J68" t="str">
            <v>Farms</v>
          </cell>
          <cell r="K68" t="str">
            <v>Acres</v>
          </cell>
          <cell r="L68" t="str">
            <v>Farms</v>
          </cell>
          <cell r="M68" t="str">
            <v>Acres</v>
          </cell>
          <cell r="N68" t="str">
            <v>Farms</v>
          </cell>
          <cell r="O68" t="str">
            <v>Acres</v>
          </cell>
          <cell r="P68" t="str">
            <v>Farms</v>
          </cell>
          <cell r="Q68" t="str">
            <v>Acres</v>
          </cell>
        </row>
        <row r="69">
          <cell r="A69" t="str">
            <v>Idaho</v>
          </cell>
          <cell r="B69">
            <v>7990</v>
          </cell>
          <cell r="C69">
            <v>2599343</v>
          </cell>
          <cell r="D69">
            <v>3089</v>
          </cell>
          <cell r="E69">
            <v>1758277</v>
          </cell>
          <cell r="F69">
            <v>306</v>
          </cell>
          <cell r="G69">
            <v>175616</v>
          </cell>
          <cell r="H69">
            <v>1788</v>
          </cell>
          <cell r="I69">
            <v>973481</v>
          </cell>
          <cell r="J69">
            <v>1127</v>
          </cell>
          <cell r="K69">
            <v>609180</v>
          </cell>
          <cell r="L69">
            <v>9.9061184849465841E-2</v>
          </cell>
          <cell r="M69">
            <v>9.9879598038306816E-2</v>
          </cell>
          <cell r="N69">
            <v>0.57882809970864357</v>
          </cell>
          <cell r="O69">
            <v>0.55365622140311221</v>
          </cell>
          <cell r="P69">
            <v>0.36484299125930719</v>
          </cell>
          <cell r="Q69">
            <v>0.34646418055858091</v>
          </cell>
        </row>
        <row r="70">
          <cell r="A70" t="str">
            <v>Montana</v>
          </cell>
          <cell r="B70">
            <v>3920</v>
          </cell>
          <cell r="C70">
            <v>881591</v>
          </cell>
          <cell r="D70">
            <v>1796</v>
          </cell>
          <cell r="E70">
            <v>583795</v>
          </cell>
          <cell r="F70">
            <v>423</v>
          </cell>
          <cell r="G70">
            <v>53019</v>
          </cell>
          <cell r="H70">
            <v>668</v>
          </cell>
          <cell r="I70">
            <v>244100</v>
          </cell>
          <cell r="J70">
            <v>853</v>
          </cell>
          <cell r="K70">
            <v>286676</v>
          </cell>
          <cell r="L70">
            <v>0.23552338530066816</v>
          </cell>
          <cell r="M70">
            <v>9.0817838453566752E-2</v>
          </cell>
          <cell r="N70">
            <v>0.37193763919821826</v>
          </cell>
          <cell r="O70">
            <v>0.4181262258155688</v>
          </cell>
          <cell r="P70">
            <v>0.47494432071269488</v>
          </cell>
          <cell r="Q70">
            <v>0.49105593573086442</v>
          </cell>
        </row>
        <row r="71">
          <cell r="A71" t="str">
            <v>Oregon</v>
          </cell>
          <cell r="B71">
            <v>9389</v>
          </cell>
          <cell r="C71">
            <v>1080550</v>
          </cell>
          <cell r="D71">
            <v>1109</v>
          </cell>
          <cell r="E71">
            <v>525061</v>
          </cell>
          <cell r="F71">
            <v>60</v>
          </cell>
          <cell r="G71">
            <v>36350</v>
          </cell>
          <cell r="H71">
            <v>578</v>
          </cell>
          <cell r="I71">
            <v>324239</v>
          </cell>
          <cell r="J71">
            <v>492</v>
          </cell>
          <cell r="K71">
            <v>164472</v>
          </cell>
          <cell r="L71">
            <v>5.4102795311091072E-2</v>
          </cell>
          <cell r="M71">
            <v>6.9230051365460399E-2</v>
          </cell>
          <cell r="N71">
            <v>0.521190261496844</v>
          </cell>
          <cell r="O71">
            <v>0.61752634455806088</v>
          </cell>
          <cell r="P71">
            <v>0.44364292155094681</v>
          </cell>
          <cell r="Q71">
            <v>0.31324360407647872</v>
          </cell>
        </row>
        <row r="72">
          <cell r="A72" t="str">
            <v>Washington</v>
          </cell>
          <cell r="B72">
            <v>8892</v>
          </cell>
          <cell r="C72">
            <v>1378576</v>
          </cell>
          <cell r="D72">
            <v>1232</v>
          </cell>
          <cell r="E72">
            <v>866116</v>
          </cell>
          <cell r="F72">
            <v>138</v>
          </cell>
          <cell r="G72">
            <v>93188</v>
          </cell>
          <cell r="H72">
            <v>664</v>
          </cell>
          <cell r="I72">
            <v>412799</v>
          </cell>
          <cell r="J72">
            <v>482</v>
          </cell>
          <cell r="K72">
            <v>360129</v>
          </cell>
          <cell r="L72">
            <v>0.11201298701298701</v>
          </cell>
          <cell r="M72">
            <v>0.10759297830775555</v>
          </cell>
          <cell r="N72">
            <v>0.53896103896103897</v>
          </cell>
          <cell r="O72">
            <v>0.47660936872197257</v>
          </cell>
          <cell r="P72">
            <v>0.39123376623376621</v>
          </cell>
          <cell r="Q72">
            <v>0.41579765297027188</v>
          </cell>
        </row>
        <row r="73">
          <cell r="A73" t="str">
            <v>PNW</v>
          </cell>
          <cell r="B73">
            <v>30191</v>
          </cell>
          <cell r="C73">
            <v>5940060</v>
          </cell>
          <cell r="D73">
            <v>7226</v>
          </cell>
          <cell r="E73">
            <v>3733249</v>
          </cell>
          <cell r="F73">
            <v>927</v>
          </cell>
          <cell r="G73">
            <v>358173</v>
          </cell>
          <cell r="H73">
            <v>3698</v>
          </cell>
          <cell r="I73">
            <v>1954619</v>
          </cell>
          <cell r="J73">
            <v>2954</v>
          </cell>
          <cell r="K73">
            <v>1420457</v>
          </cell>
          <cell r="L73">
            <v>0.12828674231940215</v>
          </cell>
          <cell r="M73">
            <v>9.5941363675447311E-2</v>
          </cell>
          <cell r="N73">
            <v>0.51176307777470242</v>
          </cell>
          <cell r="O73">
            <v>0.52357048779762616</v>
          </cell>
          <cell r="P73">
            <v>0.40880154995848328</v>
          </cell>
          <cell r="Q73">
            <v>0.38048814852692653</v>
          </cell>
        </row>
        <row r="74">
          <cell r="A74" t="str">
            <v xml:space="preserve"> </v>
          </cell>
        </row>
        <row r="75">
          <cell r="A75" t="str">
            <v>2008 Data</v>
          </cell>
        </row>
        <row r="76">
          <cell r="A76" t="str">
            <v>State</v>
          </cell>
          <cell r="B76" t="str">
            <v>Mechanical Move</v>
          </cell>
        </row>
        <row r="77">
          <cell r="B77" t="str">
            <v>Farms</v>
          </cell>
          <cell r="C77" t="str">
            <v>Acres</v>
          </cell>
          <cell r="D77" t="str">
            <v>Linear Move Systems Low Pressure Under 30 psi</v>
          </cell>
          <cell r="F77" t="str">
            <v>Linear Move Systems Medium to High Pressure</v>
          </cell>
          <cell r="H77" t="str">
            <v>Side roll, wheel move, or other mechanical move</v>
          </cell>
          <cell r="J77" t="str">
            <v>Traveler or Big Gun</v>
          </cell>
          <cell r="L77" t="str">
            <v>Hand move</v>
          </cell>
          <cell r="N77" t="str">
            <v>Solid Set and Permanent Low Pressure Under 30 psi</v>
          </cell>
          <cell r="P77" t="str">
            <v>Solid Set and Permanent Medium to High Pressure</v>
          </cell>
        </row>
        <row r="78">
          <cell r="D78" t="str">
            <v>Farms</v>
          </cell>
          <cell r="E78" t="str">
            <v>Acres</v>
          </cell>
          <cell r="F78" t="str">
            <v>Farms</v>
          </cell>
          <cell r="G78" t="str">
            <v>Acres</v>
          </cell>
          <cell r="H78" t="str">
            <v>Farms</v>
          </cell>
          <cell r="I78" t="str">
            <v>Acres</v>
          </cell>
          <cell r="J78" t="str">
            <v>Farms</v>
          </cell>
          <cell r="K78" t="str">
            <v>Acres</v>
          </cell>
          <cell r="L78" t="str">
            <v>Farms</v>
          </cell>
          <cell r="M78" t="str">
            <v>Acres</v>
          </cell>
          <cell r="N78" t="str">
            <v>Farms</v>
          </cell>
          <cell r="O78" t="str">
            <v>Acres</v>
          </cell>
          <cell r="P78" t="str">
            <v>Farms</v>
          </cell>
          <cell r="Q78" t="str">
            <v>Acres</v>
          </cell>
        </row>
        <row r="79">
          <cell r="A79" t="str">
            <v>Idaho</v>
          </cell>
          <cell r="B79">
            <v>3159</v>
          </cell>
          <cell r="C79">
            <v>577259</v>
          </cell>
          <cell r="D79">
            <v>47</v>
          </cell>
          <cell r="E79">
            <v>40847</v>
          </cell>
          <cell r="F79">
            <v>167</v>
          </cell>
          <cell r="G79">
            <v>46655</v>
          </cell>
          <cell r="H79">
            <v>2818</v>
          </cell>
          <cell r="I79">
            <v>486182</v>
          </cell>
          <cell r="J79">
            <v>127</v>
          </cell>
          <cell r="K79">
            <v>3575</v>
          </cell>
          <cell r="L79">
            <v>3993</v>
          </cell>
          <cell r="M79">
            <v>204771</v>
          </cell>
          <cell r="N79">
            <v>363</v>
          </cell>
          <cell r="O79">
            <v>20872</v>
          </cell>
          <cell r="P79">
            <v>1222</v>
          </cell>
          <cell r="Q79">
            <v>38164</v>
          </cell>
        </row>
        <row r="80">
          <cell r="A80" t="str">
            <v>Montana</v>
          </cell>
          <cell r="B80">
            <v>3061</v>
          </cell>
          <cell r="C80">
            <v>248919</v>
          </cell>
          <cell r="D80">
            <v>148</v>
          </cell>
          <cell r="E80">
            <v>1715</v>
          </cell>
          <cell r="F80">
            <v>27</v>
          </cell>
          <cell r="G80">
            <v>6188</v>
          </cell>
          <cell r="H80">
            <v>2415</v>
          </cell>
          <cell r="I80">
            <v>234472</v>
          </cell>
          <cell r="J80">
            <v>471</v>
          </cell>
          <cell r="K80">
            <v>6544</v>
          </cell>
          <cell r="L80">
            <v>1120</v>
          </cell>
          <cell r="M80">
            <v>48106</v>
          </cell>
          <cell r="N80">
            <v>20</v>
          </cell>
          <cell r="O80">
            <v>600</v>
          </cell>
          <cell r="P80">
            <v>25</v>
          </cell>
          <cell r="Q80">
            <v>171</v>
          </cell>
        </row>
        <row r="81">
          <cell r="A81" t="str">
            <v>Oregon</v>
          </cell>
          <cell r="B81">
            <v>3409</v>
          </cell>
          <cell r="C81">
            <v>391737</v>
          </cell>
          <cell r="D81">
            <v>46</v>
          </cell>
          <cell r="E81">
            <v>12602</v>
          </cell>
          <cell r="F81">
            <v>81</v>
          </cell>
          <cell r="G81">
            <v>17098</v>
          </cell>
          <cell r="H81">
            <v>2128</v>
          </cell>
          <cell r="I81">
            <v>268480</v>
          </cell>
          <cell r="J81">
            <v>1154</v>
          </cell>
          <cell r="K81">
            <v>93557</v>
          </cell>
          <cell r="L81">
            <v>5544</v>
          </cell>
          <cell r="M81">
            <v>121903</v>
          </cell>
          <cell r="N81">
            <v>14</v>
          </cell>
          <cell r="O81">
            <v>3655</v>
          </cell>
          <cell r="P81">
            <v>1715</v>
          </cell>
          <cell r="Q81">
            <v>41144</v>
          </cell>
        </row>
        <row r="82">
          <cell r="A82" t="str">
            <v>Washington</v>
          </cell>
          <cell r="B82">
            <v>2468</v>
          </cell>
          <cell r="C82">
            <v>195716</v>
          </cell>
          <cell r="D82">
            <v>82</v>
          </cell>
          <cell r="E82">
            <v>1834</v>
          </cell>
          <cell r="F82">
            <v>30</v>
          </cell>
          <cell r="G82">
            <v>3400</v>
          </cell>
          <cell r="H82">
            <v>1669</v>
          </cell>
          <cell r="I82">
            <v>127919</v>
          </cell>
          <cell r="J82">
            <v>687</v>
          </cell>
          <cell r="K82">
            <v>62563</v>
          </cell>
          <cell r="L82">
            <v>2258</v>
          </cell>
          <cell r="M82">
            <v>85011</v>
          </cell>
          <cell r="N82">
            <v>845</v>
          </cell>
          <cell r="O82">
            <v>23210</v>
          </cell>
          <cell r="P82">
            <v>4358</v>
          </cell>
          <cell r="Q82">
            <v>208523</v>
          </cell>
        </row>
        <row r="83">
          <cell r="A83" t="str">
            <v>PNW</v>
          </cell>
          <cell r="B83">
            <v>12097</v>
          </cell>
          <cell r="C83">
            <v>1413631</v>
          </cell>
          <cell r="D83">
            <v>323</v>
          </cell>
          <cell r="E83">
            <v>56998</v>
          </cell>
          <cell r="F83">
            <v>305</v>
          </cell>
          <cell r="G83">
            <v>73341</v>
          </cell>
          <cell r="H83">
            <v>9030</v>
          </cell>
          <cell r="I83">
            <v>1117053</v>
          </cell>
          <cell r="J83">
            <v>2439</v>
          </cell>
          <cell r="K83">
            <v>166239</v>
          </cell>
          <cell r="L83">
            <v>12915</v>
          </cell>
          <cell r="M83">
            <v>459791</v>
          </cell>
          <cell r="N83">
            <v>1242</v>
          </cell>
          <cell r="O83">
            <v>48337</v>
          </cell>
          <cell r="P83">
            <v>7320</v>
          </cell>
          <cell r="Q83">
            <v>288002</v>
          </cell>
        </row>
        <row r="85">
          <cell r="A85" t="str">
            <v>2013 Data</v>
          </cell>
        </row>
        <row r="86">
          <cell r="A86" t="str">
            <v>State</v>
          </cell>
          <cell r="B86" t="str">
            <v>Farms</v>
          </cell>
          <cell r="C86" t="str">
            <v>Acres</v>
          </cell>
          <cell r="D86" t="str">
            <v>Center Pivot</v>
          </cell>
        </row>
        <row r="87">
          <cell r="D87" t="str">
            <v>Farms</v>
          </cell>
          <cell r="E87" t="str">
            <v>Acres</v>
          </cell>
          <cell r="F87" t="str">
            <v>High Pressure -      60 psi +</v>
          </cell>
          <cell r="H87" t="str">
            <v>Medium Pressure 30 to 59 psi</v>
          </cell>
          <cell r="J87" t="str">
            <v>Low Pressure Under 30 psi</v>
          </cell>
          <cell r="L87" t="str">
            <v>High Pressure Penetration</v>
          </cell>
          <cell r="N87" t="str">
            <v>Medium Pressure Penetration</v>
          </cell>
          <cell r="P87" t="str">
            <v>Low Pressure Penetration</v>
          </cell>
        </row>
        <row r="88">
          <cell r="F88" t="str">
            <v>Farms</v>
          </cell>
          <cell r="G88" t="str">
            <v>Acres</v>
          </cell>
          <cell r="H88" t="str">
            <v>Farms</v>
          </cell>
          <cell r="I88" t="str">
            <v>Acres</v>
          </cell>
          <cell r="J88" t="str">
            <v>Farms</v>
          </cell>
          <cell r="K88" t="str">
            <v>Acres</v>
          </cell>
          <cell r="L88" t="str">
            <v>Farms</v>
          </cell>
          <cell r="M88" t="str">
            <v>Acres</v>
          </cell>
          <cell r="N88" t="str">
            <v>Farms</v>
          </cell>
          <cell r="O88" t="str">
            <v>Acres</v>
          </cell>
          <cell r="P88" t="str">
            <v>Farms</v>
          </cell>
          <cell r="Q88" t="str">
            <v>Acres</v>
          </cell>
        </row>
        <row r="89">
          <cell r="A89" t="str">
            <v>Idaho</v>
          </cell>
          <cell r="B89">
            <v>8249</v>
          </cell>
          <cell r="C89">
            <v>3088161</v>
          </cell>
          <cell r="D89">
            <v>3025</v>
          </cell>
          <cell r="E89">
            <v>2229589</v>
          </cell>
          <cell r="F89">
            <v>342</v>
          </cell>
          <cell r="G89">
            <v>230707</v>
          </cell>
          <cell r="H89">
            <v>1748</v>
          </cell>
          <cell r="I89">
            <v>1285602</v>
          </cell>
          <cell r="J89">
            <v>1206</v>
          </cell>
          <cell r="K89">
            <v>713280</v>
          </cell>
          <cell r="L89">
            <v>0.11305785123966942</v>
          </cell>
          <cell r="M89">
            <v>0.10347512478757295</v>
          </cell>
          <cell r="N89">
            <v>0.57785123966942153</v>
          </cell>
          <cell r="O89">
            <v>0.57660941097215679</v>
          </cell>
          <cell r="P89">
            <v>0.3986776859504132</v>
          </cell>
          <cell r="Q89">
            <v>0.31991546424027029</v>
          </cell>
        </row>
        <row r="90">
          <cell r="A90" t="str">
            <v>Montana</v>
          </cell>
          <cell r="B90">
            <v>3208</v>
          </cell>
          <cell r="C90">
            <v>849332</v>
          </cell>
          <cell r="D90">
            <v>1421</v>
          </cell>
          <cell r="E90">
            <v>595590</v>
          </cell>
          <cell r="F90">
            <v>267</v>
          </cell>
          <cell r="G90">
            <v>58240</v>
          </cell>
          <cell r="H90">
            <v>791</v>
          </cell>
          <cell r="I90">
            <v>309955</v>
          </cell>
          <cell r="J90">
            <v>435</v>
          </cell>
          <cell r="K90">
            <v>227395</v>
          </cell>
          <cell r="L90">
            <v>0.18789584799437017</v>
          </cell>
          <cell r="M90">
            <v>9.7785389277858931E-2</v>
          </cell>
          <cell r="N90">
            <v>0.55665024630541871</v>
          </cell>
          <cell r="O90">
            <v>0.52041672962944308</v>
          </cell>
          <cell r="P90">
            <v>0.30612244897959184</v>
          </cell>
          <cell r="Q90">
            <v>0.38179788109269802</v>
          </cell>
        </row>
        <row r="91">
          <cell r="A91" t="str">
            <v>Oregon</v>
          </cell>
          <cell r="B91">
            <v>8800</v>
          </cell>
          <cell r="C91">
            <v>1141042</v>
          </cell>
          <cell r="D91">
            <v>1990</v>
          </cell>
          <cell r="E91">
            <v>543142</v>
          </cell>
          <cell r="F91">
            <v>362</v>
          </cell>
          <cell r="G91">
            <v>73681</v>
          </cell>
          <cell r="H91">
            <v>1115</v>
          </cell>
          <cell r="I91">
            <v>267691</v>
          </cell>
          <cell r="J91">
            <v>603</v>
          </cell>
          <cell r="K91">
            <v>201770</v>
          </cell>
          <cell r="L91">
            <v>0.18190954773869347</v>
          </cell>
          <cell r="M91">
            <v>0.135656973682757</v>
          </cell>
          <cell r="N91">
            <v>0.56030150753768848</v>
          </cell>
          <cell r="O91">
            <v>0.49285638009949517</v>
          </cell>
          <cell r="P91">
            <v>0.30301507537688444</v>
          </cell>
          <cell r="Q91">
            <v>0.37148664621774785</v>
          </cell>
        </row>
        <row r="92">
          <cell r="A92" t="str">
            <v>Washington</v>
          </cell>
          <cell r="B92">
            <v>8618</v>
          </cell>
          <cell r="C92">
            <v>1420224</v>
          </cell>
          <cell r="D92">
            <v>1697</v>
          </cell>
          <cell r="E92">
            <v>990074</v>
          </cell>
          <cell r="F92">
            <v>218</v>
          </cell>
          <cell r="G92">
            <v>114933</v>
          </cell>
          <cell r="H92">
            <v>834</v>
          </cell>
          <cell r="I92">
            <v>426619</v>
          </cell>
          <cell r="J92">
            <v>807</v>
          </cell>
          <cell r="K92">
            <v>448522</v>
          </cell>
          <cell r="L92">
            <v>0.12846199175014733</v>
          </cell>
          <cell r="M92">
            <v>0.11608526231372604</v>
          </cell>
          <cell r="N92">
            <v>0.49145550972304064</v>
          </cell>
          <cell r="O92">
            <v>0.43089607443484024</v>
          </cell>
          <cell r="P92">
            <v>0.47554507955215086</v>
          </cell>
          <cell r="Q92">
            <v>0.45301866325143375</v>
          </cell>
        </row>
        <row r="93">
          <cell r="A93" t="str">
            <v>PNW</v>
          </cell>
          <cell r="B93">
            <v>28875</v>
          </cell>
          <cell r="C93">
            <v>6498759</v>
          </cell>
          <cell r="D93">
            <v>8133</v>
          </cell>
          <cell r="E93">
            <v>4358395</v>
          </cell>
          <cell r="F93">
            <v>1189</v>
          </cell>
          <cell r="G93">
            <v>477561</v>
          </cell>
          <cell r="H93">
            <v>4488</v>
          </cell>
          <cell r="I93">
            <v>2289867</v>
          </cell>
          <cell r="J93">
            <v>3051</v>
          </cell>
          <cell r="K93">
            <v>1590967</v>
          </cell>
          <cell r="L93">
            <v>0.14619451616869544</v>
          </cell>
          <cell r="M93">
            <v>0.10957267526233855</v>
          </cell>
          <cell r="N93">
            <v>0.55182589450387309</v>
          </cell>
          <cell r="O93">
            <v>0.52539226022423391</v>
          </cell>
          <cell r="P93">
            <v>0.37513832534120251</v>
          </cell>
          <cell r="Q93">
            <v>0.36503506451342754</v>
          </cell>
        </row>
        <row r="95">
          <cell r="A95" t="str">
            <v>2013 Data</v>
          </cell>
        </row>
        <row r="96">
          <cell r="A96" t="str">
            <v>State</v>
          </cell>
          <cell r="B96" t="str">
            <v>Mechanical Move</v>
          </cell>
        </row>
        <row r="97">
          <cell r="B97" t="str">
            <v>Farms</v>
          </cell>
          <cell r="C97" t="str">
            <v>Acres</v>
          </cell>
          <cell r="D97" t="str">
            <v>Linear Move Systems Low Pressure Under 30 psi</v>
          </cell>
          <cell r="F97" t="str">
            <v>Linear Move Systems Medium to High Pressure</v>
          </cell>
          <cell r="H97" t="str">
            <v>Side roll, wheel move, or other mechanical move</v>
          </cell>
          <cell r="J97" t="str">
            <v>Traveler or Big Gun</v>
          </cell>
          <cell r="L97" t="str">
            <v>Hand move</v>
          </cell>
          <cell r="N97" t="str">
            <v>Solid Set and Permanent Low Pressure Under 30 psi</v>
          </cell>
          <cell r="P97" t="str">
            <v>Solid Set and Permanent Medium to High Pressure</v>
          </cell>
        </row>
        <row r="98">
          <cell r="D98" t="str">
            <v>Farms</v>
          </cell>
          <cell r="E98" t="str">
            <v>Acres</v>
          </cell>
          <cell r="F98" t="str">
            <v>Farms</v>
          </cell>
          <cell r="G98" t="str">
            <v>Acres</v>
          </cell>
          <cell r="H98" t="str">
            <v>Farms</v>
          </cell>
          <cell r="I98" t="str">
            <v>Acres</v>
          </cell>
          <cell r="J98" t="str">
            <v>Farms</v>
          </cell>
          <cell r="K98" t="str">
            <v>Acres</v>
          </cell>
          <cell r="L98" t="str">
            <v>Farms</v>
          </cell>
          <cell r="M98" t="str">
            <v>Acres</v>
          </cell>
          <cell r="N98" t="str">
            <v>Farms</v>
          </cell>
          <cell r="O98" t="str">
            <v>Acres</v>
          </cell>
          <cell r="P98" t="str">
            <v>Farms</v>
          </cell>
          <cell r="Q98" t="str">
            <v>Acres</v>
          </cell>
        </row>
        <row r="99">
          <cell r="A99" t="str">
            <v>Idaho</v>
          </cell>
          <cell r="B99">
            <v>3719</v>
          </cell>
          <cell r="C99">
            <v>589417</v>
          </cell>
          <cell r="D99">
            <v>48</v>
          </cell>
          <cell r="E99">
            <v>25112</v>
          </cell>
          <cell r="F99">
            <v>484</v>
          </cell>
          <cell r="G99">
            <v>99680</v>
          </cell>
          <cell r="H99">
            <v>2784</v>
          </cell>
          <cell r="I99">
            <v>458719</v>
          </cell>
          <cell r="J99">
            <v>403</v>
          </cell>
          <cell r="K99">
            <v>5906</v>
          </cell>
          <cell r="L99">
            <v>4261</v>
          </cell>
          <cell r="M99">
            <v>199658</v>
          </cell>
          <cell r="N99">
            <v>305</v>
          </cell>
          <cell r="O99">
            <v>20287</v>
          </cell>
          <cell r="P99">
            <v>700</v>
          </cell>
          <cell r="Q99">
            <v>22891</v>
          </cell>
        </row>
        <row r="100">
          <cell r="A100" t="str">
            <v>Montana</v>
          </cell>
          <cell r="B100">
            <v>1883</v>
          </cell>
          <cell r="C100">
            <v>186873</v>
          </cell>
          <cell r="D100">
            <v>89</v>
          </cell>
          <cell r="E100">
            <v>2243</v>
          </cell>
          <cell r="F100">
            <v>138</v>
          </cell>
          <cell r="G100">
            <v>11824</v>
          </cell>
          <cell r="H100">
            <v>1352</v>
          </cell>
          <cell r="I100">
            <v>164267</v>
          </cell>
          <cell r="J100">
            <v>304</v>
          </cell>
          <cell r="K100">
            <v>8539</v>
          </cell>
          <cell r="L100">
            <v>1074</v>
          </cell>
          <cell r="M100">
            <v>44766</v>
          </cell>
          <cell r="N100">
            <v>10</v>
          </cell>
          <cell r="O100">
            <v>55</v>
          </cell>
          <cell r="P100">
            <v>139</v>
          </cell>
          <cell r="Q100">
            <v>4242</v>
          </cell>
        </row>
        <row r="101">
          <cell r="A101" t="str">
            <v>Oregon</v>
          </cell>
          <cell r="B101">
            <v>4320</v>
          </cell>
          <cell r="C101">
            <v>373405</v>
          </cell>
          <cell r="D101">
            <v>211</v>
          </cell>
          <cell r="E101">
            <v>23525</v>
          </cell>
          <cell r="F101">
            <v>268</v>
          </cell>
          <cell r="G101">
            <v>36679</v>
          </cell>
          <cell r="H101">
            <v>2240</v>
          </cell>
          <cell r="I101">
            <v>224305</v>
          </cell>
          <cell r="J101">
            <v>1601</v>
          </cell>
          <cell r="K101">
            <v>88896</v>
          </cell>
          <cell r="L101">
            <v>3278</v>
          </cell>
          <cell r="M101">
            <v>121504</v>
          </cell>
          <cell r="N101">
            <v>759</v>
          </cell>
          <cell r="O101">
            <v>17719</v>
          </cell>
          <cell r="P101">
            <v>1470</v>
          </cell>
          <cell r="Q101">
            <v>51523</v>
          </cell>
        </row>
        <row r="102">
          <cell r="A102" t="str">
            <v>Washington</v>
          </cell>
          <cell r="B102">
            <v>2317</v>
          </cell>
          <cell r="C102">
            <v>167947</v>
          </cell>
          <cell r="D102">
            <v>124</v>
          </cell>
          <cell r="E102">
            <v>5085</v>
          </cell>
          <cell r="F102">
            <v>367</v>
          </cell>
          <cell r="G102">
            <v>14535</v>
          </cell>
          <cell r="H102">
            <v>1309</v>
          </cell>
          <cell r="I102">
            <v>92229</v>
          </cell>
          <cell r="J102">
            <v>517</v>
          </cell>
          <cell r="K102">
            <v>56098</v>
          </cell>
          <cell r="L102">
            <v>3529</v>
          </cell>
          <cell r="M102">
            <v>45923</v>
          </cell>
          <cell r="N102">
            <v>213</v>
          </cell>
          <cell r="O102">
            <v>24722</v>
          </cell>
          <cell r="P102">
            <v>3039</v>
          </cell>
          <cell r="Q102">
            <v>146232</v>
          </cell>
        </row>
        <row r="103">
          <cell r="A103" t="str">
            <v>PNW</v>
          </cell>
          <cell r="B103">
            <v>12239</v>
          </cell>
          <cell r="C103">
            <v>1317642</v>
          </cell>
          <cell r="D103">
            <v>472</v>
          </cell>
          <cell r="E103">
            <v>55965</v>
          </cell>
          <cell r="F103">
            <v>1257</v>
          </cell>
          <cell r="G103">
            <v>162718</v>
          </cell>
          <cell r="H103">
            <v>7685</v>
          </cell>
          <cell r="I103">
            <v>939520</v>
          </cell>
          <cell r="J103">
            <v>2825</v>
          </cell>
          <cell r="K103">
            <v>159439</v>
          </cell>
          <cell r="L103">
            <v>12142</v>
          </cell>
          <cell r="M103">
            <v>411851</v>
          </cell>
          <cell r="N103">
            <v>1287</v>
          </cell>
          <cell r="O103">
            <v>62783</v>
          </cell>
          <cell r="P103">
            <v>5348</v>
          </cell>
          <cell r="Q103">
            <v>224888</v>
          </cell>
        </row>
      </sheetData>
      <sheetData sheetId="30">
        <row r="4">
          <cell r="A4" t="str">
            <v>1994 Data</v>
          </cell>
        </row>
        <row r="5">
          <cell r="A5" t="str">
            <v>State</v>
          </cell>
          <cell r="B5" t="str">
            <v>Total</v>
          </cell>
          <cell r="E5" t="str">
            <v>High Pressure Center Pivot</v>
          </cell>
          <cell r="H5" t="str">
            <v>Medium Pressure Center Pivot</v>
          </cell>
          <cell r="K5" t="str">
            <v>Low Pressure Center Pivot</v>
          </cell>
          <cell r="N5" t="str">
            <v>Linear and Wheel Move</v>
          </cell>
          <cell r="Q5" t="str">
            <v>All Other Mechanical Move</v>
          </cell>
          <cell r="T5" t="str">
            <v>Hand Move</v>
          </cell>
          <cell r="W5" t="str">
            <v>Solid Set or Permanent</v>
          </cell>
        </row>
        <row r="6">
          <cell r="E6" t="str">
            <v>60 PSI or greater</v>
          </cell>
          <cell r="H6" t="str">
            <v>30 to 59 PSI</v>
          </cell>
          <cell r="K6" t="str">
            <v>Under 30 PSI</v>
          </cell>
        </row>
        <row r="7">
          <cell r="B7" t="str">
            <v>Farms</v>
          </cell>
          <cell r="C7" t="str">
            <v>Acres</v>
          </cell>
          <cell r="D7" t="str">
            <v>Average acre-feet /acre</v>
          </cell>
          <cell r="E7" t="str">
            <v>Farms</v>
          </cell>
          <cell r="F7" t="str">
            <v>Acres</v>
          </cell>
          <cell r="G7" t="str">
            <v>Average acre-feet /acre</v>
          </cell>
          <cell r="H7" t="str">
            <v>Farms</v>
          </cell>
          <cell r="I7" t="str">
            <v>Acres</v>
          </cell>
          <cell r="J7" t="str">
            <v>Average acre-feet /acre</v>
          </cell>
          <cell r="K7" t="str">
            <v>Farms</v>
          </cell>
          <cell r="L7" t="str">
            <v>Acres</v>
          </cell>
          <cell r="M7" t="str">
            <v>Average acre-feet /acre</v>
          </cell>
          <cell r="N7" t="str">
            <v>Farms</v>
          </cell>
          <cell r="O7" t="str">
            <v>Acres</v>
          </cell>
          <cell r="P7" t="str">
            <v>Average acre-feet /acre</v>
          </cell>
          <cell r="Q7" t="str">
            <v>Farms</v>
          </cell>
          <cell r="R7" t="str">
            <v>Acres</v>
          </cell>
          <cell r="S7" t="str">
            <v>Average acre-feet /acre</v>
          </cell>
          <cell r="T7" t="str">
            <v>Farms</v>
          </cell>
          <cell r="U7" t="str">
            <v>Acres</v>
          </cell>
          <cell r="V7" t="str">
            <v>Average acre-feet /acre</v>
          </cell>
          <cell r="W7" t="str">
            <v>Farms</v>
          </cell>
          <cell r="X7" t="str">
            <v>Acres</v>
          </cell>
          <cell r="Y7" t="str">
            <v>Average acre-feet /acre</v>
          </cell>
          <cell r="Z7" t="str">
            <v>State Avg. Field Size (Acres)</v>
          </cell>
        </row>
        <row r="8">
          <cell r="A8" t="str">
            <v>Idaho</v>
          </cell>
          <cell r="B8">
            <v>4654</v>
          </cell>
          <cell r="C8">
            <v>1470956</v>
          </cell>
          <cell r="D8">
            <v>1.8</v>
          </cell>
          <cell r="E8">
            <v>66</v>
          </cell>
          <cell r="F8">
            <v>59248</v>
          </cell>
          <cell r="G8">
            <v>1.9</v>
          </cell>
          <cell r="H8">
            <v>222</v>
          </cell>
          <cell r="I8">
            <v>81130</v>
          </cell>
          <cell r="J8">
            <v>2.1</v>
          </cell>
          <cell r="K8">
            <v>73</v>
          </cell>
          <cell r="L8">
            <v>43870</v>
          </cell>
          <cell r="M8">
            <v>1.4</v>
          </cell>
          <cell r="N8">
            <v>398</v>
          </cell>
          <cell r="O8">
            <v>51962</v>
          </cell>
          <cell r="P8">
            <v>1.8</v>
          </cell>
          <cell r="Q8">
            <v>144</v>
          </cell>
          <cell r="R8">
            <v>17178</v>
          </cell>
          <cell r="S8">
            <v>1.1000000000000001</v>
          </cell>
          <cell r="T8">
            <v>1496</v>
          </cell>
          <cell r="U8">
            <v>143123</v>
          </cell>
          <cell r="V8">
            <v>2.2000000000000002</v>
          </cell>
          <cell r="W8">
            <v>0</v>
          </cell>
          <cell r="X8">
            <v>0</v>
          </cell>
          <cell r="Y8">
            <v>0</v>
          </cell>
          <cell r="Z8">
            <v>316.06274172754621</v>
          </cell>
        </row>
        <row r="9">
          <cell r="A9" t="str">
            <v>Montana</v>
          </cell>
          <cell r="B9">
            <v>2175</v>
          </cell>
          <cell r="C9">
            <v>333196</v>
          </cell>
          <cell r="D9">
            <v>1.2</v>
          </cell>
          <cell r="E9">
            <v>1</v>
          </cell>
          <cell r="F9" t="str">
            <v>(D)</v>
          </cell>
          <cell r="G9" t="str">
            <v>(D)</v>
          </cell>
          <cell r="H9">
            <v>204</v>
          </cell>
          <cell r="I9">
            <v>21478</v>
          </cell>
          <cell r="J9">
            <v>1.1000000000000001</v>
          </cell>
          <cell r="K9">
            <v>12</v>
          </cell>
          <cell r="L9">
            <v>10020</v>
          </cell>
          <cell r="M9">
            <v>1.3</v>
          </cell>
          <cell r="N9">
            <v>505</v>
          </cell>
          <cell r="O9">
            <v>75694</v>
          </cell>
          <cell r="P9">
            <v>1.2</v>
          </cell>
          <cell r="Q9">
            <v>0</v>
          </cell>
          <cell r="R9">
            <v>0</v>
          </cell>
          <cell r="S9">
            <v>0</v>
          </cell>
          <cell r="T9">
            <v>851</v>
          </cell>
          <cell r="U9">
            <v>38366</v>
          </cell>
          <cell r="V9">
            <v>1.2</v>
          </cell>
          <cell r="W9">
            <v>0</v>
          </cell>
          <cell r="X9">
            <v>0</v>
          </cell>
          <cell r="Y9">
            <v>0</v>
          </cell>
          <cell r="Z9">
            <v>153.19356321839081</v>
          </cell>
        </row>
        <row r="10">
          <cell r="A10" t="str">
            <v>Oregon</v>
          </cell>
          <cell r="B10">
            <v>5368</v>
          </cell>
          <cell r="C10">
            <v>622202</v>
          </cell>
          <cell r="D10">
            <v>1.6</v>
          </cell>
          <cell r="E10">
            <v>11</v>
          </cell>
          <cell r="F10">
            <v>5500</v>
          </cell>
          <cell r="G10">
            <v>2.2000000000000002</v>
          </cell>
          <cell r="H10">
            <v>249</v>
          </cell>
          <cell r="I10">
            <v>46271</v>
          </cell>
          <cell r="J10">
            <v>2.6</v>
          </cell>
          <cell r="K10">
            <v>123</v>
          </cell>
          <cell r="L10">
            <v>39408</v>
          </cell>
          <cell r="M10">
            <v>2</v>
          </cell>
          <cell r="N10">
            <v>650</v>
          </cell>
          <cell r="O10">
            <v>70656</v>
          </cell>
          <cell r="P10">
            <v>1.7</v>
          </cell>
          <cell r="Q10">
            <v>59</v>
          </cell>
          <cell r="R10">
            <v>9687</v>
          </cell>
          <cell r="S10">
            <v>1.2</v>
          </cell>
          <cell r="T10">
            <v>1282</v>
          </cell>
          <cell r="U10">
            <v>71522</v>
          </cell>
          <cell r="V10">
            <v>1.3</v>
          </cell>
          <cell r="W10">
            <v>703</v>
          </cell>
          <cell r="X10">
            <v>21621</v>
          </cell>
          <cell r="Y10">
            <v>1.2</v>
          </cell>
          <cell r="Z10">
            <v>115.90946348733235</v>
          </cell>
        </row>
        <row r="11">
          <cell r="A11" t="str">
            <v>Washington</v>
          </cell>
          <cell r="B11">
            <v>7024</v>
          </cell>
          <cell r="C11">
            <v>915484</v>
          </cell>
          <cell r="D11">
            <v>2.1</v>
          </cell>
          <cell r="E11">
            <v>233</v>
          </cell>
          <cell r="F11">
            <v>41228</v>
          </cell>
          <cell r="G11">
            <v>1.7</v>
          </cell>
          <cell r="H11">
            <v>203</v>
          </cell>
          <cell r="I11">
            <v>100303</v>
          </cell>
          <cell r="J11">
            <v>2.4</v>
          </cell>
          <cell r="K11">
            <v>84</v>
          </cell>
          <cell r="L11">
            <v>65445</v>
          </cell>
          <cell r="M11">
            <v>2.2999999999999998</v>
          </cell>
          <cell r="N11">
            <v>295</v>
          </cell>
          <cell r="O11">
            <v>59017</v>
          </cell>
          <cell r="P11">
            <v>1.1000000000000001</v>
          </cell>
          <cell r="Q11">
            <v>40</v>
          </cell>
          <cell r="R11">
            <v>15360</v>
          </cell>
          <cell r="S11">
            <v>0.5</v>
          </cell>
          <cell r="T11">
            <v>1787</v>
          </cell>
          <cell r="U11">
            <v>62920</v>
          </cell>
          <cell r="V11">
            <v>1.5</v>
          </cell>
          <cell r="W11">
            <v>1933</v>
          </cell>
          <cell r="X11">
            <v>75376</v>
          </cell>
          <cell r="Y11">
            <v>3</v>
          </cell>
          <cell r="Z11">
            <v>130.3365603644647</v>
          </cell>
        </row>
        <row r="12">
          <cell r="A12" t="str">
            <v>PNW</v>
          </cell>
          <cell r="B12">
            <v>19221</v>
          </cell>
          <cell r="C12">
            <v>3341838</v>
          </cell>
          <cell r="D12">
            <v>1.7851241143346868</v>
          </cell>
          <cell r="E12">
            <v>311</v>
          </cell>
          <cell r="F12">
            <v>105976</v>
          </cell>
          <cell r="G12">
            <v>1.8377632671548274</v>
          </cell>
          <cell r="H12">
            <v>878</v>
          </cell>
          <cell r="I12">
            <v>249182</v>
          </cell>
          <cell r="J12">
            <v>2.2274104871138363</v>
          </cell>
          <cell r="K12">
            <v>292</v>
          </cell>
          <cell r="L12">
            <v>158743</v>
          </cell>
          <cell r="M12">
            <v>1.9136812331882349</v>
          </cell>
          <cell r="N12">
            <v>1848</v>
          </cell>
          <cell r="O12">
            <v>257329</v>
          </cell>
          <cell r="P12">
            <v>1.4355097948540585</v>
          </cell>
          <cell r="Q12">
            <v>243</v>
          </cell>
          <cell r="R12">
            <v>42225</v>
          </cell>
          <cell r="S12">
            <v>0.90468206039076371</v>
          </cell>
          <cell r="T12">
            <v>5416</v>
          </cell>
          <cell r="U12">
            <v>315931</v>
          </cell>
          <cell r="V12">
            <v>1.735405515761353</v>
          </cell>
          <cell r="W12">
            <v>2636</v>
          </cell>
          <cell r="X12">
            <v>96997</v>
          </cell>
          <cell r="Y12">
            <v>2.5987731579327198</v>
          </cell>
          <cell r="Z12">
            <v>173.86389886062119</v>
          </cell>
        </row>
        <row r="13">
          <cell r="A13" t="str">
            <v xml:space="preserve"> </v>
          </cell>
        </row>
        <row r="14">
          <cell r="A14" t="str">
            <v>1994 Data</v>
          </cell>
        </row>
        <row r="15">
          <cell r="A15" t="str">
            <v>State</v>
          </cell>
          <cell r="B15" t="str">
            <v>Total</v>
          </cell>
          <cell r="E15" t="str">
            <v>High Pressure</v>
          </cell>
          <cell r="H15" t="str">
            <v>Medium Pressure</v>
          </cell>
          <cell r="K15" t="str">
            <v>Low Pressure</v>
          </cell>
          <cell r="N15" t="str">
            <v>Linear and Wheel Move</v>
          </cell>
          <cell r="Q15" t="str">
            <v>All Other Mechanical Move</v>
          </cell>
          <cell r="T15" t="str">
            <v>Hand Move</v>
          </cell>
          <cell r="W15" t="str">
            <v>Solid Set or Permanent</v>
          </cell>
        </row>
        <row r="16">
          <cell r="E16" t="str">
            <v>60 PSI or greater</v>
          </cell>
          <cell r="H16" t="str">
            <v>30 to 59 PSI</v>
          </cell>
          <cell r="K16" t="str">
            <v>Under 30 PSI</v>
          </cell>
        </row>
        <row r="17">
          <cell r="B17" t="str">
            <v>Farms</v>
          </cell>
          <cell r="C17" t="str">
            <v>Acres</v>
          </cell>
          <cell r="D17" t="str">
            <v>Share of Acreage</v>
          </cell>
          <cell r="E17" t="str">
            <v>Farms</v>
          </cell>
          <cell r="F17" t="str">
            <v>Acres</v>
          </cell>
          <cell r="G17" t="str">
            <v>Share of Acreage</v>
          </cell>
          <cell r="H17" t="str">
            <v>Farms</v>
          </cell>
          <cell r="I17" t="str">
            <v>Acres</v>
          </cell>
          <cell r="J17" t="str">
            <v>Share of Acreage</v>
          </cell>
          <cell r="K17" t="str">
            <v>Farms</v>
          </cell>
          <cell r="L17" t="str">
            <v>Acres</v>
          </cell>
          <cell r="M17" t="str">
            <v>Share of Acreage</v>
          </cell>
          <cell r="N17" t="str">
            <v>Farms</v>
          </cell>
          <cell r="O17" t="str">
            <v>Acres</v>
          </cell>
          <cell r="P17" t="str">
            <v>Share of Acreage</v>
          </cell>
          <cell r="Q17" t="str">
            <v>Farms</v>
          </cell>
          <cell r="R17" t="str">
            <v>Acres</v>
          </cell>
          <cell r="S17" t="str">
            <v>Share of Acreage</v>
          </cell>
          <cell r="T17" t="str">
            <v>Farms</v>
          </cell>
          <cell r="U17" t="str">
            <v>Acres</v>
          </cell>
          <cell r="V17" t="str">
            <v>Share of Acreage</v>
          </cell>
          <cell r="W17" t="str">
            <v>Farms</v>
          </cell>
          <cell r="X17" t="str">
            <v>Acres</v>
          </cell>
          <cell r="Y17" t="str">
            <v>Share of Acreage</v>
          </cell>
          <cell r="Z17" t="str">
            <v>State Avg. Field Size (Acres)</v>
          </cell>
        </row>
        <row r="18">
          <cell r="A18" t="str">
            <v>Idaho</v>
          </cell>
          <cell r="B18">
            <v>4654</v>
          </cell>
          <cell r="C18">
            <v>1470956</v>
          </cell>
          <cell r="D18">
            <v>0.44016376616700154</v>
          </cell>
          <cell r="E18">
            <v>66</v>
          </cell>
          <cell r="F18">
            <v>59248</v>
          </cell>
          <cell r="G18">
            <v>0.55906997810825088</v>
          </cell>
          <cell r="H18">
            <v>222</v>
          </cell>
          <cell r="I18">
            <v>81130</v>
          </cell>
          <cell r="J18">
            <v>0.32558531515117467</v>
          </cell>
          <cell r="K18">
            <v>73</v>
          </cell>
          <cell r="L18">
            <v>43870</v>
          </cell>
          <cell r="M18">
            <v>0.27635864258581483</v>
          </cell>
          <cell r="N18">
            <v>398</v>
          </cell>
          <cell r="O18">
            <v>51962</v>
          </cell>
          <cell r="P18">
            <v>0.20192827081285047</v>
          </cell>
          <cell r="Q18">
            <v>144</v>
          </cell>
          <cell r="R18">
            <v>17178</v>
          </cell>
          <cell r="S18">
            <v>0.40682060390763763</v>
          </cell>
          <cell r="T18">
            <v>1496</v>
          </cell>
          <cell r="U18">
            <v>143123</v>
          </cell>
          <cell r="V18">
            <v>0.45301980495741156</v>
          </cell>
          <cell r="W18">
            <v>0</v>
          </cell>
          <cell r="X18">
            <v>0</v>
          </cell>
          <cell r="Y18">
            <v>0</v>
          </cell>
          <cell r="Z18">
            <v>316.06274172754621</v>
          </cell>
        </row>
        <row r="19">
          <cell r="A19" t="str">
            <v>Montana</v>
          </cell>
          <cell r="B19">
            <v>2175</v>
          </cell>
          <cell r="C19">
            <v>333196</v>
          </cell>
          <cell r="D19">
            <v>9.9704414157717997E-2</v>
          </cell>
          <cell r="E19">
            <v>1</v>
          </cell>
          <cell r="F19">
            <v>0</v>
          </cell>
          <cell r="G19">
            <v>0</v>
          </cell>
          <cell r="H19">
            <v>204</v>
          </cell>
          <cell r="I19">
            <v>21478</v>
          </cell>
          <cell r="J19">
            <v>8.6194026855872408E-2</v>
          </cell>
          <cell r="K19">
            <v>12</v>
          </cell>
          <cell r="L19">
            <v>10020</v>
          </cell>
          <cell r="M19">
            <v>6.3120893519714255E-2</v>
          </cell>
          <cell r="N19">
            <v>505</v>
          </cell>
          <cell r="O19">
            <v>75694</v>
          </cell>
          <cell r="P19">
            <v>0.29415262174103968</v>
          </cell>
          <cell r="Q19">
            <v>0</v>
          </cell>
          <cell r="R19">
            <v>0</v>
          </cell>
          <cell r="S19">
            <v>0</v>
          </cell>
          <cell r="T19">
            <v>851</v>
          </cell>
          <cell r="U19">
            <v>38366</v>
          </cell>
          <cell r="V19">
            <v>0.12143790891048994</v>
          </cell>
          <cell r="W19">
            <v>0</v>
          </cell>
          <cell r="X19">
            <v>0</v>
          </cell>
          <cell r="Y19">
            <v>0</v>
          </cell>
          <cell r="Z19">
            <v>153.19356321839081</v>
          </cell>
        </row>
        <row r="20">
          <cell r="A20" t="str">
            <v>Oregon</v>
          </cell>
          <cell r="B20">
            <v>5368</v>
          </cell>
          <cell r="C20">
            <v>622202</v>
          </cell>
          <cell r="D20">
            <v>0.18618556614653373</v>
          </cell>
          <cell r="E20">
            <v>11</v>
          </cell>
          <cell r="F20">
            <v>5500</v>
          </cell>
          <cell r="G20">
            <v>5.1898543066354649E-2</v>
          </cell>
          <cell r="H20">
            <v>249</v>
          </cell>
          <cell r="I20">
            <v>46271</v>
          </cell>
          <cell r="J20">
            <v>0.18569158285911502</v>
          </cell>
          <cell r="K20">
            <v>123</v>
          </cell>
          <cell r="L20">
            <v>39408</v>
          </cell>
          <cell r="M20">
            <v>0.24825031654939114</v>
          </cell>
          <cell r="N20">
            <v>650</v>
          </cell>
          <cell r="O20">
            <v>70656</v>
          </cell>
          <cell r="P20">
            <v>0.27457457185159856</v>
          </cell>
          <cell r="Q20">
            <v>59</v>
          </cell>
          <cell r="R20">
            <v>9687</v>
          </cell>
          <cell r="S20">
            <v>0.2294138543516874</v>
          </cell>
          <cell r="T20">
            <v>1282</v>
          </cell>
          <cell r="U20">
            <v>71522</v>
          </cell>
          <cell r="V20">
            <v>0.22638487517844086</v>
          </cell>
          <cell r="W20">
            <v>703</v>
          </cell>
          <cell r="X20">
            <v>21621</v>
          </cell>
          <cell r="Y20">
            <v>0.22290380114848912</v>
          </cell>
          <cell r="Z20">
            <v>115.90946348733235</v>
          </cell>
        </row>
        <row r="21">
          <cell r="A21" t="str">
            <v>Washington</v>
          </cell>
          <cell r="B21">
            <v>7024</v>
          </cell>
          <cell r="C21">
            <v>915484</v>
          </cell>
          <cell r="D21">
            <v>0.27394625352874674</v>
          </cell>
          <cell r="E21">
            <v>233</v>
          </cell>
          <cell r="F21">
            <v>41228</v>
          </cell>
          <cell r="G21">
            <v>0.38903147882539441</v>
          </cell>
          <cell r="H21">
            <v>203</v>
          </cell>
          <cell r="I21">
            <v>100303</v>
          </cell>
          <cell r="J21">
            <v>0.4025290751338379</v>
          </cell>
          <cell r="K21">
            <v>84</v>
          </cell>
          <cell r="L21">
            <v>65445</v>
          </cell>
          <cell r="M21">
            <v>0.41227014734507977</v>
          </cell>
          <cell r="N21">
            <v>295</v>
          </cell>
          <cell r="O21">
            <v>59017</v>
          </cell>
          <cell r="P21">
            <v>0.22934453559451132</v>
          </cell>
          <cell r="Q21">
            <v>40</v>
          </cell>
          <cell r="R21">
            <v>15360</v>
          </cell>
          <cell r="S21">
            <v>0.36376554174067494</v>
          </cell>
          <cell r="T21">
            <v>1787</v>
          </cell>
          <cell r="U21">
            <v>62920</v>
          </cell>
          <cell r="V21">
            <v>0.1991574109536576</v>
          </cell>
          <cell r="W21">
            <v>1933</v>
          </cell>
          <cell r="X21">
            <v>75376</v>
          </cell>
          <cell r="Y21">
            <v>0.77709619885151082</v>
          </cell>
          <cell r="Z21">
            <v>130.3365603644647</v>
          </cell>
        </row>
        <row r="22">
          <cell r="A22" t="str">
            <v>PNW</v>
          </cell>
          <cell r="B22">
            <v>19221</v>
          </cell>
          <cell r="C22">
            <v>3341838</v>
          </cell>
          <cell r="D22">
            <v>1</v>
          </cell>
          <cell r="E22">
            <v>311</v>
          </cell>
          <cell r="F22">
            <v>105976</v>
          </cell>
          <cell r="G22">
            <v>1</v>
          </cell>
          <cell r="H22">
            <v>878</v>
          </cell>
          <cell r="I22">
            <v>249182</v>
          </cell>
          <cell r="J22">
            <v>1</v>
          </cell>
          <cell r="K22">
            <v>292</v>
          </cell>
          <cell r="L22">
            <v>158743</v>
          </cell>
          <cell r="M22">
            <v>1</v>
          </cell>
          <cell r="N22">
            <v>1848</v>
          </cell>
          <cell r="O22">
            <v>257329</v>
          </cell>
          <cell r="P22">
            <v>1</v>
          </cell>
          <cell r="Q22">
            <v>243</v>
          </cell>
          <cell r="R22">
            <v>42225</v>
          </cell>
          <cell r="S22">
            <v>1</v>
          </cell>
          <cell r="T22">
            <v>5416</v>
          </cell>
          <cell r="U22">
            <v>315931</v>
          </cell>
          <cell r="V22">
            <v>1</v>
          </cell>
          <cell r="W22">
            <v>2636</v>
          </cell>
          <cell r="X22">
            <v>96997</v>
          </cell>
          <cell r="Y22">
            <v>1</v>
          </cell>
          <cell r="Z22">
            <v>173.86389886062119</v>
          </cell>
        </row>
        <row r="24">
          <cell r="A24" t="str">
            <v>1997 Data</v>
          </cell>
        </row>
        <row r="25">
          <cell r="A25" t="str">
            <v>State</v>
          </cell>
          <cell r="B25" t="str">
            <v>Total</v>
          </cell>
          <cell r="E25" t="str">
            <v>High Pressure</v>
          </cell>
          <cell r="H25" t="str">
            <v>Medium Pressure</v>
          </cell>
          <cell r="K25" t="str">
            <v>Low Pressure</v>
          </cell>
          <cell r="N25" t="str">
            <v>Linear and Wheel Move</v>
          </cell>
          <cell r="Q25" t="str">
            <v>All Other Mechanical Move</v>
          </cell>
          <cell r="T25" t="str">
            <v>Hand Move</v>
          </cell>
          <cell r="W25" t="str">
            <v>Solid Set or Permanent</v>
          </cell>
          <cell r="Z25" t="str">
            <v>Traveler or Big Gun</v>
          </cell>
        </row>
        <row r="26">
          <cell r="E26" t="str">
            <v>60 PSI or greater</v>
          </cell>
          <cell r="H26" t="str">
            <v>30 to 59 PSI</v>
          </cell>
          <cell r="K26" t="str">
            <v>Under 30 PSI</v>
          </cell>
        </row>
        <row r="27">
          <cell r="B27" t="str">
            <v>Farms</v>
          </cell>
          <cell r="C27" t="str">
            <v>Acres</v>
          </cell>
          <cell r="D27" t="str">
            <v>Average acre-feet /acre</v>
          </cell>
          <cell r="E27" t="str">
            <v>Farms</v>
          </cell>
          <cell r="F27" t="str">
            <v>Acres</v>
          </cell>
          <cell r="G27" t="str">
            <v>Average acre-feet /acre</v>
          </cell>
          <cell r="H27" t="str">
            <v>Farms</v>
          </cell>
          <cell r="I27" t="str">
            <v>Acres</v>
          </cell>
          <cell r="J27" t="str">
            <v>Average acre-feet /acre</v>
          </cell>
          <cell r="K27" t="str">
            <v>Farms</v>
          </cell>
          <cell r="L27" t="str">
            <v>Acres</v>
          </cell>
          <cell r="M27" t="str">
            <v>Average acre-feet /acre</v>
          </cell>
          <cell r="N27" t="str">
            <v>Farms</v>
          </cell>
          <cell r="O27" t="str">
            <v>Acres</v>
          </cell>
          <cell r="P27" t="str">
            <v>Average acre-feet /acre</v>
          </cell>
          <cell r="Q27" t="str">
            <v>Farms</v>
          </cell>
          <cell r="R27" t="str">
            <v>Acres</v>
          </cell>
          <cell r="S27" t="str">
            <v>Average acre-feet /acre</v>
          </cell>
          <cell r="T27" t="str">
            <v>Farms</v>
          </cell>
          <cell r="U27" t="str">
            <v>Acres</v>
          </cell>
          <cell r="V27" t="str">
            <v>Average acre-feet /acre</v>
          </cell>
          <cell r="W27" t="str">
            <v>Farms</v>
          </cell>
          <cell r="X27" t="str">
            <v>Acres</v>
          </cell>
          <cell r="Y27" t="str">
            <v>Average acre-feet /acre</v>
          </cell>
          <cell r="Z27" t="str">
            <v>Farms</v>
          </cell>
          <cell r="AA27" t="str">
            <v>Acres</v>
          </cell>
          <cell r="AB27" t="str">
            <v>Average acre-feet /acre</v>
          </cell>
          <cell r="AC27" t="str">
            <v>State Avg. Field Size (Acres)</v>
          </cell>
        </row>
        <row r="28">
          <cell r="A28" t="str">
            <v>Idaho</v>
          </cell>
          <cell r="B28">
            <v>3106</v>
          </cell>
          <cell r="C28">
            <v>1709089</v>
          </cell>
          <cell r="D28">
            <v>1.7</v>
          </cell>
          <cell r="E28">
            <v>16</v>
          </cell>
          <cell r="F28">
            <v>10509</v>
          </cell>
          <cell r="G28">
            <v>1.7</v>
          </cell>
          <cell r="H28">
            <v>44</v>
          </cell>
          <cell r="I28">
            <v>42166</v>
          </cell>
          <cell r="J28">
            <v>2</v>
          </cell>
          <cell r="K28">
            <v>63</v>
          </cell>
          <cell r="L28">
            <v>85553</v>
          </cell>
          <cell r="M28">
            <v>1.6</v>
          </cell>
          <cell r="N28">
            <v>0</v>
          </cell>
          <cell r="O28">
            <v>0</v>
          </cell>
          <cell r="P28">
            <v>0</v>
          </cell>
          <cell r="Q28">
            <v>260</v>
          </cell>
          <cell r="R28">
            <v>76369</v>
          </cell>
          <cell r="S28">
            <v>1</v>
          </cell>
          <cell r="T28">
            <v>1352</v>
          </cell>
          <cell r="U28">
            <v>70907</v>
          </cell>
          <cell r="V28">
            <v>2.6</v>
          </cell>
          <cell r="W28">
            <v>0</v>
          </cell>
          <cell r="X28">
            <v>0</v>
          </cell>
          <cell r="Y28">
            <v>0</v>
          </cell>
          <cell r="Z28">
            <v>0</v>
          </cell>
          <cell r="AA28">
            <v>0</v>
          </cell>
          <cell r="AB28">
            <v>0</v>
          </cell>
          <cell r="AC28">
            <v>550.25402446877013</v>
          </cell>
        </row>
        <row r="29">
          <cell r="A29" t="str">
            <v>Montana</v>
          </cell>
          <cell r="B29">
            <v>1898</v>
          </cell>
          <cell r="C29">
            <v>303127</v>
          </cell>
          <cell r="D29">
            <v>1.3</v>
          </cell>
          <cell r="E29">
            <v>3</v>
          </cell>
          <cell r="F29">
            <v>2094</v>
          </cell>
          <cell r="G29">
            <v>0.8</v>
          </cell>
          <cell r="H29">
            <v>365</v>
          </cell>
          <cell r="I29">
            <v>7273</v>
          </cell>
          <cell r="J29">
            <v>2.1</v>
          </cell>
          <cell r="K29">
            <v>16</v>
          </cell>
          <cell r="L29">
            <v>21720</v>
          </cell>
          <cell r="M29">
            <v>1.2</v>
          </cell>
          <cell r="N29">
            <v>0</v>
          </cell>
          <cell r="O29">
            <v>0</v>
          </cell>
          <cell r="P29">
            <v>0</v>
          </cell>
          <cell r="Q29">
            <v>340</v>
          </cell>
          <cell r="R29">
            <v>37445</v>
          </cell>
          <cell r="S29">
            <v>1.2</v>
          </cell>
          <cell r="T29">
            <v>607</v>
          </cell>
          <cell r="U29">
            <v>12964</v>
          </cell>
          <cell r="V29">
            <v>0.5</v>
          </cell>
          <cell r="W29">
            <v>0</v>
          </cell>
          <cell r="X29">
            <v>0</v>
          </cell>
          <cell r="Y29">
            <v>0</v>
          </cell>
          <cell r="Z29">
            <v>0</v>
          </cell>
          <cell r="AA29">
            <v>0</v>
          </cell>
          <cell r="AB29">
            <v>0</v>
          </cell>
          <cell r="AC29">
            <v>159.7086406743941</v>
          </cell>
        </row>
        <row r="30">
          <cell r="A30" t="str">
            <v>Oregon</v>
          </cell>
          <cell r="B30">
            <v>4947</v>
          </cell>
          <cell r="C30">
            <v>511172</v>
          </cell>
          <cell r="D30">
            <v>1.7</v>
          </cell>
          <cell r="E30">
            <v>4</v>
          </cell>
          <cell r="F30">
            <v>3020</v>
          </cell>
          <cell r="G30">
            <v>1</v>
          </cell>
          <cell r="H30">
            <v>106</v>
          </cell>
          <cell r="I30">
            <v>47681</v>
          </cell>
          <cell r="J30">
            <v>2.2000000000000002</v>
          </cell>
          <cell r="K30">
            <v>26</v>
          </cell>
          <cell r="L30">
            <v>31580</v>
          </cell>
          <cell r="M30">
            <v>1.8</v>
          </cell>
          <cell r="N30">
            <v>122</v>
          </cell>
          <cell r="O30">
            <v>1784</v>
          </cell>
          <cell r="P30">
            <v>1.2</v>
          </cell>
          <cell r="Q30">
            <v>138</v>
          </cell>
          <cell r="R30">
            <v>30743</v>
          </cell>
          <cell r="S30">
            <v>1.8</v>
          </cell>
          <cell r="T30">
            <v>2130</v>
          </cell>
          <cell r="U30">
            <v>72554</v>
          </cell>
          <cell r="V30">
            <v>1.5</v>
          </cell>
          <cell r="W30">
            <v>836</v>
          </cell>
          <cell r="X30">
            <v>16016</v>
          </cell>
          <cell r="Y30">
            <v>1.3</v>
          </cell>
          <cell r="Z30">
            <v>373</v>
          </cell>
          <cell r="AA30">
            <v>37676</v>
          </cell>
          <cell r="AB30">
            <v>1.1000000000000001</v>
          </cell>
          <cell r="AC30">
            <v>103.32969476450374</v>
          </cell>
        </row>
        <row r="31">
          <cell r="A31" t="str">
            <v>Washington</v>
          </cell>
          <cell r="B31">
            <v>6235</v>
          </cell>
          <cell r="C31">
            <v>978921</v>
          </cell>
          <cell r="D31">
            <v>2</v>
          </cell>
          <cell r="E31">
            <v>29</v>
          </cell>
          <cell r="F31">
            <v>24582</v>
          </cell>
          <cell r="G31">
            <v>2.2000000000000002</v>
          </cell>
          <cell r="H31">
            <v>322</v>
          </cell>
          <cell r="I31">
            <v>172027</v>
          </cell>
          <cell r="J31">
            <v>2.1</v>
          </cell>
          <cell r="K31">
            <v>89</v>
          </cell>
          <cell r="L31">
            <v>91808</v>
          </cell>
          <cell r="M31">
            <v>2.1</v>
          </cell>
          <cell r="N31">
            <v>0</v>
          </cell>
          <cell r="O31">
            <v>0</v>
          </cell>
          <cell r="P31">
            <v>0</v>
          </cell>
          <cell r="Q31">
            <v>583</v>
          </cell>
          <cell r="R31">
            <v>27123</v>
          </cell>
          <cell r="S31">
            <v>1.4</v>
          </cell>
          <cell r="T31">
            <v>1583</v>
          </cell>
          <cell r="U31">
            <v>54113</v>
          </cell>
          <cell r="V31">
            <v>1.6</v>
          </cell>
          <cell r="W31">
            <v>1765</v>
          </cell>
          <cell r="X31">
            <v>117368</v>
          </cell>
          <cell r="Y31">
            <v>2.4</v>
          </cell>
          <cell r="Z31">
            <v>235</v>
          </cell>
          <cell r="AA31">
            <v>33632</v>
          </cell>
          <cell r="AB31">
            <v>1.5</v>
          </cell>
          <cell r="AC31">
            <v>157.00417000801926</v>
          </cell>
        </row>
        <row r="32">
          <cell r="A32" t="str">
            <v>PNW</v>
          </cell>
          <cell r="B32">
            <v>16186</v>
          </cell>
          <cell r="C32">
            <v>3502309</v>
          </cell>
          <cell r="D32">
            <v>1.7507062358407957</v>
          </cell>
          <cell r="E32">
            <v>52</v>
          </cell>
          <cell r="F32">
            <v>40205</v>
          </cell>
          <cell r="G32">
            <v>1.9062529536127348</v>
          </cell>
          <cell r="H32">
            <v>837</v>
          </cell>
          <cell r="I32">
            <v>269147</v>
          </cell>
          <cell r="J32">
            <v>2.1020490661237168</v>
          </cell>
          <cell r="K32">
            <v>194</v>
          </cell>
          <cell r="L32">
            <v>230661</v>
          </cell>
          <cell r="M32">
            <v>1.7887271797139523</v>
          </cell>
          <cell r="N32">
            <v>122</v>
          </cell>
          <cell r="O32">
            <v>1784</v>
          </cell>
          <cell r="P32">
            <v>1.2</v>
          </cell>
          <cell r="Q32">
            <v>1321</v>
          </cell>
          <cell r="R32">
            <v>171680</v>
          </cell>
          <cell r="S32">
            <v>1.2500733923578751</v>
          </cell>
          <cell r="T32">
            <v>5672</v>
          </cell>
          <cell r="U32">
            <v>210538</v>
          </cell>
          <cell r="V32">
            <v>1.8345951799675118</v>
          </cell>
          <cell r="W32">
            <v>2601</v>
          </cell>
          <cell r="X32">
            <v>133384</v>
          </cell>
          <cell r="Y32">
            <v>2.2679181910873867</v>
          </cell>
          <cell r="Z32">
            <v>608</v>
          </cell>
          <cell r="AA32">
            <v>71308</v>
          </cell>
          <cell r="AB32">
            <v>1.2886576541201549</v>
          </cell>
          <cell r="AC32">
            <v>216.37890769801064</v>
          </cell>
        </row>
        <row r="34">
          <cell r="A34" t="str">
            <v>1997 Data</v>
          </cell>
        </row>
        <row r="35">
          <cell r="A35" t="str">
            <v>State</v>
          </cell>
          <cell r="B35" t="str">
            <v>Total</v>
          </cell>
          <cell r="E35" t="str">
            <v>High Pressure</v>
          </cell>
          <cell r="H35" t="str">
            <v>Medium Pressure</v>
          </cell>
          <cell r="K35" t="str">
            <v>Low Pressure</v>
          </cell>
          <cell r="N35" t="str">
            <v>Linear and Wheel Move</v>
          </cell>
          <cell r="Q35" t="str">
            <v>All Other Mechanical Move</v>
          </cell>
          <cell r="T35" t="str">
            <v>Hand Move</v>
          </cell>
          <cell r="W35" t="str">
            <v>Solid Set or Permanent</v>
          </cell>
          <cell r="Z35" t="str">
            <v>Traveler or Big Gun</v>
          </cell>
        </row>
        <row r="36">
          <cell r="E36" t="str">
            <v>60 PSI or greater</v>
          </cell>
          <cell r="H36" t="str">
            <v>30 to 59 PSI</v>
          </cell>
          <cell r="K36" t="str">
            <v>Under 30 PSI</v>
          </cell>
        </row>
        <row r="37">
          <cell r="B37" t="str">
            <v>Farms</v>
          </cell>
          <cell r="C37" t="str">
            <v>Acres</v>
          </cell>
          <cell r="D37" t="str">
            <v>Share of Acreage</v>
          </cell>
          <cell r="E37" t="str">
            <v>Farms</v>
          </cell>
          <cell r="F37" t="str">
            <v>Acres</v>
          </cell>
          <cell r="G37" t="str">
            <v>Share of Acreage</v>
          </cell>
          <cell r="H37" t="str">
            <v>Farms</v>
          </cell>
          <cell r="I37" t="str">
            <v>Acres</v>
          </cell>
          <cell r="J37" t="str">
            <v>Share of Acreage</v>
          </cell>
          <cell r="K37" t="str">
            <v>Farms</v>
          </cell>
          <cell r="L37" t="str">
            <v>Acres</v>
          </cell>
          <cell r="M37" t="str">
            <v>Share of Acreage</v>
          </cell>
          <cell r="N37" t="str">
            <v>Farms</v>
          </cell>
          <cell r="O37" t="str">
            <v>Acres</v>
          </cell>
          <cell r="P37" t="str">
            <v>Share of Acreage</v>
          </cell>
          <cell r="Q37" t="str">
            <v>Farms</v>
          </cell>
          <cell r="R37" t="str">
            <v>Acres</v>
          </cell>
          <cell r="S37" t="str">
            <v>Share of Acreage</v>
          </cell>
          <cell r="T37" t="str">
            <v>Farms</v>
          </cell>
          <cell r="U37" t="str">
            <v>Acres</v>
          </cell>
          <cell r="V37" t="str">
            <v>Share of Acreage</v>
          </cell>
          <cell r="W37" t="str">
            <v>Farms</v>
          </cell>
          <cell r="X37" t="str">
            <v>Acres</v>
          </cell>
          <cell r="Y37" t="str">
            <v>Share of Acreage</v>
          </cell>
          <cell r="Z37" t="str">
            <v>Farms</v>
          </cell>
          <cell r="AA37" t="str">
            <v>Acres</v>
          </cell>
          <cell r="AB37" t="str">
            <v>Share of Acreage</v>
          </cell>
          <cell r="AC37" t="str">
            <v>State Avg. Field Size (Acres)</v>
          </cell>
        </row>
        <row r="38">
          <cell r="A38" t="str">
            <v>Idaho</v>
          </cell>
          <cell r="B38">
            <v>3106</v>
          </cell>
          <cell r="C38">
            <v>1709089</v>
          </cell>
          <cell r="D38">
            <v>0.48798920940442436</v>
          </cell>
          <cell r="E38">
            <v>16</v>
          </cell>
          <cell r="F38">
            <v>10509</v>
          </cell>
          <cell r="G38">
            <v>0.26138539982589232</v>
          </cell>
          <cell r="H38">
            <v>44</v>
          </cell>
          <cell r="I38">
            <v>42166</v>
          </cell>
          <cell r="J38">
            <v>0.15666531672283177</v>
          </cell>
          <cell r="K38">
            <v>63</v>
          </cell>
          <cell r="L38">
            <v>85553</v>
          </cell>
          <cell r="M38">
            <v>0.37090362046466457</v>
          </cell>
          <cell r="N38">
            <v>0</v>
          </cell>
          <cell r="O38">
            <v>0</v>
          </cell>
          <cell r="P38">
            <v>0</v>
          </cell>
          <cell r="Q38">
            <v>260</v>
          </cell>
          <cell r="R38">
            <v>76369</v>
          </cell>
          <cell r="S38">
            <v>0.44483341099720408</v>
          </cell>
          <cell r="T38">
            <v>1352</v>
          </cell>
          <cell r="U38">
            <v>70907</v>
          </cell>
          <cell r="V38">
            <v>0.33678955817952105</v>
          </cell>
          <cell r="W38">
            <v>0</v>
          </cell>
          <cell r="X38">
            <v>0</v>
          </cell>
          <cell r="Y38">
            <v>0</v>
          </cell>
          <cell r="Z38">
            <v>0</v>
          </cell>
          <cell r="AA38">
            <v>0</v>
          </cell>
          <cell r="AB38">
            <v>0</v>
          </cell>
          <cell r="AC38">
            <v>550.25402446877013</v>
          </cell>
        </row>
        <row r="39">
          <cell r="A39" t="str">
            <v>Montana</v>
          </cell>
          <cell r="B39">
            <v>1898</v>
          </cell>
          <cell r="C39">
            <v>303127</v>
          </cell>
          <cell r="D39">
            <v>8.6550615608160214E-2</v>
          </cell>
          <cell r="E39">
            <v>3</v>
          </cell>
          <cell r="F39">
            <v>2094</v>
          </cell>
          <cell r="G39">
            <v>5.2083074244496951E-2</v>
          </cell>
          <cell r="H39">
            <v>365</v>
          </cell>
          <cell r="I39">
            <v>7273</v>
          </cell>
          <cell r="J39">
            <v>2.7022407829178849E-2</v>
          </cell>
          <cell r="K39">
            <v>16</v>
          </cell>
          <cell r="L39">
            <v>21720</v>
          </cell>
          <cell r="M39">
            <v>9.4164162992443456E-2</v>
          </cell>
          <cell r="N39">
            <v>0</v>
          </cell>
          <cell r="O39">
            <v>0</v>
          </cell>
          <cell r="P39">
            <v>0</v>
          </cell>
          <cell r="Q39">
            <v>340</v>
          </cell>
          <cell r="R39">
            <v>37445</v>
          </cell>
          <cell r="S39">
            <v>0.21810927306616962</v>
          </cell>
          <cell r="T39">
            <v>607</v>
          </cell>
          <cell r="U39">
            <v>12964</v>
          </cell>
          <cell r="V39">
            <v>6.1575582555168186E-2</v>
          </cell>
          <cell r="W39">
            <v>0</v>
          </cell>
          <cell r="X39">
            <v>0</v>
          </cell>
          <cell r="Y39">
            <v>0</v>
          </cell>
          <cell r="Z39">
            <v>0</v>
          </cell>
          <cell r="AA39">
            <v>0</v>
          </cell>
          <cell r="AB39">
            <v>0</v>
          </cell>
          <cell r="AC39">
            <v>159.7086406743941</v>
          </cell>
        </row>
        <row r="40">
          <cell r="A40" t="str">
            <v>Oregon</v>
          </cell>
          <cell r="B40">
            <v>4947</v>
          </cell>
          <cell r="C40">
            <v>511172</v>
          </cell>
          <cell r="D40">
            <v>0.14595285567321445</v>
          </cell>
          <cell r="E40">
            <v>4</v>
          </cell>
          <cell r="F40">
            <v>3020</v>
          </cell>
          <cell r="G40">
            <v>7.5115035443352823E-2</v>
          </cell>
          <cell r="H40">
            <v>106</v>
          </cell>
          <cell r="I40">
            <v>47681</v>
          </cell>
          <cell r="J40">
            <v>0.17715597795999954</v>
          </cell>
          <cell r="K40">
            <v>26</v>
          </cell>
          <cell r="L40">
            <v>31580</v>
          </cell>
          <cell r="M40">
            <v>0.13691087786838693</v>
          </cell>
          <cell r="N40">
            <v>122</v>
          </cell>
          <cell r="O40">
            <v>1784</v>
          </cell>
          <cell r="P40">
            <v>1</v>
          </cell>
          <cell r="Q40">
            <v>138</v>
          </cell>
          <cell r="R40">
            <v>30743</v>
          </cell>
          <cell r="S40">
            <v>0.1790715284249767</v>
          </cell>
          <cell r="T40">
            <v>2130</v>
          </cell>
          <cell r="U40">
            <v>72554</v>
          </cell>
          <cell r="V40">
            <v>0.34461237401324224</v>
          </cell>
          <cell r="W40">
            <v>836</v>
          </cell>
          <cell r="X40">
            <v>16016</v>
          </cell>
          <cell r="Y40">
            <v>0.12007437173873928</v>
          </cell>
          <cell r="Z40">
            <v>373</v>
          </cell>
          <cell r="AA40">
            <v>37676</v>
          </cell>
          <cell r="AB40">
            <v>0.52835586469961293</v>
          </cell>
          <cell r="AC40">
            <v>103.32969476450374</v>
          </cell>
        </row>
        <row r="41">
          <cell r="A41" t="str">
            <v>Washington</v>
          </cell>
          <cell r="B41">
            <v>6235</v>
          </cell>
          <cell r="C41">
            <v>978921</v>
          </cell>
          <cell r="D41">
            <v>0.27950731931420103</v>
          </cell>
          <cell r="E41">
            <v>29</v>
          </cell>
          <cell r="F41">
            <v>24582</v>
          </cell>
          <cell r="G41">
            <v>0.6114164904862579</v>
          </cell>
          <cell r="H41">
            <v>322</v>
          </cell>
          <cell r="I41">
            <v>172027</v>
          </cell>
          <cell r="J41">
            <v>0.63915629748798986</v>
          </cell>
          <cell r="K41">
            <v>89</v>
          </cell>
          <cell r="L41">
            <v>91808</v>
          </cell>
          <cell r="M41">
            <v>0.39802133867450501</v>
          </cell>
          <cell r="N41">
            <v>0</v>
          </cell>
          <cell r="O41">
            <v>0</v>
          </cell>
          <cell r="P41">
            <v>0</v>
          </cell>
          <cell r="Q41">
            <v>583</v>
          </cell>
          <cell r="R41">
            <v>27123</v>
          </cell>
          <cell r="S41">
            <v>0.15798578751164957</v>
          </cell>
          <cell r="T41">
            <v>1583</v>
          </cell>
          <cell r="U41">
            <v>54113</v>
          </cell>
          <cell r="V41">
            <v>0.2570224852520685</v>
          </cell>
          <cell r="W41">
            <v>1765</v>
          </cell>
          <cell r="X41">
            <v>117368</v>
          </cell>
          <cell r="Y41">
            <v>0.87992562826126075</v>
          </cell>
          <cell r="Z41">
            <v>235</v>
          </cell>
          <cell r="AA41">
            <v>33632</v>
          </cell>
          <cell r="AB41">
            <v>0.47164413530038707</v>
          </cell>
          <cell r="AC41">
            <v>157.00417000801926</v>
          </cell>
        </row>
        <row r="42">
          <cell r="A42" t="str">
            <v>PNW</v>
          </cell>
          <cell r="B42">
            <v>16186</v>
          </cell>
          <cell r="C42">
            <v>3502309</v>
          </cell>
          <cell r="D42">
            <v>1</v>
          </cell>
          <cell r="E42">
            <v>52</v>
          </cell>
          <cell r="F42">
            <v>40205</v>
          </cell>
          <cell r="G42">
            <v>1</v>
          </cell>
          <cell r="H42">
            <v>837</v>
          </cell>
          <cell r="I42">
            <v>269147</v>
          </cell>
          <cell r="J42">
            <v>1</v>
          </cell>
          <cell r="K42">
            <v>194</v>
          </cell>
          <cell r="L42">
            <v>230661</v>
          </cell>
          <cell r="M42">
            <v>1</v>
          </cell>
          <cell r="N42">
            <v>122</v>
          </cell>
          <cell r="O42">
            <v>1784</v>
          </cell>
          <cell r="P42">
            <v>1</v>
          </cell>
          <cell r="Q42">
            <v>1321</v>
          </cell>
          <cell r="R42">
            <v>171680</v>
          </cell>
          <cell r="S42">
            <v>1</v>
          </cell>
          <cell r="T42">
            <v>5672</v>
          </cell>
          <cell r="U42">
            <v>210538</v>
          </cell>
          <cell r="V42">
            <v>1</v>
          </cell>
          <cell r="W42">
            <v>2601</v>
          </cell>
          <cell r="X42">
            <v>133384</v>
          </cell>
          <cell r="Y42">
            <v>1</v>
          </cell>
          <cell r="Z42">
            <v>608</v>
          </cell>
          <cell r="AA42">
            <v>71308</v>
          </cell>
          <cell r="AB42">
            <v>1</v>
          </cell>
          <cell r="AC42">
            <v>216.37890769801064</v>
          </cell>
        </row>
        <row r="44">
          <cell r="A44" t="str">
            <v>2003 Data</v>
          </cell>
          <cell r="E44" t="str">
            <v>Center Pivot</v>
          </cell>
        </row>
        <row r="45">
          <cell r="A45" t="str">
            <v>State</v>
          </cell>
          <cell r="B45" t="str">
            <v>Total</v>
          </cell>
          <cell r="E45" t="str">
            <v>High Pressure</v>
          </cell>
          <cell r="H45" t="str">
            <v>Medium Pressure</v>
          </cell>
          <cell r="K45" t="str">
            <v>Low Pressure</v>
          </cell>
          <cell r="N45" t="str">
            <v>Linear and Wheel Move</v>
          </cell>
          <cell r="Q45" t="str">
            <v>All Other Mechanical Move</v>
          </cell>
          <cell r="T45" t="str">
            <v>Hand Move</v>
          </cell>
          <cell r="W45" t="str">
            <v>Solid Set or Permanent</v>
          </cell>
          <cell r="Z45" t="str">
            <v>Traveler or Big Gun</v>
          </cell>
        </row>
        <row r="46">
          <cell r="E46" t="str">
            <v>60 PSI or greater</v>
          </cell>
          <cell r="H46" t="str">
            <v>30 to 59 PSI</v>
          </cell>
          <cell r="K46" t="str">
            <v>Under 30 PSI</v>
          </cell>
        </row>
        <row r="47">
          <cell r="B47" t="str">
            <v>Farms</v>
          </cell>
          <cell r="C47" t="str">
            <v>Acres</v>
          </cell>
          <cell r="D47" t="str">
            <v>Average acre-feet /acre</v>
          </cell>
          <cell r="E47" t="str">
            <v>Farms</v>
          </cell>
          <cell r="F47" t="str">
            <v>Acres</v>
          </cell>
          <cell r="G47" t="str">
            <v>Average acre-feet /acre</v>
          </cell>
          <cell r="H47" t="str">
            <v>Farms</v>
          </cell>
          <cell r="I47" t="str">
            <v>Acres</v>
          </cell>
          <cell r="J47" t="str">
            <v>Average acre-feet /acre</v>
          </cell>
          <cell r="K47" t="str">
            <v>Farms</v>
          </cell>
          <cell r="L47" t="str">
            <v>Acres</v>
          </cell>
          <cell r="M47" t="str">
            <v>Average acre-feet /acre</v>
          </cell>
          <cell r="N47" t="str">
            <v>Farms</v>
          </cell>
          <cell r="O47" t="str">
            <v>Acres</v>
          </cell>
          <cell r="P47" t="str">
            <v>Average acre-feet /acre</v>
          </cell>
          <cell r="Q47" t="str">
            <v>Farms</v>
          </cell>
          <cell r="R47" t="str">
            <v>Acres</v>
          </cell>
          <cell r="S47" t="str">
            <v>Average acre-feet /acre</v>
          </cell>
          <cell r="T47" t="str">
            <v>Farms</v>
          </cell>
          <cell r="U47" t="str">
            <v>Acres</v>
          </cell>
          <cell r="V47" t="str">
            <v>Average acre-feet /acre</v>
          </cell>
          <cell r="W47" t="str">
            <v>Farms</v>
          </cell>
          <cell r="X47" t="str">
            <v>Acres</v>
          </cell>
          <cell r="Y47" t="str">
            <v>Average acre-feet /acre</v>
          </cell>
          <cell r="Z47" t="str">
            <v>Farms</v>
          </cell>
          <cell r="AA47" t="str">
            <v>Acres</v>
          </cell>
          <cell r="AB47" t="str">
            <v>Average acre-feet /acre</v>
          </cell>
          <cell r="AC47" t="str">
            <v>State Avg. Field Size (Acres)</v>
          </cell>
        </row>
        <row r="48">
          <cell r="A48" t="str">
            <v>Idaho</v>
          </cell>
          <cell r="B48">
            <v>5830</v>
          </cell>
          <cell r="C48">
            <v>1713560</v>
          </cell>
          <cell r="D48">
            <v>1.9</v>
          </cell>
          <cell r="E48">
            <v>114</v>
          </cell>
          <cell r="F48">
            <v>39620</v>
          </cell>
          <cell r="G48">
            <v>1.9</v>
          </cell>
          <cell r="H48">
            <v>130</v>
          </cell>
          <cell r="I48">
            <v>160945</v>
          </cell>
          <cell r="J48">
            <v>2</v>
          </cell>
          <cell r="K48">
            <v>133</v>
          </cell>
          <cell r="L48">
            <v>163238</v>
          </cell>
          <cell r="M48">
            <v>2.2000000000000002</v>
          </cell>
          <cell r="N48">
            <v>73</v>
          </cell>
          <cell r="O48">
            <v>5840</v>
          </cell>
          <cell r="P48">
            <v>1</v>
          </cell>
          <cell r="Q48">
            <v>409</v>
          </cell>
          <cell r="R48">
            <v>74149</v>
          </cell>
          <cell r="S48">
            <v>2.2000000000000002</v>
          </cell>
          <cell r="T48">
            <v>2499</v>
          </cell>
          <cell r="U48">
            <v>71678</v>
          </cell>
          <cell r="V48">
            <v>1</v>
          </cell>
          <cell r="W48">
            <v>251</v>
          </cell>
          <cell r="X48">
            <v>1004</v>
          </cell>
          <cell r="Y48">
            <v>3.5</v>
          </cell>
          <cell r="Z48" t="str">
            <v>-</v>
          </cell>
          <cell r="AA48" t="str">
            <v>-</v>
          </cell>
          <cell r="AB48" t="str">
            <v>-</v>
          </cell>
          <cell r="AC48">
            <v>293.92109777015435</v>
          </cell>
        </row>
        <row r="49">
          <cell r="A49" t="str">
            <v>Montana</v>
          </cell>
          <cell r="B49">
            <v>2191</v>
          </cell>
          <cell r="C49">
            <v>366564</v>
          </cell>
          <cell r="D49">
            <v>1.3</v>
          </cell>
          <cell r="E49">
            <v>3</v>
          </cell>
          <cell r="F49">
            <v>3000</v>
          </cell>
          <cell r="G49">
            <v>1.5</v>
          </cell>
          <cell r="H49">
            <v>138</v>
          </cell>
          <cell r="I49">
            <v>35250</v>
          </cell>
          <cell r="J49">
            <v>1.6</v>
          </cell>
          <cell r="K49">
            <v>229</v>
          </cell>
          <cell r="L49">
            <v>73840</v>
          </cell>
          <cell r="M49">
            <v>1.2</v>
          </cell>
          <cell r="N49">
            <v>3</v>
          </cell>
          <cell r="O49">
            <v>480</v>
          </cell>
          <cell r="P49">
            <v>0.3</v>
          </cell>
          <cell r="Q49">
            <v>538</v>
          </cell>
          <cell r="R49">
            <v>44294</v>
          </cell>
          <cell r="S49">
            <v>1</v>
          </cell>
          <cell r="T49">
            <v>731</v>
          </cell>
          <cell r="U49">
            <v>15813</v>
          </cell>
          <cell r="V49">
            <v>1.1000000000000001</v>
          </cell>
          <cell r="W49" t="str">
            <v>-</v>
          </cell>
          <cell r="X49" t="str">
            <v>-</v>
          </cell>
          <cell r="Y49" t="str">
            <v>-</v>
          </cell>
          <cell r="Z49" t="str">
            <v>-</v>
          </cell>
          <cell r="AA49" t="str">
            <v>-</v>
          </cell>
          <cell r="AB49" t="str">
            <v>-</v>
          </cell>
          <cell r="AC49">
            <v>167.30442720219079</v>
          </cell>
        </row>
        <row r="50">
          <cell r="A50" t="str">
            <v>Oregon</v>
          </cell>
          <cell r="B50">
            <v>9558</v>
          </cell>
          <cell r="C50">
            <v>810468</v>
          </cell>
          <cell r="D50">
            <v>1.6</v>
          </cell>
          <cell r="E50">
            <v>28</v>
          </cell>
          <cell r="F50">
            <v>9030</v>
          </cell>
          <cell r="G50">
            <v>2.2000000000000002</v>
          </cell>
          <cell r="H50">
            <v>101</v>
          </cell>
          <cell r="I50">
            <v>89937</v>
          </cell>
          <cell r="J50">
            <v>2.2000000000000002</v>
          </cell>
          <cell r="K50">
            <v>404</v>
          </cell>
          <cell r="L50">
            <v>83776</v>
          </cell>
          <cell r="M50">
            <v>2.4</v>
          </cell>
          <cell r="N50">
            <v>266</v>
          </cell>
          <cell r="O50">
            <v>11550</v>
          </cell>
          <cell r="P50">
            <v>1.1000000000000001</v>
          </cell>
          <cell r="Q50">
            <v>789</v>
          </cell>
          <cell r="R50">
            <v>68220</v>
          </cell>
          <cell r="S50">
            <v>1.9</v>
          </cell>
          <cell r="T50">
            <v>4083</v>
          </cell>
          <cell r="U50">
            <v>115333</v>
          </cell>
          <cell r="V50">
            <v>1</v>
          </cell>
          <cell r="W50">
            <v>2050</v>
          </cell>
          <cell r="X50">
            <v>29755</v>
          </cell>
          <cell r="Y50">
            <v>1.7</v>
          </cell>
          <cell r="Z50">
            <v>356</v>
          </cell>
          <cell r="AA50">
            <v>39925</v>
          </cell>
          <cell r="AB50">
            <v>1.4</v>
          </cell>
          <cell r="AC50">
            <v>84.794726930320152</v>
          </cell>
        </row>
        <row r="51">
          <cell r="A51" t="str">
            <v>Washington</v>
          </cell>
          <cell r="B51">
            <v>7644</v>
          </cell>
          <cell r="C51">
            <v>1176109</v>
          </cell>
          <cell r="D51">
            <v>2</v>
          </cell>
          <cell r="E51">
            <v>286</v>
          </cell>
          <cell r="F51">
            <v>46430</v>
          </cell>
          <cell r="G51">
            <v>1.9</v>
          </cell>
          <cell r="H51">
            <v>248</v>
          </cell>
          <cell r="I51">
            <v>230786</v>
          </cell>
          <cell r="J51">
            <v>2.2000000000000002</v>
          </cell>
          <cell r="K51">
            <v>128</v>
          </cell>
          <cell r="L51">
            <v>112654</v>
          </cell>
          <cell r="M51">
            <v>2</v>
          </cell>
          <cell r="N51">
            <v>133</v>
          </cell>
          <cell r="O51">
            <v>9177</v>
          </cell>
          <cell r="P51">
            <v>1</v>
          </cell>
          <cell r="Q51">
            <v>435</v>
          </cell>
          <cell r="R51">
            <v>15079</v>
          </cell>
          <cell r="S51">
            <v>2.4</v>
          </cell>
          <cell r="T51">
            <v>1657</v>
          </cell>
          <cell r="U51">
            <v>75428</v>
          </cell>
          <cell r="V51">
            <v>1.4</v>
          </cell>
          <cell r="W51">
            <v>2811</v>
          </cell>
          <cell r="X51">
            <v>127664</v>
          </cell>
          <cell r="Y51">
            <v>2.8</v>
          </cell>
          <cell r="Z51">
            <v>178</v>
          </cell>
          <cell r="AA51">
            <v>38020</v>
          </cell>
          <cell r="AB51">
            <v>0.5</v>
          </cell>
          <cell r="AC51">
            <v>153.86041339612768</v>
          </cell>
        </row>
        <row r="52">
          <cell r="A52" t="str">
            <v>PNW</v>
          </cell>
          <cell r="B52">
            <v>25223</v>
          </cell>
          <cell r="C52">
            <v>4066701</v>
          </cell>
          <cell r="D52">
            <v>1.8150495942534255</v>
          </cell>
          <cell r="E52">
            <v>431</v>
          </cell>
          <cell r="F52">
            <v>98080</v>
          </cell>
          <cell r="G52">
            <v>1.9153853996737356</v>
          </cell>
          <cell r="H52">
            <v>617</v>
          </cell>
          <cell r="I52">
            <v>516918</v>
          </cell>
          <cell r="J52">
            <v>2.0968134210841951</v>
          </cell>
          <cell r="K52">
            <v>894</v>
          </cell>
          <cell r="L52">
            <v>433508</v>
          </cell>
          <cell r="M52">
            <v>2.0163457191101437</v>
          </cell>
          <cell r="N52">
            <v>475</v>
          </cell>
          <cell r="O52">
            <v>27047</v>
          </cell>
          <cell r="P52">
            <v>1.030280622619884</v>
          </cell>
          <cell r="Q52">
            <v>2171</v>
          </cell>
          <cell r="R52">
            <v>201742</v>
          </cell>
          <cell r="S52">
            <v>1.8500332107345023</v>
          </cell>
          <cell r="T52">
            <v>8970</v>
          </cell>
          <cell r="U52">
            <v>278252</v>
          </cell>
          <cell r="V52">
            <v>1.1141141842646234</v>
          </cell>
          <cell r="W52">
            <v>5112</v>
          </cell>
          <cell r="X52">
            <v>158423</v>
          </cell>
          <cell r="Y52">
            <v>2.5978342791135125</v>
          </cell>
          <cell r="Z52">
            <v>534</v>
          </cell>
          <cell r="AA52">
            <v>77945</v>
          </cell>
          <cell r="AB52">
            <v>0.96099813971390091</v>
          </cell>
          <cell r="AC52">
            <v>161.22986956349365</v>
          </cell>
        </row>
        <row r="54">
          <cell r="A54" t="str">
            <v>2003 Data</v>
          </cell>
          <cell r="E54" t="str">
            <v>Center Pivot</v>
          </cell>
        </row>
        <row r="55">
          <cell r="A55" t="str">
            <v>State</v>
          </cell>
          <cell r="B55" t="str">
            <v>Total</v>
          </cell>
          <cell r="E55" t="str">
            <v>High Pressure</v>
          </cell>
          <cell r="H55" t="str">
            <v>Medium Pressure</v>
          </cell>
          <cell r="K55" t="str">
            <v>Low Pressure</v>
          </cell>
          <cell r="N55" t="str">
            <v>Linear and Wheel Move</v>
          </cell>
          <cell r="Q55" t="str">
            <v>All Other Mechanical Move</v>
          </cell>
          <cell r="T55" t="str">
            <v>Hand Move</v>
          </cell>
          <cell r="W55" t="str">
            <v>Solid Set or Permanent</v>
          </cell>
          <cell r="Z55" t="str">
            <v>Traveler or Big Gun</v>
          </cell>
        </row>
        <row r="56">
          <cell r="E56" t="str">
            <v>60 PSI or greater</v>
          </cell>
          <cell r="H56" t="str">
            <v>30 to 59 PSI</v>
          </cell>
          <cell r="K56" t="str">
            <v>Under 30 PSI</v>
          </cell>
        </row>
        <row r="57">
          <cell r="B57" t="str">
            <v>Farms</v>
          </cell>
          <cell r="C57" t="str">
            <v>Acres</v>
          </cell>
          <cell r="D57" t="str">
            <v>Share of Acreage</v>
          </cell>
          <cell r="E57" t="str">
            <v>Farms</v>
          </cell>
          <cell r="F57" t="str">
            <v>Acres</v>
          </cell>
          <cell r="G57" t="str">
            <v>Share of Acreage</v>
          </cell>
          <cell r="H57" t="str">
            <v>Farms</v>
          </cell>
          <cell r="I57" t="str">
            <v>Acres</v>
          </cell>
          <cell r="J57" t="str">
            <v>Share of Acreage</v>
          </cell>
          <cell r="K57" t="str">
            <v>Farms</v>
          </cell>
          <cell r="L57" t="str">
            <v>Acres</v>
          </cell>
          <cell r="M57" t="str">
            <v>Share of Acreage</v>
          </cell>
          <cell r="N57" t="str">
            <v>Farms</v>
          </cell>
          <cell r="O57" t="str">
            <v>Acres</v>
          </cell>
          <cell r="P57" t="str">
            <v>Share of Acreage</v>
          </cell>
          <cell r="Q57" t="str">
            <v>Farms</v>
          </cell>
          <cell r="R57" t="str">
            <v>Acres</v>
          </cell>
          <cell r="S57" t="str">
            <v>Share of Acreage</v>
          </cell>
          <cell r="T57" t="str">
            <v>Farms</v>
          </cell>
          <cell r="U57" t="str">
            <v>Acres</v>
          </cell>
          <cell r="V57" t="str">
            <v>Share of Acreage</v>
          </cell>
          <cell r="W57" t="str">
            <v>Farms</v>
          </cell>
          <cell r="X57" t="str">
            <v>Acres</v>
          </cell>
          <cell r="Y57" t="str">
            <v>Share of Acreage</v>
          </cell>
          <cell r="Z57" t="str">
            <v>Farms</v>
          </cell>
          <cell r="AA57" t="str">
            <v>Acres</v>
          </cell>
          <cell r="AB57" t="str">
            <v>Share of Acreage</v>
          </cell>
          <cell r="AC57" t="str">
            <v>State Avg. Field Size (Acres)</v>
          </cell>
        </row>
        <row r="58">
          <cell r="A58" t="str">
            <v>Idaho</v>
          </cell>
          <cell r="B58">
            <v>5830</v>
          </cell>
          <cell r="C58">
            <v>1713560</v>
          </cell>
          <cell r="D58">
            <v>0.42136365570028383</v>
          </cell>
          <cell r="E58">
            <v>114</v>
          </cell>
          <cell r="F58">
            <v>39620</v>
          </cell>
          <cell r="G58">
            <v>0.40395595432300163</v>
          </cell>
          <cell r="H58">
            <v>130</v>
          </cell>
          <cell r="I58">
            <v>160945</v>
          </cell>
          <cell r="J58">
            <v>0.31135499247462844</v>
          </cell>
          <cell r="K58">
            <v>133</v>
          </cell>
          <cell r="L58">
            <v>163238</v>
          </cell>
          <cell r="M58">
            <v>0.37655129778458529</v>
          </cell>
          <cell r="N58">
            <v>73</v>
          </cell>
          <cell r="O58">
            <v>5840</v>
          </cell>
          <cell r="P58">
            <v>0.21592043479868378</v>
          </cell>
          <cell r="Q58">
            <v>409</v>
          </cell>
          <cell r="R58">
            <v>74149</v>
          </cell>
          <cell r="S58">
            <v>0.36754369442158796</v>
          </cell>
          <cell r="T58">
            <v>2499</v>
          </cell>
          <cell r="U58">
            <v>71678</v>
          </cell>
          <cell r="V58">
            <v>0.2576010235326251</v>
          </cell>
          <cell r="W58">
            <v>251</v>
          </cell>
          <cell r="X58">
            <v>1004</v>
          </cell>
          <cell r="Y58">
            <v>6.3374636258624059E-3</v>
          </cell>
          <cell r="Z58" t="str">
            <v>-</v>
          </cell>
          <cell r="AA58" t="str">
            <v>-</v>
          </cell>
          <cell r="AC58">
            <v>293.92109777015435</v>
          </cell>
        </row>
        <row r="59">
          <cell r="A59" t="str">
            <v>Montana</v>
          </cell>
          <cell r="B59">
            <v>2191</v>
          </cell>
          <cell r="C59">
            <v>366564</v>
          </cell>
          <cell r="D59">
            <v>9.0137927524054515E-2</v>
          </cell>
          <cell r="E59">
            <v>3</v>
          </cell>
          <cell r="F59">
            <v>3000</v>
          </cell>
          <cell r="G59">
            <v>3.0587275693311582E-2</v>
          </cell>
          <cell r="H59">
            <v>138</v>
          </cell>
          <cell r="I59">
            <v>35250</v>
          </cell>
          <cell r="J59">
            <v>6.8192634034798555E-2</v>
          </cell>
          <cell r="K59">
            <v>229</v>
          </cell>
          <cell r="L59">
            <v>73840</v>
          </cell>
          <cell r="M59">
            <v>0.17033134336621239</v>
          </cell>
          <cell r="N59">
            <v>3</v>
          </cell>
          <cell r="O59">
            <v>480</v>
          </cell>
          <cell r="P59">
            <v>1.7746885051946611E-2</v>
          </cell>
          <cell r="Q59">
            <v>538</v>
          </cell>
          <cell r="R59">
            <v>44294</v>
          </cell>
          <cell r="S59">
            <v>0.2195576528437311</v>
          </cell>
          <cell r="T59">
            <v>731</v>
          </cell>
          <cell r="U59">
            <v>15813</v>
          </cell>
          <cell r="V59">
            <v>5.6829780199243854E-2</v>
          </cell>
          <cell r="W59" t="str">
            <v>-</v>
          </cell>
          <cell r="X59" t="str">
            <v>-</v>
          </cell>
          <cell r="Z59" t="str">
            <v>-</v>
          </cell>
          <cell r="AA59" t="str">
            <v>-</v>
          </cell>
          <cell r="AC59">
            <v>167.30442720219079</v>
          </cell>
        </row>
        <row r="60">
          <cell r="A60" t="str">
            <v>Oregon</v>
          </cell>
          <cell r="B60">
            <v>9558</v>
          </cell>
          <cell r="C60">
            <v>810468</v>
          </cell>
          <cell r="D60">
            <v>0.19929372727426972</v>
          </cell>
          <cell r="E60">
            <v>28</v>
          </cell>
          <cell r="F60">
            <v>9030</v>
          </cell>
          <cell r="G60">
            <v>9.206769983686787E-2</v>
          </cell>
          <cell r="H60">
            <v>101</v>
          </cell>
          <cell r="I60">
            <v>89937</v>
          </cell>
          <cell r="J60">
            <v>0.17398697665780646</v>
          </cell>
          <cell r="K60">
            <v>404</v>
          </cell>
          <cell r="L60">
            <v>83776</v>
          </cell>
          <cell r="M60">
            <v>0.19325133561549038</v>
          </cell>
          <cell r="N60">
            <v>266</v>
          </cell>
          <cell r="O60">
            <v>11550</v>
          </cell>
          <cell r="P60">
            <v>0.42703442156246535</v>
          </cell>
          <cell r="Q60">
            <v>789</v>
          </cell>
          <cell r="R60">
            <v>68220</v>
          </cell>
          <cell r="S60">
            <v>0.33815467279991274</v>
          </cell>
          <cell r="T60">
            <v>4083</v>
          </cell>
          <cell r="U60">
            <v>115333</v>
          </cell>
          <cell r="V60">
            <v>0.41449118065638341</v>
          </cell>
          <cell r="W60">
            <v>2050</v>
          </cell>
          <cell r="X60">
            <v>29755</v>
          </cell>
          <cell r="Y60">
            <v>0.18781995038599195</v>
          </cell>
          <cell r="Z60">
            <v>356</v>
          </cell>
          <cell r="AA60">
            <v>39925</v>
          </cell>
          <cell r="AB60">
            <v>0.51222015523766762</v>
          </cell>
          <cell r="AC60">
            <v>84.794726930320152</v>
          </cell>
        </row>
        <row r="61">
          <cell r="A61" t="str">
            <v>Washington</v>
          </cell>
          <cell r="B61">
            <v>7644</v>
          </cell>
          <cell r="C61">
            <v>1176109</v>
          </cell>
          <cell r="D61">
            <v>0.28920468950139189</v>
          </cell>
          <cell r="E61">
            <v>286</v>
          </cell>
          <cell r="F61">
            <v>46430</v>
          </cell>
          <cell r="G61">
            <v>0.47338907014681891</v>
          </cell>
          <cell r="H61">
            <v>248</v>
          </cell>
          <cell r="I61">
            <v>230786</v>
          </cell>
          <cell r="J61">
            <v>0.44646539683276654</v>
          </cell>
          <cell r="K61">
            <v>128</v>
          </cell>
          <cell r="L61">
            <v>112654</v>
          </cell>
          <cell r="M61">
            <v>0.25986602323371194</v>
          </cell>
          <cell r="N61">
            <v>133</v>
          </cell>
          <cell r="O61">
            <v>9177</v>
          </cell>
          <cell r="P61">
            <v>0.33929825858690427</v>
          </cell>
          <cell r="Q61">
            <v>435</v>
          </cell>
          <cell r="R61">
            <v>15079</v>
          </cell>
          <cell r="S61">
            <v>7.4743979934768168E-2</v>
          </cell>
          <cell r="T61">
            <v>1657</v>
          </cell>
          <cell r="U61">
            <v>75428</v>
          </cell>
          <cell r="V61">
            <v>0.2710780156117476</v>
          </cell>
          <cell r="W61">
            <v>2811</v>
          </cell>
          <cell r="X61">
            <v>127664</v>
          </cell>
          <cell r="Y61">
            <v>0.80584258598814562</v>
          </cell>
          <cell r="Z61">
            <v>178</v>
          </cell>
          <cell r="AA61">
            <v>38020</v>
          </cell>
          <cell r="AB61">
            <v>0.48777984476233244</v>
          </cell>
          <cell r="AC61">
            <v>153.86041339612768</v>
          </cell>
        </row>
        <row r="62">
          <cell r="A62" t="str">
            <v>PNW</v>
          </cell>
          <cell r="B62">
            <v>25223</v>
          </cell>
          <cell r="C62">
            <v>4066701</v>
          </cell>
          <cell r="D62">
            <v>1</v>
          </cell>
          <cell r="E62">
            <v>431</v>
          </cell>
          <cell r="F62">
            <v>98080</v>
          </cell>
          <cell r="G62">
            <v>1</v>
          </cell>
          <cell r="H62">
            <v>617</v>
          </cell>
          <cell r="I62">
            <v>516918</v>
          </cell>
          <cell r="J62">
            <v>1</v>
          </cell>
          <cell r="K62">
            <v>894</v>
          </cell>
          <cell r="L62">
            <v>433508</v>
          </cell>
          <cell r="M62">
            <v>1</v>
          </cell>
          <cell r="N62">
            <v>475</v>
          </cell>
          <cell r="O62">
            <v>27047</v>
          </cell>
          <cell r="P62">
            <v>1</v>
          </cell>
          <cell r="Q62">
            <v>2171</v>
          </cell>
          <cell r="R62">
            <v>201742</v>
          </cell>
          <cell r="S62">
            <v>1</v>
          </cell>
          <cell r="T62">
            <v>8970</v>
          </cell>
          <cell r="U62">
            <v>278252</v>
          </cell>
          <cell r="V62">
            <v>1</v>
          </cell>
          <cell r="W62">
            <v>5112</v>
          </cell>
          <cell r="X62">
            <v>158423</v>
          </cell>
          <cell r="Y62">
            <v>1</v>
          </cell>
          <cell r="Z62">
            <v>534</v>
          </cell>
          <cell r="AA62">
            <v>77945</v>
          </cell>
          <cell r="AB62">
            <v>1</v>
          </cell>
          <cell r="AC62">
            <v>161.22986956349365</v>
          </cell>
        </row>
        <row r="64">
          <cell r="A64" t="str">
            <v>Difference 1997 to 2003</v>
          </cell>
        </row>
        <row r="65">
          <cell r="A65" t="str">
            <v>State</v>
          </cell>
          <cell r="B65" t="str">
            <v>Total</v>
          </cell>
          <cell r="E65" t="str">
            <v>High Pressure</v>
          </cell>
          <cell r="H65" t="str">
            <v>Medium Pressure</v>
          </cell>
          <cell r="K65" t="str">
            <v>Low Pressure</v>
          </cell>
          <cell r="N65" t="str">
            <v>Linear and Wheel Move</v>
          </cell>
          <cell r="Q65" t="str">
            <v>All Other Mechanical Move</v>
          </cell>
          <cell r="T65" t="str">
            <v>Hand Move</v>
          </cell>
          <cell r="W65" t="str">
            <v>Solid Set or Permanent</v>
          </cell>
          <cell r="Z65" t="str">
            <v>Solid Set or Permanent</v>
          </cell>
        </row>
        <row r="66">
          <cell r="E66" t="str">
            <v>60 PSI or greater</v>
          </cell>
          <cell r="H66" t="str">
            <v>30 to 59 PSI</v>
          </cell>
          <cell r="K66" t="str">
            <v>Under 30 PSI</v>
          </cell>
        </row>
        <row r="67">
          <cell r="B67" t="str">
            <v>Farms</v>
          </cell>
          <cell r="C67" t="str">
            <v>Acres</v>
          </cell>
          <cell r="D67" t="str">
            <v>Average acre-feet /acre</v>
          </cell>
          <cell r="E67" t="str">
            <v>Farms</v>
          </cell>
          <cell r="F67" t="str">
            <v>Acres</v>
          </cell>
          <cell r="G67" t="str">
            <v>Average acre-feet /acre</v>
          </cell>
          <cell r="H67" t="str">
            <v>Farms</v>
          </cell>
          <cell r="I67" t="str">
            <v>Acres</v>
          </cell>
          <cell r="J67" t="str">
            <v>Average acre-feet /acre</v>
          </cell>
          <cell r="K67" t="str">
            <v>Farms</v>
          </cell>
          <cell r="L67" t="str">
            <v>Acres</v>
          </cell>
          <cell r="M67" t="str">
            <v>Average acre-feet /acre</v>
          </cell>
          <cell r="N67" t="str">
            <v>Farms</v>
          </cell>
          <cell r="O67" t="str">
            <v>Acres</v>
          </cell>
          <cell r="P67" t="str">
            <v>Average acre-feet /acre</v>
          </cell>
          <cell r="Q67" t="str">
            <v>Farms</v>
          </cell>
          <cell r="R67" t="str">
            <v>Acres</v>
          </cell>
          <cell r="S67" t="str">
            <v>Average acre-feet /acre</v>
          </cell>
          <cell r="T67" t="str">
            <v>Farms</v>
          </cell>
          <cell r="U67" t="str">
            <v>Acres</v>
          </cell>
          <cell r="V67" t="str">
            <v>Average acre-feet /acre</v>
          </cell>
          <cell r="W67" t="str">
            <v>Farms</v>
          </cell>
          <cell r="X67" t="str">
            <v>Acres</v>
          </cell>
          <cell r="Y67" t="str">
            <v>Average acre-feet /acre</v>
          </cell>
          <cell r="Z67" t="str">
            <v>Farms</v>
          </cell>
          <cell r="AA67" t="str">
            <v>Acres</v>
          </cell>
          <cell r="AB67" t="str">
            <v>Average acre-feet /acre</v>
          </cell>
          <cell r="AC67" t="str">
            <v>State Avg. Field Size (Acres)</v>
          </cell>
        </row>
        <row r="68">
          <cell r="A68" t="str">
            <v>Idaho</v>
          </cell>
          <cell r="B68">
            <v>2724</v>
          </cell>
          <cell r="C68">
            <v>4471</v>
          </cell>
          <cell r="D68">
            <v>0.19999999999999996</v>
          </cell>
          <cell r="E68">
            <v>98</v>
          </cell>
          <cell r="F68">
            <v>29111</v>
          </cell>
          <cell r="G68">
            <v>0.19999999999999996</v>
          </cell>
          <cell r="H68">
            <v>86</v>
          </cell>
          <cell r="I68">
            <v>118779</v>
          </cell>
          <cell r="J68">
            <v>0</v>
          </cell>
          <cell r="K68">
            <v>70</v>
          </cell>
          <cell r="L68">
            <v>77685</v>
          </cell>
          <cell r="M68">
            <v>0.60000000000000009</v>
          </cell>
          <cell r="N68">
            <v>73</v>
          </cell>
          <cell r="O68">
            <v>5840</v>
          </cell>
          <cell r="P68">
            <v>1</v>
          </cell>
          <cell r="Q68">
            <v>149</v>
          </cell>
          <cell r="R68">
            <v>-2220</v>
          </cell>
          <cell r="S68">
            <v>1.2000000000000002</v>
          </cell>
          <cell r="T68">
            <v>1147</v>
          </cell>
          <cell r="U68">
            <v>771</v>
          </cell>
          <cell r="V68">
            <v>-1.6</v>
          </cell>
          <cell r="W68">
            <v>251</v>
          </cell>
          <cell r="X68">
            <v>1004</v>
          </cell>
          <cell r="Y68">
            <v>3.5</v>
          </cell>
          <cell r="AC68">
            <v>-256.33292669861578</v>
          </cell>
        </row>
        <row r="69">
          <cell r="A69" t="str">
            <v>Montana</v>
          </cell>
          <cell r="B69">
            <v>293</v>
          </cell>
          <cell r="C69">
            <v>63437</v>
          </cell>
          <cell r="D69">
            <v>0</v>
          </cell>
          <cell r="E69">
            <v>0</v>
          </cell>
          <cell r="F69">
            <v>906</v>
          </cell>
          <cell r="G69">
            <v>0.7</v>
          </cell>
          <cell r="H69">
            <v>-227</v>
          </cell>
          <cell r="I69">
            <v>27977</v>
          </cell>
          <cell r="J69">
            <v>-0.5</v>
          </cell>
          <cell r="K69">
            <v>213</v>
          </cell>
          <cell r="L69">
            <v>52120</v>
          </cell>
          <cell r="M69">
            <v>0</v>
          </cell>
          <cell r="N69">
            <v>3</v>
          </cell>
          <cell r="O69">
            <v>480</v>
          </cell>
          <cell r="P69">
            <v>0.3</v>
          </cell>
          <cell r="Q69">
            <v>198</v>
          </cell>
          <cell r="R69">
            <v>6849</v>
          </cell>
          <cell r="S69">
            <v>-0.19999999999999996</v>
          </cell>
          <cell r="T69">
            <v>124</v>
          </cell>
          <cell r="U69">
            <v>2849</v>
          </cell>
          <cell r="V69">
            <v>0.60000000000000009</v>
          </cell>
          <cell r="AC69">
            <v>7.5957865277966903</v>
          </cell>
        </row>
        <row r="70">
          <cell r="A70" t="str">
            <v>Oregon</v>
          </cell>
          <cell r="B70">
            <v>4611</v>
          </cell>
          <cell r="C70">
            <v>299296</v>
          </cell>
          <cell r="D70">
            <v>-9.9999999999999867E-2</v>
          </cell>
          <cell r="E70">
            <v>24</v>
          </cell>
          <cell r="F70">
            <v>6010</v>
          </cell>
          <cell r="G70">
            <v>1.2000000000000002</v>
          </cell>
          <cell r="H70">
            <v>-5</v>
          </cell>
          <cell r="I70">
            <v>42256</v>
          </cell>
          <cell r="J70">
            <v>0</v>
          </cell>
          <cell r="K70">
            <v>378</v>
          </cell>
          <cell r="L70">
            <v>52196</v>
          </cell>
          <cell r="M70">
            <v>0.59999999999999987</v>
          </cell>
          <cell r="N70">
            <v>144</v>
          </cell>
          <cell r="O70">
            <v>9766</v>
          </cell>
          <cell r="P70">
            <v>-9.9999999999999867E-2</v>
          </cell>
          <cell r="Q70">
            <v>651</v>
          </cell>
          <cell r="R70">
            <v>37477</v>
          </cell>
          <cell r="S70">
            <v>9.9999999999999867E-2</v>
          </cell>
          <cell r="T70">
            <v>1953</v>
          </cell>
          <cell r="U70">
            <v>42779</v>
          </cell>
          <cell r="V70">
            <v>-0.5</v>
          </cell>
          <cell r="W70">
            <v>1214</v>
          </cell>
          <cell r="X70">
            <v>13739</v>
          </cell>
          <cell r="Y70">
            <v>0.39999999999999991</v>
          </cell>
          <cell r="Z70">
            <v>-17</v>
          </cell>
          <cell r="AA70">
            <v>2249</v>
          </cell>
          <cell r="AB70">
            <v>0.29999999999999982</v>
          </cell>
          <cell r="AC70">
            <v>-18.53496783418359</v>
          </cell>
        </row>
        <row r="71">
          <cell r="A71" t="str">
            <v>Washington</v>
          </cell>
          <cell r="B71">
            <v>1409</v>
          </cell>
          <cell r="C71">
            <v>197188</v>
          </cell>
          <cell r="D71">
            <v>0</v>
          </cell>
          <cell r="E71">
            <v>257</v>
          </cell>
          <cell r="F71">
            <v>21848</v>
          </cell>
          <cell r="G71">
            <v>-0.30000000000000027</v>
          </cell>
          <cell r="H71">
            <v>-74</v>
          </cell>
          <cell r="I71">
            <v>58759</v>
          </cell>
          <cell r="J71">
            <v>0.10000000000000009</v>
          </cell>
          <cell r="K71">
            <v>39</v>
          </cell>
          <cell r="L71">
            <v>20846</v>
          </cell>
          <cell r="M71">
            <v>-0.10000000000000009</v>
          </cell>
          <cell r="N71">
            <v>133</v>
          </cell>
          <cell r="O71">
            <v>9177</v>
          </cell>
          <cell r="P71">
            <v>1</v>
          </cell>
          <cell r="Q71">
            <v>-148</v>
          </cell>
          <cell r="R71">
            <v>-12044</v>
          </cell>
          <cell r="S71">
            <v>1</v>
          </cell>
          <cell r="T71">
            <v>74</v>
          </cell>
          <cell r="U71">
            <v>21315</v>
          </cell>
          <cell r="V71">
            <v>-0.20000000000000018</v>
          </cell>
          <cell r="W71">
            <v>1046</v>
          </cell>
          <cell r="X71">
            <v>10296</v>
          </cell>
          <cell r="Y71">
            <v>0.39999999999999991</v>
          </cell>
          <cell r="Z71">
            <v>-57</v>
          </cell>
          <cell r="AA71">
            <v>4388</v>
          </cell>
          <cell r="AB71">
            <v>-1</v>
          </cell>
          <cell r="AC71">
            <v>-3.1437566118915754</v>
          </cell>
        </row>
        <row r="72">
          <cell r="A72" t="str">
            <v>PNW</v>
          </cell>
          <cell r="B72">
            <v>9037</v>
          </cell>
          <cell r="C72">
            <v>564392</v>
          </cell>
          <cell r="D72">
            <v>6.4343358412629836E-2</v>
          </cell>
          <cell r="E72">
            <v>379</v>
          </cell>
          <cell r="F72">
            <v>57875</v>
          </cell>
          <cell r="G72">
            <v>9.1324460610007208E-3</v>
          </cell>
          <cell r="H72">
            <v>-220</v>
          </cell>
          <cell r="I72">
            <v>247771</v>
          </cell>
          <cell r="J72">
            <v>-5.2356450395216747E-3</v>
          </cell>
          <cell r="K72">
            <v>700</v>
          </cell>
          <cell r="L72">
            <v>202847</v>
          </cell>
          <cell r="M72">
            <v>0.22761853939619137</v>
          </cell>
          <cell r="N72">
            <v>353</v>
          </cell>
          <cell r="O72">
            <v>25263</v>
          </cell>
          <cell r="P72">
            <v>-0.169719377380116</v>
          </cell>
          <cell r="Q72">
            <v>850</v>
          </cell>
          <cell r="R72">
            <v>30062</v>
          </cell>
          <cell r="S72">
            <v>0.59995981837662726</v>
          </cell>
          <cell r="T72">
            <v>3298</v>
          </cell>
          <cell r="U72">
            <v>67714</v>
          </cell>
          <cell r="V72">
            <v>-0.72048099570288837</v>
          </cell>
          <cell r="W72">
            <v>2511</v>
          </cell>
          <cell r="X72">
            <v>25039</v>
          </cell>
          <cell r="Y72">
            <v>0.32991608802612582</v>
          </cell>
          <cell r="Z72">
            <v>-74</v>
          </cell>
          <cell r="AA72">
            <v>6637</v>
          </cell>
          <cell r="AB72">
            <v>-0.32765951440625396</v>
          </cell>
          <cell r="AC72">
            <v>-55.149038134516985</v>
          </cell>
        </row>
        <row r="74">
          <cell r="A74" t="str">
            <v>2008 Data [Not included in version 3.3 of measure assessment. Not needed for v4.x]</v>
          </cell>
        </row>
        <row r="76">
          <cell r="A76" t="str">
            <v>2013 Data (Table 33)</v>
          </cell>
        </row>
        <row r="77">
          <cell r="B77" t="str">
            <v>Only center pivot systems</v>
          </cell>
          <cell r="N77" t="str">
            <v>Only linear move tower systems</v>
          </cell>
          <cell r="W77" t="str">
            <v>Only solid set and permanent systems</v>
          </cell>
          <cell r="AF77" t="str">
            <v>Only hand move systems</v>
          </cell>
          <cell r="AI77" t="str">
            <v>Only big gun or traveler systems</v>
          </cell>
          <cell r="AJ77" t="str">
            <v>Only big gun or</v>
          </cell>
          <cell r="AK77" t="str">
            <v>Only big gun or</v>
          </cell>
          <cell r="AL77" t="str">
            <v>Only side roll, wheel move, or other mechanical move systems</v>
          </cell>
          <cell r="AM77" t="str">
            <v>Only side roll, wheel move, or</v>
          </cell>
          <cell r="AN77" t="str">
            <v>Only side roll, wheel move, or</v>
          </cell>
        </row>
        <row r="78">
          <cell r="B78" t="str">
            <v>All pressures</v>
          </cell>
          <cell r="E78" t="str">
            <v>Only low pressure</v>
          </cell>
          <cell r="H78" t="str">
            <v>Only medium pressure</v>
          </cell>
          <cell r="K78" t="str">
            <v>Only high pressure</v>
          </cell>
          <cell r="N78" t="str">
            <v>All pressures</v>
          </cell>
          <cell r="O78" t="str">
            <v>All pressures</v>
          </cell>
          <cell r="P78" t="str">
            <v>All pressures</v>
          </cell>
          <cell r="Q78" t="str">
            <v>under 30 psi</v>
          </cell>
          <cell r="T78" t="str">
            <v>30 psi or more</v>
          </cell>
          <cell r="U78" t="str">
            <v>30 psi or more</v>
          </cell>
          <cell r="V78" t="str">
            <v>30 psi or more</v>
          </cell>
          <cell r="W78" t="str">
            <v>All pressures</v>
          </cell>
          <cell r="X78" t="str">
            <v>All pressures</v>
          </cell>
          <cell r="Y78" t="str">
            <v>All pressures</v>
          </cell>
          <cell r="Z78" t="str">
            <v>Only low pressure</v>
          </cell>
          <cell r="AC78" t="str">
            <v>Only medium to high pressure</v>
          </cell>
        </row>
        <row r="79">
          <cell r="E79" t="str">
            <v>under 30 psi</v>
          </cell>
          <cell r="F79" t="str">
            <v>under 30 psi</v>
          </cell>
          <cell r="G79" t="str">
            <v>under 30 psi</v>
          </cell>
          <cell r="H79" t="str">
            <v>30 to 59 psi</v>
          </cell>
          <cell r="I79" t="str">
            <v>30 to 59 psi</v>
          </cell>
          <cell r="J79" t="str">
            <v>30 to 59 psi</v>
          </cell>
          <cell r="K79" t="str">
            <v>60 psi or more</v>
          </cell>
          <cell r="L79" t="str">
            <v>60 psi or more</v>
          </cell>
          <cell r="M79" t="str">
            <v>60 psi or more</v>
          </cell>
          <cell r="Z79" t="str">
            <v>under 30 psi</v>
          </cell>
          <cell r="AA79" t="str">
            <v>under 30 psi</v>
          </cell>
          <cell r="AB79" t="str">
            <v>under 30 psi</v>
          </cell>
          <cell r="AC79" t="str">
            <v>30 psi or more</v>
          </cell>
          <cell r="AD79" t="str">
            <v>30 psi or more</v>
          </cell>
          <cell r="AE79" t="str">
            <v>30 psi or more</v>
          </cell>
        </row>
        <row r="80">
          <cell r="B80" t="str">
            <v>Farms</v>
          </cell>
          <cell r="C80" t="str">
            <v>Acres irrigated</v>
          </cell>
          <cell r="D80" t="str">
            <v>Average acre-feet per acre</v>
          </cell>
          <cell r="E80" t="str">
            <v>Farms</v>
          </cell>
          <cell r="F80" t="str">
            <v>Acres irrigated</v>
          </cell>
          <cell r="G80" t="str">
            <v>Average acre-feet per acre</v>
          </cell>
          <cell r="H80" t="str">
            <v>Farms</v>
          </cell>
          <cell r="I80" t="str">
            <v>Acres irrigated</v>
          </cell>
          <cell r="J80" t="str">
            <v>Average acre-feet per acre</v>
          </cell>
          <cell r="K80" t="str">
            <v>Farms</v>
          </cell>
          <cell r="L80" t="str">
            <v>Acres irrigated</v>
          </cell>
          <cell r="M80" t="str">
            <v>Average acre-feet per acre</v>
          </cell>
          <cell r="N80" t="str">
            <v>Farms</v>
          </cell>
          <cell r="O80" t="str">
            <v>Acres irrigated</v>
          </cell>
          <cell r="P80" t="str">
            <v>Average acre-feet per acre</v>
          </cell>
          <cell r="Q80" t="str">
            <v>Farms</v>
          </cell>
          <cell r="R80" t="str">
            <v>Acres irrigated</v>
          </cell>
          <cell r="S80" t="str">
            <v>Average acre-feet per acre</v>
          </cell>
          <cell r="T80" t="str">
            <v>Farms</v>
          </cell>
          <cell r="U80" t="str">
            <v>Acres irrigated</v>
          </cell>
          <cell r="V80" t="str">
            <v>Average acre-feet per acre</v>
          </cell>
          <cell r="W80" t="str">
            <v>Farms</v>
          </cell>
          <cell r="X80" t="str">
            <v>Acres irrigated</v>
          </cell>
          <cell r="Y80" t="str">
            <v>Average acre-feet per acre</v>
          </cell>
          <cell r="Z80" t="str">
            <v>Farms</v>
          </cell>
          <cell r="AA80" t="str">
            <v>Acres irrigated</v>
          </cell>
          <cell r="AB80" t="str">
            <v>Average acre-feet per acre</v>
          </cell>
          <cell r="AC80" t="str">
            <v>Farms</v>
          </cell>
          <cell r="AD80" t="str">
            <v>Acres irrigated</v>
          </cell>
          <cell r="AE80" t="str">
            <v>Average acre-feet per acre</v>
          </cell>
          <cell r="AF80" t="str">
            <v>Farms</v>
          </cell>
          <cell r="AG80" t="str">
            <v>Acres irrigated</v>
          </cell>
          <cell r="AH80" t="str">
            <v>Average acre-feet per acre</v>
          </cell>
          <cell r="AI80" t="str">
            <v>Farms</v>
          </cell>
          <cell r="AJ80" t="str">
            <v>Acres irrigated</v>
          </cell>
          <cell r="AK80" t="str">
            <v>Average acre-feet per acre</v>
          </cell>
          <cell r="AL80" t="str">
            <v>Farms</v>
          </cell>
          <cell r="AM80" t="str">
            <v>Acres irrigated</v>
          </cell>
          <cell r="AN80" t="str">
            <v>Average acre-feet per acre</v>
          </cell>
        </row>
        <row r="81">
          <cell r="A81" t="str">
            <v>Idaho</v>
          </cell>
          <cell r="B81">
            <v>872</v>
          </cell>
          <cell r="C81">
            <v>911885</v>
          </cell>
          <cell r="D81">
            <v>1.6</v>
          </cell>
          <cell r="E81">
            <v>228</v>
          </cell>
          <cell r="F81">
            <v>238099</v>
          </cell>
          <cell r="G81">
            <v>1.6</v>
          </cell>
          <cell r="H81">
            <v>442</v>
          </cell>
          <cell r="I81">
            <v>434862</v>
          </cell>
          <cell r="J81">
            <v>1.8</v>
          </cell>
          <cell r="K81">
            <v>121</v>
          </cell>
          <cell r="L81">
            <v>66956</v>
          </cell>
          <cell r="M81">
            <v>1.1000000000000001</v>
          </cell>
          <cell r="N81">
            <v>16</v>
          </cell>
          <cell r="O81">
            <v>2560</v>
          </cell>
          <cell r="P81">
            <v>2.5</v>
          </cell>
          <cell r="Q81" t="str">
            <v>-</v>
          </cell>
          <cell r="R81" t="str">
            <v>-</v>
          </cell>
          <cell r="S81" t="str">
            <v>-</v>
          </cell>
          <cell r="T81">
            <v>16</v>
          </cell>
          <cell r="U81">
            <v>2560</v>
          </cell>
          <cell r="V81">
            <v>2.5</v>
          </cell>
          <cell r="W81">
            <v>261</v>
          </cell>
          <cell r="X81">
            <v>10349</v>
          </cell>
          <cell r="Y81">
            <v>0.6</v>
          </cell>
          <cell r="Z81">
            <v>251</v>
          </cell>
          <cell r="AA81" t="str">
            <v>(D)</v>
          </cell>
          <cell r="AB81" t="str">
            <v>(D)</v>
          </cell>
          <cell r="AC81">
            <v>10</v>
          </cell>
          <cell r="AD81" t="str">
            <v>(D)</v>
          </cell>
          <cell r="AE81" t="str">
            <v>(D)</v>
          </cell>
          <cell r="AF81">
            <v>1774</v>
          </cell>
          <cell r="AG81">
            <v>17924</v>
          </cell>
          <cell r="AH81">
            <v>1</v>
          </cell>
          <cell r="AI81" t="str">
            <v>-</v>
          </cell>
          <cell r="AJ81" t="str">
            <v>-</v>
          </cell>
          <cell r="AK81" t="str">
            <v>-</v>
          </cell>
          <cell r="AL81">
            <v>760</v>
          </cell>
          <cell r="AM81">
            <v>148421</v>
          </cell>
          <cell r="AN81">
            <v>1.6</v>
          </cell>
        </row>
        <row r="82">
          <cell r="A82" t="str">
            <v>Montana</v>
          </cell>
          <cell r="B82">
            <v>361</v>
          </cell>
          <cell r="C82">
            <v>139167</v>
          </cell>
          <cell r="D82">
            <v>1</v>
          </cell>
          <cell r="E82">
            <v>72</v>
          </cell>
          <cell r="F82">
            <v>36378</v>
          </cell>
          <cell r="G82">
            <v>0.9</v>
          </cell>
          <cell r="H82">
            <v>191</v>
          </cell>
          <cell r="I82">
            <v>74829</v>
          </cell>
          <cell r="J82">
            <v>1.1000000000000001</v>
          </cell>
          <cell r="K82">
            <v>86</v>
          </cell>
          <cell r="L82">
            <v>8040</v>
          </cell>
          <cell r="M82">
            <v>1.4</v>
          </cell>
          <cell r="N82" t="str">
            <v>-</v>
          </cell>
          <cell r="O82" t="str">
            <v>-</v>
          </cell>
          <cell r="P82" t="str">
            <v>-</v>
          </cell>
          <cell r="Q82" t="str">
            <v>-</v>
          </cell>
          <cell r="R82" t="str">
            <v>-</v>
          </cell>
          <cell r="S82" t="str">
            <v>-</v>
          </cell>
          <cell r="T82" t="str">
            <v>-</v>
          </cell>
          <cell r="U82" t="str">
            <v>-</v>
          </cell>
          <cell r="V82" t="str">
            <v>-</v>
          </cell>
          <cell r="W82">
            <v>3</v>
          </cell>
          <cell r="X82">
            <v>48</v>
          </cell>
          <cell r="Y82">
            <v>1</v>
          </cell>
          <cell r="Z82" t="str">
            <v>-</v>
          </cell>
          <cell r="AA82" t="str">
            <v>-</v>
          </cell>
          <cell r="AB82" t="str">
            <v>-</v>
          </cell>
          <cell r="AC82">
            <v>3</v>
          </cell>
          <cell r="AD82">
            <v>48</v>
          </cell>
          <cell r="AE82">
            <v>1</v>
          </cell>
          <cell r="AF82">
            <v>286</v>
          </cell>
          <cell r="AG82">
            <v>11295</v>
          </cell>
          <cell r="AH82">
            <v>1.1000000000000001</v>
          </cell>
          <cell r="AI82">
            <v>83</v>
          </cell>
          <cell r="AJ82">
            <v>830</v>
          </cell>
          <cell r="AK82">
            <v>1.3</v>
          </cell>
          <cell r="AL82">
            <v>267</v>
          </cell>
          <cell r="AM82">
            <v>20420</v>
          </cell>
          <cell r="AN82">
            <v>0.9</v>
          </cell>
        </row>
        <row r="83">
          <cell r="A83" t="str">
            <v>Oregon</v>
          </cell>
          <cell r="B83">
            <v>657</v>
          </cell>
          <cell r="C83">
            <v>279114</v>
          </cell>
          <cell r="D83">
            <v>1.8</v>
          </cell>
          <cell r="E83">
            <v>286</v>
          </cell>
          <cell r="F83">
            <v>81848</v>
          </cell>
          <cell r="G83">
            <v>1.6</v>
          </cell>
          <cell r="H83">
            <v>335</v>
          </cell>
          <cell r="I83">
            <v>128652</v>
          </cell>
          <cell r="J83">
            <v>2.1</v>
          </cell>
          <cell r="K83">
            <v>21</v>
          </cell>
          <cell r="L83">
            <v>10125</v>
          </cell>
          <cell r="M83">
            <v>1.5</v>
          </cell>
          <cell r="N83">
            <v>18</v>
          </cell>
          <cell r="O83">
            <v>796</v>
          </cell>
          <cell r="P83">
            <v>1.3</v>
          </cell>
          <cell r="Q83">
            <v>5</v>
          </cell>
          <cell r="R83">
            <v>200</v>
          </cell>
          <cell r="S83" t="str">
            <v>(D)</v>
          </cell>
          <cell r="T83">
            <v>7</v>
          </cell>
          <cell r="U83">
            <v>560</v>
          </cell>
          <cell r="V83" t="str">
            <v>(D)</v>
          </cell>
          <cell r="W83">
            <v>879</v>
          </cell>
          <cell r="X83">
            <v>30685</v>
          </cell>
          <cell r="Y83">
            <v>1.2</v>
          </cell>
          <cell r="Z83">
            <v>268</v>
          </cell>
          <cell r="AA83" t="str">
            <v>(D)</v>
          </cell>
          <cell r="AB83" t="str">
            <v>(D)</v>
          </cell>
          <cell r="AC83">
            <v>479</v>
          </cell>
          <cell r="AD83" t="str">
            <v>(D)</v>
          </cell>
          <cell r="AE83" t="str">
            <v>(D)</v>
          </cell>
          <cell r="AF83">
            <v>1356</v>
          </cell>
          <cell r="AG83">
            <v>35401</v>
          </cell>
          <cell r="AH83">
            <v>1.7</v>
          </cell>
          <cell r="AI83">
            <v>536</v>
          </cell>
          <cell r="AJ83">
            <v>17162</v>
          </cell>
          <cell r="AK83">
            <v>1.3</v>
          </cell>
          <cell r="AL83">
            <v>593</v>
          </cell>
          <cell r="AM83">
            <v>25963</v>
          </cell>
          <cell r="AN83">
            <v>2.5</v>
          </cell>
        </row>
        <row r="84">
          <cell r="A84" t="str">
            <v>Washington</v>
          </cell>
          <cell r="B84">
            <v>412</v>
          </cell>
          <cell r="C84">
            <v>536836</v>
          </cell>
          <cell r="D84">
            <v>2.2000000000000002</v>
          </cell>
          <cell r="E84">
            <v>140</v>
          </cell>
          <cell r="F84">
            <v>228596</v>
          </cell>
          <cell r="G84">
            <v>2.1</v>
          </cell>
          <cell r="H84">
            <v>167</v>
          </cell>
          <cell r="I84">
            <v>176917</v>
          </cell>
          <cell r="J84">
            <v>2.1</v>
          </cell>
          <cell r="K84">
            <v>57</v>
          </cell>
          <cell r="L84">
            <v>44144</v>
          </cell>
          <cell r="M84">
            <v>3</v>
          </cell>
          <cell r="N84">
            <v>168</v>
          </cell>
          <cell r="O84">
            <v>1344</v>
          </cell>
          <cell r="P84">
            <v>0.6</v>
          </cell>
          <cell r="Q84" t="str">
            <v>-</v>
          </cell>
          <cell r="R84" t="str">
            <v>-</v>
          </cell>
          <cell r="S84" t="str">
            <v>-</v>
          </cell>
          <cell r="T84">
            <v>168</v>
          </cell>
          <cell r="U84">
            <v>1344</v>
          </cell>
          <cell r="V84">
            <v>0.6</v>
          </cell>
          <cell r="W84">
            <v>1928</v>
          </cell>
          <cell r="X84">
            <v>79015</v>
          </cell>
          <cell r="Y84">
            <v>2.6</v>
          </cell>
          <cell r="Z84">
            <v>151</v>
          </cell>
          <cell r="AA84">
            <v>18151</v>
          </cell>
          <cell r="AB84">
            <v>2.7</v>
          </cell>
          <cell r="AC84">
            <v>1777</v>
          </cell>
          <cell r="AD84">
            <v>60864</v>
          </cell>
          <cell r="AE84">
            <v>2.5</v>
          </cell>
          <cell r="AF84">
            <v>2134</v>
          </cell>
          <cell r="AG84">
            <v>20146</v>
          </cell>
          <cell r="AH84">
            <v>1.6</v>
          </cell>
          <cell r="AI84">
            <v>297</v>
          </cell>
          <cell r="AJ84">
            <v>36103</v>
          </cell>
          <cell r="AK84">
            <v>1.4</v>
          </cell>
          <cell r="AL84">
            <v>378</v>
          </cell>
          <cell r="AM84">
            <v>22842</v>
          </cell>
          <cell r="AN84">
            <v>1.9</v>
          </cell>
        </row>
        <row r="85">
          <cell r="A85" t="str">
            <v>PNW</v>
          </cell>
          <cell r="B85">
            <v>2302</v>
          </cell>
          <cell r="C85">
            <v>1867002</v>
          </cell>
          <cell r="D85">
            <v>1.7576989205153504</v>
          </cell>
          <cell r="E85">
            <v>726</v>
          </cell>
          <cell r="F85">
            <v>584921</v>
          </cell>
          <cell r="G85">
            <v>1.7518724750863792</v>
          </cell>
          <cell r="H85">
            <v>1135</v>
          </cell>
          <cell r="I85">
            <v>815260</v>
          </cell>
          <cell r="J85">
            <v>1.8481937050756814</v>
          </cell>
          <cell r="K85">
            <v>285</v>
          </cell>
          <cell r="L85">
            <v>129265</v>
          </cell>
          <cell r="M85">
            <v>1.7988403666885855</v>
          </cell>
          <cell r="N85">
            <v>202</v>
          </cell>
          <cell r="O85">
            <v>4700</v>
          </cell>
          <cell r="P85">
            <v>1.7534468085106385</v>
          </cell>
          <cell r="Q85">
            <v>5</v>
          </cell>
          <cell r="R85">
            <v>200</v>
          </cell>
          <cell r="S85">
            <v>0</v>
          </cell>
          <cell r="T85">
            <v>191</v>
          </cell>
          <cell r="U85">
            <v>4464</v>
          </cell>
          <cell r="V85">
            <v>1.614336917562724</v>
          </cell>
          <cell r="W85">
            <v>3071</v>
          </cell>
          <cell r="X85">
            <v>120097</v>
          </cell>
          <cell r="Y85">
            <v>2.0693139712066078</v>
          </cell>
          <cell r="Z85">
            <v>670</v>
          </cell>
          <cell r="AA85">
            <v>18151</v>
          </cell>
          <cell r="AB85">
            <v>2.7</v>
          </cell>
          <cell r="AC85">
            <v>2269</v>
          </cell>
          <cell r="AD85">
            <v>60912</v>
          </cell>
          <cell r="AE85">
            <v>2.4988179669030735</v>
          </cell>
          <cell r="AF85">
            <v>5550</v>
          </cell>
          <cell r="AG85">
            <v>84766</v>
          </cell>
          <cell r="AH85">
            <v>1.4482669938418706</v>
          </cell>
          <cell r="AI85">
            <v>916</v>
          </cell>
          <cell r="AJ85">
            <v>54095</v>
          </cell>
          <cell r="AK85">
            <v>1.3667399944542009</v>
          </cell>
          <cell r="AL85">
            <v>1998</v>
          </cell>
          <cell r="AM85">
            <v>217646</v>
          </cell>
          <cell r="AN85">
            <v>1.6731706532626374</v>
          </cell>
        </row>
      </sheetData>
      <sheetData sheetId="31">
        <row r="4">
          <cell r="A4" t="str">
            <v>A-Da-Proc-MilkingSchedule-All-All-S</v>
          </cell>
          <cell r="C4" t="str">
            <v>Program Tracking Data</v>
          </cell>
          <cell r="D4" t="str">
            <v>Unit Energy Savings</v>
          </cell>
          <cell r="E4" t="str">
            <v>Statistical</v>
          </cell>
          <cell r="F4" t="str">
            <v>Pre-Conditions</v>
          </cell>
          <cell r="G4" t="str">
            <v>Proven</v>
          </cell>
          <cell r="H4" t="str">
            <v>Active</v>
          </cell>
        </row>
        <row r="5">
          <cell r="A5" t="str">
            <v>A-Irr-Irr-Irrigation-All-All-E</v>
          </cell>
          <cell r="C5" t="str">
            <v>In-Store Retail</v>
          </cell>
          <cell r="D5" t="str">
            <v>Standard Protocol</v>
          </cell>
          <cell r="E5" t="str">
            <v>Meta-Statistical</v>
          </cell>
          <cell r="F5" t="str">
            <v>Current Practice</v>
          </cell>
          <cell r="G5" t="str">
            <v>Provisional</v>
          </cell>
          <cell r="H5" t="str">
            <v>Under Review</v>
          </cell>
        </row>
        <row r="6">
          <cell r="A6" t="str">
            <v>Automotive-0</v>
          </cell>
          <cell r="C6" t="str">
            <v>Contractor and Project Invoices</v>
          </cell>
          <cell r="D6" t="str">
            <v>Custom</v>
          </cell>
          <cell r="E6" t="str">
            <v>Calibrated Engineering</v>
          </cell>
          <cell r="F6" t="str">
            <v>Pre-Conditions and Current Practice</v>
          </cell>
          <cell r="G6" t="str">
            <v>Small Saver</v>
          </cell>
          <cell r="H6" t="str">
            <v>Deactivated</v>
          </cell>
        </row>
        <row r="7">
          <cell r="A7" t="str">
            <v>C-All-Food-Cook-All-All-C</v>
          </cell>
          <cell r="C7" t="str">
            <v>Contractor Price Sheets</v>
          </cell>
          <cell r="D7" t="str">
            <v>Program Impact Evaluation</v>
          </cell>
          <cell r="E7" t="str">
            <v>All</v>
          </cell>
          <cell r="G7" t="str">
            <v>Planning</v>
          </cell>
        </row>
        <row r="8">
          <cell r="A8" t="str">
            <v>C-All-HVAC-CAC-All-All-E</v>
          </cell>
          <cell r="C8" t="str">
            <v>Online Retail</v>
          </cell>
          <cell r="D8" t="str">
            <v>All</v>
          </cell>
        </row>
        <row r="9">
          <cell r="A9" t="str">
            <v>C-All-HVAC-ER-All-All-C</v>
          </cell>
          <cell r="C9" t="str">
            <v>DOE / Other Standard Setting Process</v>
          </cell>
        </row>
        <row r="10">
          <cell r="A10" t="str">
            <v>C-All-HVAC-ER-All-All-E</v>
          </cell>
          <cell r="C10" t="str">
            <v>Contractor Interview</v>
          </cell>
        </row>
        <row r="11">
          <cell r="A11" t="str">
            <v>C-All-HVAC-Vent-All-All-E</v>
          </cell>
          <cell r="C11" t="str">
            <v>Distributor Interview</v>
          </cell>
        </row>
        <row r="12">
          <cell r="A12" t="str">
            <v>C-All-Lgt-LPD Int-All-All-E</v>
          </cell>
          <cell r="C12" t="str">
            <v>Market Actor Interviews</v>
          </cell>
        </row>
        <row r="13">
          <cell r="A13" t="str">
            <v>C-All-Mot-All-All-All-C</v>
          </cell>
          <cell r="C13" t="str">
            <v>Maintenance Staff Interviews</v>
          </cell>
        </row>
        <row r="14">
          <cell r="A14" t="str">
            <v>C-All-Other-Control-All-All-E</v>
          </cell>
          <cell r="C14" t="str">
            <v>Professional Judgment</v>
          </cell>
        </row>
        <row r="15">
          <cell r="A15" t="str">
            <v>C-All-Plug-TimerOff6PM6AM-All-All-S</v>
          </cell>
        </row>
        <row r="16">
          <cell r="A16" t="str">
            <v>C-All-Ref-Refrig-All-All-C</v>
          </cell>
        </row>
        <row r="17">
          <cell r="A17" t="str">
            <v>C-All-SecTotal-ER-All-All-E</v>
          </cell>
        </row>
        <row r="18">
          <cell r="A18" t="str">
            <v>C-All-WH-All-All-All-E</v>
          </cell>
          <cell r="C18" t="str">
            <v>Bonneville Taxonomy, as of 1/2016</v>
          </cell>
        </row>
        <row r="19">
          <cell r="A19" t="str">
            <v>C-All-WH-Dwash-All-All-C</v>
          </cell>
          <cell r="J19" t="str">
            <v>Unique Values</v>
          </cell>
        </row>
        <row r="20">
          <cell r="A20" t="str">
            <v>C-Gro-HVAC-All-All-All-E</v>
          </cell>
          <cell r="C20" t="str">
            <v>Sector_Name</v>
          </cell>
          <cell r="D20" t="str">
            <v>EndUse_Name</v>
          </cell>
          <cell r="E20" t="str">
            <v>Category_Name</v>
          </cell>
          <cell r="F20" t="str">
            <v>TAP_Name</v>
          </cell>
          <cell r="J20" t="str">
            <v>Sector_Name</v>
          </cell>
          <cell r="K20" t="str">
            <v>EndUse_Name</v>
          </cell>
          <cell r="L20" t="str">
            <v>Category_Name</v>
          </cell>
          <cell r="M20" t="str">
            <v>TAP_Name</v>
          </cell>
        </row>
        <row r="21">
          <cell r="A21" t="str">
            <v>C-Gro-HVAC-ER-All-All-C</v>
          </cell>
          <cell r="C21" t="str">
            <v>Agricultural</v>
          </cell>
          <cell r="D21" t="str">
            <v>Compressed Air</v>
          </cell>
          <cell r="E21" t="str">
            <v>Compressed Air System Controls</v>
          </cell>
          <cell r="F21" t="str">
            <v>Compressed Air Control Improvements (non-VFD)</v>
          </cell>
          <cell r="J21" t="str">
            <v>Agricultural</v>
          </cell>
          <cell r="K21" t="str">
            <v>Compressed Air</v>
          </cell>
          <cell r="L21" t="str">
            <v>Capacitors</v>
          </cell>
          <cell r="M21" t="str">
            <v>Aerators</v>
          </cell>
        </row>
        <row r="22">
          <cell r="A22" t="str">
            <v>C-Gro-HVAC-Vent-All-All-E</v>
          </cell>
          <cell r="C22" t="str">
            <v>Agricultural</v>
          </cell>
          <cell r="D22" t="str">
            <v>Compressed Air</v>
          </cell>
          <cell r="E22" t="str">
            <v>Compressed Air System Controls</v>
          </cell>
          <cell r="F22" t="str">
            <v>Compressed Air Control Improvements (VFD)</v>
          </cell>
          <cell r="J22" t="str">
            <v>Commercial</v>
          </cell>
          <cell r="K22" t="str">
            <v>Electronics</v>
          </cell>
          <cell r="L22" t="str">
            <v>Center Pivot System and Equipment</v>
          </cell>
          <cell r="M22" t="str">
            <v>Air Conditioners</v>
          </cell>
        </row>
        <row r="23">
          <cell r="A23" t="str">
            <v>C-Gro-Lgt-LPD Int-All-All-C</v>
          </cell>
          <cell r="C23" t="str">
            <v>Agricultural</v>
          </cell>
          <cell r="D23" t="str">
            <v>Compressed Air</v>
          </cell>
          <cell r="E23" t="str">
            <v>Compressed Air System Improvements</v>
          </cell>
          <cell r="F23" t="str">
            <v>Compressed Air System Compressor Improvements (non-VFD)</v>
          </cell>
          <cell r="J23" t="str">
            <v>Industrial</v>
          </cell>
          <cell r="K23" t="str">
            <v>Facility Distribution System</v>
          </cell>
          <cell r="L23" t="str">
            <v>Compressed Air System Controls</v>
          </cell>
          <cell r="M23" t="str">
            <v>Air Sealing</v>
          </cell>
        </row>
        <row r="24">
          <cell r="A24" t="str">
            <v>C-Gro-Ref-All-All-All-E</v>
          </cell>
          <cell r="C24" t="str">
            <v>Agricultural</v>
          </cell>
          <cell r="D24" t="str">
            <v>Compressed Air</v>
          </cell>
          <cell r="E24" t="str">
            <v>Compressed Air System Improvements</v>
          </cell>
          <cell r="F24" t="str">
            <v>Compressed Air System Compressor Improvements (VFD)</v>
          </cell>
          <cell r="J24" t="str">
            <v>Residential</v>
          </cell>
          <cell r="K24" t="str">
            <v>Food Preparation</v>
          </cell>
          <cell r="L24" t="str">
            <v>Compressed Air System Improvements</v>
          </cell>
          <cell r="M24" t="str">
            <v>Air-Source Heat Pumps</v>
          </cell>
        </row>
        <row r="25">
          <cell r="A25" t="str">
            <v>C-Hea-HVAC-ER-All-All-C</v>
          </cell>
          <cell r="C25" t="str">
            <v>Agricultural</v>
          </cell>
          <cell r="D25" t="str">
            <v>Compressed Air</v>
          </cell>
          <cell r="E25" t="str">
            <v>Compressed Air System Improvements</v>
          </cell>
          <cell r="F25" t="str">
            <v>Compressed Air System Demand Side Improvements</v>
          </cell>
          <cell r="J25" t="str">
            <v>Utility System Efficiency</v>
          </cell>
          <cell r="K25" t="str">
            <v>HVAC</v>
          </cell>
          <cell r="L25" t="str">
            <v>Computer Technologies</v>
          </cell>
          <cell r="M25" t="str">
            <v>Air-Source Heat Pumps w/Duct Sealing</v>
          </cell>
        </row>
        <row r="26">
          <cell r="A26" t="str">
            <v>C-Hea-HVAC-Vent-All-All-C</v>
          </cell>
          <cell r="C26" t="str">
            <v>Agricultural</v>
          </cell>
          <cell r="D26" t="str">
            <v>Compressed Air</v>
          </cell>
          <cell r="E26" t="str">
            <v>Compressed Air System Improvements</v>
          </cell>
          <cell r="F26" t="str">
            <v>Compressed Air System Dryer Improvements</v>
          </cell>
          <cell r="K26" t="str">
            <v>Irrigation</v>
          </cell>
          <cell r="L26" t="str">
            <v>Conductors</v>
          </cell>
          <cell r="M26" t="str">
            <v>Air-Source Heat Pumps w/o Duct Sealing</v>
          </cell>
        </row>
        <row r="27">
          <cell r="A27" t="str">
            <v>C-Hea-WH-All-All-All-C</v>
          </cell>
          <cell r="C27" t="str">
            <v>Agricultural</v>
          </cell>
          <cell r="D27" t="str">
            <v>Compressed Air</v>
          </cell>
          <cell r="E27" t="str">
            <v>Compressed Air System Improvements</v>
          </cell>
          <cell r="F27" t="str">
            <v>Compressed Air System Regulation Improvements</v>
          </cell>
          <cell r="K27" t="str">
            <v>Lighting</v>
          </cell>
          <cell r="L27" t="str">
            <v>Cooking</v>
          </cell>
          <cell r="M27" t="str">
            <v>Auto Closers</v>
          </cell>
        </row>
        <row r="28">
          <cell r="A28" t="str">
            <v>C-Hos-Lgt-LPD Int-All-All-C</v>
          </cell>
          <cell r="C28" t="str">
            <v>Agricultural</v>
          </cell>
          <cell r="D28" t="str">
            <v>Compressed Air</v>
          </cell>
          <cell r="E28" t="str">
            <v>Compressed Air System Improvements</v>
          </cell>
          <cell r="F28" t="str">
            <v>Compressed Air System Storage Improvements</v>
          </cell>
          <cell r="K28" t="str">
            <v>Motors/Drives</v>
          </cell>
          <cell r="L28" t="str">
            <v>Dairy System Improvements</v>
          </cell>
          <cell r="M28" t="str">
            <v>Behavioral</v>
          </cell>
        </row>
        <row r="29">
          <cell r="A29" t="str">
            <v>C-K12-Lgt-LPD Int-All-All-C</v>
          </cell>
          <cell r="C29" t="str">
            <v>Agricultural</v>
          </cell>
          <cell r="D29" t="str">
            <v>Compressed Air</v>
          </cell>
          <cell r="E29" t="str">
            <v>Compressed Air System Improvements</v>
          </cell>
          <cell r="F29" t="str">
            <v>Compressed Air System Supply Side Improvements</v>
          </cell>
          <cell r="K29" t="str">
            <v>Process Loads</v>
          </cell>
          <cell r="L29" t="str">
            <v>Delamping</v>
          </cell>
          <cell r="M29" t="str">
            <v>Bi-Radient Oven</v>
          </cell>
        </row>
        <row r="30">
          <cell r="A30" t="str">
            <v>C-K12-WH-All-All-All-C</v>
          </cell>
          <cell r="C30" t="str">
            <v>Agricultural</v>
          </cell>
          <cell r="D30" t="str">
            <v>Compressed Air</v>
          </cell>
          <cell r="E30" t="str">
            <v>Compressed Air System Improvements</v>
          </cell>
          <cell r="F30" t="str">
            <v>Compressors</v>
          </cell>
          <cell r="K30" t="str">
            <v>Refrigeration</v>
          </cell>
          <cell r="L30" t="str">
            <v>Discharge Fitting Equipment</v>
          </cell>
          <cell r="M30" t="str">
            <v>Blower System Improvements</v>
          </cell>
        </row>
        <row r="31">
          <cell r="A31" t="str">
            <v>C-Lod-HVAC-ER-All-All-C</v>
          </cell>
          <cell r="C31" t="str">
            <v>Agricultural</v>
          </cell>
          <cell r="D31" t="str">
            <v>Compressed Air</v>
          </cell>
          <cell r="E31" t="str">
            <v>Compressed Air System Improvements</v>
          </cell>
          <cell r="F31" t="str">
            <v>Interactive Compressed Air System Supply/Demand Improvements</v>
          </cell>
          <cell r="K31" t="str">
            <v>Utility Distribution System</v>
          </cell>
          <cell r="L31" t="str">
            <v>Elevators</v>
          </cell>
          <cell r="M31" t="str">
            <v>Building Commissioning Improvements</v>
          </cell>
        </row>
        <row r="32">
          <cell r="A32" t="str">
            <v>C-Lod-Lgt-LPD Int-All-All-C</v>
          </cell>
          <cell r="C32" t="str">
            <v>Agricultural</v>
          </cell>
          <cell r="D32" t="str">
            <v>Compressed Air</v>
          </cell>
          <cell r="E32" t="str">
            <v>Heat Recovery</v>
          </cell>
          <cell r="F32" t="str">
            <v>Heat Recovery Improvements</v>
          </cell>
          <cell r="K32" t="str">
            <v xml:space="preserve">Utility Distribution System </v>
          </cell>
          <cell r="L32" t="str">
            <v>Entertainment</v>
          </cell>
          <cell r="M32" t="str">
            <v>Built Green Home</v>
          </cell>
        </row>
        <row r="33">
          <cell r="A33" t="str">
            <v>C-Lod-WH-All-All-All-C</v>
          </cell>
          <cell r="C33" t="str">
            <v>Agricultural</v>
          </cell>
          <cell r="D33" t="str">
            <v>HVAC</v>
          </cell>
          <cell r="E33" t="str">
            <v>HVAC System Improvements</v>
          </cell>
          <cell r="F33" t="str">
            <v>Interactive HVAC System Improvements</v>
          </cell>
          <cell r="K33" t="str">
            <v>Utility Generation System</v>
          </cell>
          <cell r="L33" t="str">
            <v>Envelope</v>
          </cell>
          <cell r="M33" t="str">
            <v>Case Lighting</v>
          </cell>
        </row>
        <row r="34">
          <cell r="A34" t="str">
            <v>C-LOff-CA-All-All-All-C</v>
          </cell>
          <cell r="C34" t="str">
            <v>Agricultural</v>
          </cell>
          <cell r="D34" t="str">
            <v>Irrigation</v>
          </cell>
          <cell r="E34" t="str">
            <v>Center Pivot System and Equipment</v>
          </cell>
          <cell r="F34" t="str">
            <v>Center Pivot Conversions</v>
          </cell>
          <cell r="K34" t="str">
            <v>Utility Transmission System</v>
          </cell>
          <cell r="L34" t="str">
            <v>Escalators</v>
          </cell>
          <cell r="M34" t="str">
            <v>Case Lighting Delamping</v>
          </cell>
        </row>
        <row r="35">
          <cell r="A35" t="str">
            <v>C-LOff-HVAC-ER-All-All-C</v>
          </cell>
          <cell r="C35" t="str">
            <v>Agricultural</v>
          </cell>
          <cell r="D35" t="str">
            <v>Irrigation</v>
          </cell>
          <cell r="E35" t="str">
            <v>Center Pivot System and Equipment</v>
          </cell>
          <cell r="F35" t="str">
            <v>Reduce System Friction Head</v>
          </cell>
          <cell r="K35" t="str">
            <v xml:space="preserve">Utility Transmission System </v>
          </cell>
          <cell r="L35" t="str">
            <v>Freezers</v>
          </cell>
          <cell r="M35" t="str">
            <v>Cases</v>
          </cell>
        </row>
        <row r="36">
          <cell r="A36" t="str">
            <v>C-LOff-Lgt-LPD Int-All-All-C</v>
          </cell>
          <cell r="C36" t="str">
            <v>Agricultural</v>
          </cell>
          <cell r="D36" t="str">
            <v>Irrigation</v>
          </cell>
          <cell r="E36" t="str">
            <v>Center Pivot System and Equipment</v>
          </cell>
          <cell r="F36" t="str">
            <v xml:space="preserve">Reduce System Friction Head </v>
          </cell>
          <cell r="K36" t="str">
            <v>Water Heating</v>
          </cell>
          <cell r="L36" t="str">
            <v>Handmove and Sideroll System and Equipment</v>
          </cell>
          <cell r="M36" t="str">
            <v>Center Pivot Conversions</v>
          </cell>
        </row>
        <row r="37">
          <cell r="A37" t="str">
            <v>C-LOff-WH-All-All-All-C</v>
          </cell>
          <cell r="C37" t="str">
            <v>Agricultural</v>
          </cell>
          <cell r="D37" t="str">
            <v>Irrigation</v>
          </cell>
          <cell r="E37" t="str">
            <v>Center Pivot System and Equipment</v>
          </cell>
          <cell r="F37" t="str">
            <v>Reduce System Leakage</v>
          </cell>
          <cell r="K37" t="str">
            <v>Whole Bldg/Meter Level</v>
          </cell>
          <cell r="L37" t="str">
            <v>Hardware</v>
          </cell>
          <cell r="M37" t="str">
            <v>Centrifugal Chiller Improvements</v>
          </cell>
        </row>
        <row r="38">
          <cell r="A38" t="str">
            <v>C-Misc-CA-All-All-All-C</v>
          </cell>
          <cell r="C38" t="str">
            <v>Agricultural</v>
          </cell>
          <cell r="D38" t="str">
            <v>Irrigation</v>
          </cell>
          <cell r="E38" t="str">
            <v>Center Pivot System and Equipment</v>
          </cell>
          <cell r="F38" t="str">
            <v>Reduce System Lift</v>
          </cell>
          <cell r="L38" t="str">
            <v>Heat Recovery</v>
          </cell>
          <cell r="M38" t="str">
            <v>Centrifugal Pump System Improvements</v>
          </cell>
        </row>
        <row r="39">
          <cell r="A39" t="str">
            <v>C-Misc-HVAC-ER-All-All-C</v>
          </cell>
          <cell r="C39" t="str">
            <v>Agricultural</v>
          </cell>
          <cell r="D39" t="str">
            <v>Irrigation</v>
          </cell>
          <cell r="E39" t="str">
            <v>Center Pivot System and Equipment</v>
          </cell>
          <cell r="F39" t="str">
            <v>System Water Delivery Improvements</v>
          </cell>
          <cell r="L39" t="str">
            <v>Homes</v>
          </cell>
          <cell r="M39" t="str">
            <v>Change in Water Source</v>
          </cell>
        </row>
        <row r="40">
          <cell r="A40" t="str">
            <v>C-Off-HVAC-Vent-All-All-E</v>
          </cell>
          <cell r="C40" t="str">
            <v>Agricultural</v>
          </cell>
          <cell r="D40" t="str">
            <v>Irrigation</v>
          </cell>
          <cell r="E40" t="str">
            <v>Discharge Fitting Equipment</v>
          </cell>
          <cell r="F40" t="str">
            <v>Drop Installation for Spray Heads and Pressure Regulators</v>
          </cell>
          <cell r="L40" t="str">
            <v>HVAC System</v>
          </cell>
          <cell r="M40" t="str">
            <v>Chiller Improvements</v>
          </cell>
        </row>
        <row r="41">
          <cell r="A41" t="str">
            <v>C-Off-Lgt-LPD Ext-All-All-E</v>
          </cell>
          <cell r="C41" t="str">
            <v>Agricultural</v>
          </cell>
          <cell r="D41" t="str">
            <v>Irrigation</v>
          </cell>
          <cell r="E41" t="str">
            <v>Discharge Fitting Equipment</v>
          </cell>
          <cell r="F41" t="str">
            <v>Flow Control Nozzles and Diffuser</v>
          </cell>
          <cell r="L41" t="str">
            <v>HVAC System Controls</v>
          </cell>
          <cell r="M41" t="str">
            <v>Clothes Washers</v>
          </cell>
        </row>
        <row r="42">
          <cell r="A42" t="str">
            <v>C-Off-Plug-CPU-All-All-C</v>
          </cell>
          <cell r="C42" t="str">
            <v>Agricultural</v>
          </cell>
          <cell r="D42" t="str">
            <v>Irrigation</v>
          </cell>
          <cell r="E42" t="str">
            <v>Discharge Fitting Equipment</v>
          </cell>
          <cell r="F42" t="str">
            <v>Impact Sprinkler Heads</v>
          </cell>
          <cell r="L42" t="str">
            <v>HVAC System Improvements</v>
          </cell>
          <cell r="M42" t="str">
            <v>Commissioning Controls Sizing</v>
          </cell>
        </row>
        <row r="43">
          <cell r="A43" t="str">
            <v>Commercial-All Com-Cool</v>
          </cell>
          <cell r="C43" t="str">
            <v>Agricultural</v>
          </cell>
          <cell r="D43" t="str">
            <v>Irrigation</v>
          </cell>
          <cell r="E43" t="str">
            <v>Discharge Fitting Equipment</v>
          </cell>
          <cell r="F43" t="str">
            <v>Low Angle Heads</v>
          </cell>
          <cell r="L43" t="str">
            <v>Insulators</v>
          </cell>
          <cell r="M43" t="str">
            <v>Compressed Air Control Improvements (non-VFD)</v>
          </cell>
        </row>
        <row r="44">
          <cell r="A44" t="str">
            <v>Commercial-All Com-ExtLight</v>
          </cell>
          <cell r="C44" t="str">
            <v>Agricultural</v>
          </cell>
          <cell r="D44" t="str">
            <v>Irrigation</v>
          </cell>
          <cell r="E44" t="str">
            <v>Discharge Fitting Equipment</v>
          </cell>
          <cell r="F44" t="str">
            <v>Low Pressure End guns/Big guns</v>
          </cell>
          <cell r="L44" t="str">
            <v>Irrigation System Improvements</v>
          </cell>
          <cell r="M44" t="str">
            <v>Compressed Air Control Improvements (VFD)</v>
          </cell>
        </row>
        <row r="45">
          <cell r="A45" t="str">
            <v>Commercial-All Com-IntLight</v>
          </cell>
          <cell r="C45" t="str">
            <v>Agricultural</v>
          </cell>
          <cell r="D45" t="str">
            <v>Irrigation</v>
          </cell>
          <cell r="E45" t="str">
            <v>Discharge Fitting Equipment</v>
          </cell>
          <cell r="F45" t="str">
            <v>Nozzle Replacement</v>
          </cell>
          <cell r="L45" t="str">
            <v>Lamps/Ballasts/Fixtures</v>
          </cell>
          <cell r="M45" t="str">
            <v>Compressed Air System Compressor Improvements (non-VFD)</v>
          </cell>
        </row>
        <row r="46">
          <cell r="A46" t="str">
            <v>Commercial-All Com-Misc</v>
          </cell>
          <cell r="C46" t="str">
            <v>Agricultural</v>
          </cell>
          <cell r="D46" t="str">
            <v>Irrigation</v>
          </cell>
          <cell r="E46" t="str">
            <v>Discharge Fitting Equipment</v>
          </cell>
          <cell r="F46" t="str">
            <v>Spray Heads</v>
          </cell>
          <cell r="L46" t="str">
            <v>Lamps/Fixtures</v>
          </cell>
          <cell r="M46" t="str">
            <v>Compressed Air System Compressor Improvements (VFD)</v>
          </cell>
        </row>
        <row r="47">
          <cell r="A47" t="str">
            <v>Commercial-All Com-OffEquip</v>
          </cell>
          <cell r="C47" t="str">
            <v>Agricultural</v>
          </cell>
          <cell r="D47" t="str">
            <v>Irrigation</v>
          </cell>
          <cell r="E47" t="str">
            <v>Handmove and Sideroll System and Equipment</v>
          </cell>
          <cell r="F47" t="str">
            <v>Reduce System Friction Head</v>
          </cell>
          <cell r="L47" t="str">
            <v>Lighting Controls</v>
          </cell>
          <cell r="M47" t="str">
            <v>Compressed Air System Demand Side Improvements</v>
          </cell>
        </row>
        <row r="48">
          <cell r="A48" t="str">
            <v>Commercial-All Com-Process</v>
          </cell>
          <cell r="C48" t="str">
            <v>Agricultural</v>
          </cell>
          <cell r="D48" t="str">
            <v>Irrigation</v>
          </cell>
          <cell r="E48" t="str">
            <v>Handmove and Sideroll System and Equipment</v>
          </cell>
          <cell r="F48" t="str">
            <v>Reduce System Leakage</v>
          </cell>
          <cell r="L48" t="str">
            <v>Livestock Tanks</v>
          </cell>
          <cell r="M48" t="str">
            <v>Compressed Air System Dryer Improvements</v>
          </cell>
        </row>
        <row r="49">
          <cell r="A49" t="str">
            <v>Commercial-All Com-Vent</v>
          </cell>
          <cell r="C49" t="str">
            <v>Agricultural</v>
          </cell>
          <cell r="D49" t="str">
            <v>Irrigation</v>
          </cell>
          <cell r="E49" t="str">
            <v>Handmove and Sideroll System and Equipment</v>
          </cell>
          <cell r="F49" t="str">
            <v>Reduce System Lift</v>
          </cell>
          <cell r="L49" t="str">
            <v>Mainline System and Equipment</v>
          </cell>
          <cell r="M49" t="str">
            <v>Compressed Air System Regulation Improvements</v>
          </cell>
        </row>
        <row r="50">
          <cell r="A50" t="str">
            <v>Commercial-college-AirComp</v>
          </cell>
          <cell r="C50" t="str">
            <v>Agricultural</v>
          </cell>
          <cell r="D50" t="str">
            <v>Irrigation</v>
          </cell>
          <cell r="E50" t="str">
            <v>Handmove and Sideroll System and Equipment</v>
          </cell>
          <cell r="F50" t="str">
            <v>System Water Delivery Improvements</v>
          </cell>
          <cell r="L50" t="str">
            <v>Motors</v>
          </cell>
          <cell r="M50" t="str">
            <v>Compressed Air System Storage Improvements</v>
          </cell>
        </row>
        <row r="51">
          <cell r="A51" t="str">
            <v>Commercial-college-Cook</v>
          </cell>
          <cell r="C51" t="str">
            <v>Agricultural</v>
          </cell>
          <cell r="D51" t="str">
            <v>Irrigation</v>
          </cell>
          <cell r="E51" t="str">
            <v>Hardware</v>
          </cell>
          <cell r="F51" t="str">
            <v>Drain Replacement</v>
          </cell>
          <cell r="L51" t="str">
            <v>Motors/Drives Controls</v>
          </cell>
          <cell r="M51" t="str">
            <v>Compressed Air System Supply Side Improvements</v>
          </cell>
        </row>
        <row r="52">
          <cell r="A52" t="str">
            <v>Commercial-college-Cool</v>
          </cell>
          <cell r="C52" t="str">
            <v>Agricultural</v>
          </cell>
          <cell r="D52" t="str">
            <v>Irrigation</v>
          </cell>
          <cell r="E52" t="str">
            <v>Hardware</v>
          </cell>
          <cell r="F52" t="str">
            <v>Drop Tube/Hose Extension</v>
          </cell>
          <cell r="L52" t="str">
            <v>Operation</v>
          </cell>
          <cell r="M52" t="str">
            <v>Compressors</v>
          </cell>
        </row>
        <row r="53">
          <cell r="A53" t="str">
            <v>Commercial-college-ExtLight</v>
          </cell>
          <cell r="C53" t="str">
            <v>Agricultural</v>
          </cell>
          <cell r="D53" t="str">
            <v>Irrigation</v>
          </cell>
          <cell r="E53" t="str">
            <v>Hardware</v>
          </cell>
          <cell r="F53" t="str">
            <v>Gasket Replacement</v>
          </cell>
          <cell r="L53" t="str">
            <v>Packaged Refrigeration</v>
          </cell>
          <cell r="M53" t="str">
            <v>Condensor Fan System Improvements</v>
          </cell>
        </row>
        <row r="54">
          <cell r="A54" t="str">
            <v>Commercial-college-Misc</v>
          </cell>
          <cell r="C54" t="str">
            <v>Agricultural</v>
          </cell>
          <cell r="D54" t="str">
            <v>Irrigation</v>
          </cell>
          <cell r="E54" t="str">
            <v>Hardware</v>
          </cell>
          <cell r="F54" t="str">
            <v>Goose Necks</v>
          </cell>
          <cell r="L54" t="str">
            <v>Pipe Insulation</v>
          </cell>
          <cell r="M54" t="str">
            <v>Condensors</v>
          </cell>
        </row>
        <row r="55">
          <cell r="A55" t="str">
            <v>Commercial-college-Motors</v>
          </cell>
          <cell r="C55" t="str">
            <v>Agricultural</v>
          </cell>
          <cell r="D55" t="str">
            <v>Irrigation</v>
          </cell>
          <cell r="E55" t="str">
            <v>Hardware</v>
          </cell>
          <cell r="F55" t="str">
            <v>Hub Replacement</v>
          </cell>
          <cell r="L55" t="str">
            <v xml:space="preserve">Plug Load </v>
          </cell>
          <cell r="M55" t="str">
            <v>Conservation Voltage Reduction (CVR)</v>
          </cell>
        </row>
        <row r="56">
          <cell r="A56" t="str">
            <v>Commercial-college-OffEquip</v>
          </cell>
          <cell r="C56" t="str">
            <v>Agricultural</v>
          </cell>
          <cell r="D56" t="str">
            <v>Irrigation</v>
          </cell>
          <cell r="E56" t="str">
            <v>Hardware</v>
          </cell>
          <cell r="F56" t="str">
            <v>Leveler Rebuild</v>
          </cell>
          <cell r="L56" t="str">
            <v>Pool System Improvements</v>
          </cell>
          <cell r="M56" t="str">
            <v>Control Panels</v>
          </cell>
        </row>
        <row r="57">
          <cell r="A57" t="str">
            <v>Commercial-college-Process</v>
          </cell>
          <cell r="C57" t="str">
            <v>Agricultural</v>
          </cell>
          <cell r="D57" t="str">
            <v>Irrigation</v>
          </cell>
          <cell r="E57" t="str">
            <v>Hardware</v>
          </cell>
          <cell r="F57" t="str">
            <v>Line Repairs</v>
          </cell>
          <cell r="L57" t="str">
            <v>Power Factor Improvements</v>
          </cell>
          <cell r="M57" t="str">
            <v>Cooking Equipment</v>
          </cell>
        </row>
        <row r="58">
          <cell r="A58" t="str">
            <v>Commercial-college-Refrig</v>
          </cell>
          <cell r="C58" t="str">
            <v>Agricultural</v>
          </cell>
          <cell r="D58" t="str">
            <v>Irrigation</v>
          </cell>
          <cell r="E58" t="str">
            <v>Hardware</v>
          </cell>
          <cell r="F58" t="str">
            <v>Multi-Trajectory Sprays</v>
          </cell>
          <cell r="L58" t="str">
            <v>Process Loads System Controls</v>
          </cell>
          <cell r="M58" t="str">
            <v>Dairy Milking Machine Control Improvements (VFD)</v>
          </cell>
        </row>
        <row r="59">
          <cell r="A59" t="str">
            <v>Commercial-college-Vent</v>
          </cell>
          <cell r="C59" t="str">
            <v>Agricultural</v>
          </cell>
          <cell r="D59" t="str">
            <v>Irrigation</v>
          </cell>
          <cell r="E59" t="str">
            <v>Hardware</v>
          </cell>
          <cell r="F59" t="str">
            <v>Nozzle Replacement</v>
          </cell>
          <cell r="L59" t="str">
            <v>Process Loads System Improvements</v>
          </cell>
          <cell r="M59" t="str">
            <v>Daylighting</v>
          </cell>
        </row>
        <row r="60">
          <cell r="A60" t="str">
            <v>Commercial-Grocery-AirComp</v>
          </cell>
          <cell r="C60" t="str">
            <v>Agricultural</v>
          </cell>
          <cell r="D60" t="str">
            <v>Irrigation</v>
          </cell>
          <cell r="E60" t="str">
            <v>Hardware</v>
          </cell>
          <cell r="F60" t="str">
            <v>Pipe Repair</v>
          </cell>
          <cell r="L60" t="str">
            <v>Pumps and Fans</v>
          </cell>
          <cell r="M60" t="str">
            <v>De-Energization</v>
          </cell>
        </row>
        <row r="61">
          <cell r="A61" t="str">
            <v>Commercial-Grocery-Cook</v>
          </cell>
          <cell r="C61" t="str">
            <v>Agricultural</v>
          </cell>
          <cell r="D61" t="str">
            <v>Irrigation</v>
          </cell>
          <cell r="E61" t="str">
            <v>Hardware</v>
          </cell>
          <cell r="F61" t="str">
            <v>Regulator Replacement</v>
          </cell>
          <cell r="L61" t="str">
            <v>Refrigeration System Controls</v>
          </cell>
          <cell r="M61" t="str">
            <v>Defrost Control Improvements</v>
          </cell>
        </row>
        <row r="62">
          <cell r="A62" t="str">
            <v>Commercial-Grocery-Cool</v>
          </cell>
          <cell r="C62" t="str">
            <v>Agricultural</v>
          </cell>
          <cell r="D62" t="str">
            <v>Irrigation</v>
          </cell>
          <cell r="E62" t="str">
            <v>Hardware</v>
          </cell>
          <cell r="F62" t="str">
            <v>Sprinkler Replacements</v>
          </cell>
          <cell r="L62" t="str">
            <v>Refrigeration System Improvements</v>
          </cell>
          <cell r="M62" t="str">
            <v>Delamping</v>
          </cell>
        </row>
        <row r="63">
          <cell r="A63" t="str">
            <v>Commercial-Grocery-ExtLight</v>
          </cell>
          <cell r="C63" t="str">
            <v>Agricultural</v>
          </cell>
          <cell r="D63" t="str">
            <v>Irrigation</v>
          </cell>
          <cell r="E63" t="str">
            <v>Irrigation System Improvements</v>
          </cell>
          <cell r="F63" t="str">
            <v>Change in Water Source</v>
          </cell>
          <cell r="L63" t="str">
            <v>Refrigerators</v>
          </cell>
          <cell r="M63" t="str">
            <v>Dishwashers</v>
          </cell>
        </row>
        <row r="64">
          <cell r="A64" t="str">
            <v>Commercial-Grocery-HotWater</v>
          </cell>
          <cell r="C64" t="str">
            <v>Agricultural</v>
          </cell>
          <cell r="D64" t="str">
            <v>Irrigation</v>
          </cell>
          <cell r="E64" t="str">
            <v>Irrigation System Improvements</v>
          </cell>
          <cell r="F64" t="str">
            <v>Irrigation System Improvements</v>
          </cell>
          <cell r="L64" t="str">
            <v>Signs and Signals</v>
          </cell>
          <cell r="M64" t="str">
            <v>Doors</v>
          </cell>
        </row>
        <row r="65">
          <cell r="A65" t="str">
            <v>Commercial-Grocery-Misc</v>
          </cell>
          <cell r="C65" t="str">
            <v>Agricultural</v>
          </cell>
          <cell r="D65" t="str">
            <v>Irrigation</v>
          </cell>
          <cell r="E65" t="str">
            <v>Irrigation System Improvements</v>
          </cell>
          <cell r="F65" t="str">
            <v>Reduce Delivery System Leakage</v>
          </cell>
          <cell r="L65" t="str">
            <v>Suction Fittings Equipment</v>
          </cell>
          <cell r="M65" t="str">
            <v>Drain Replacement</v>
          </cell>
        </row>
        <row r="66">
          <cell r="A66" t="str">
            <v>Commercial-Grocery-Motors</v>
          </cell>
          <cell r="C66" t="str">
            <v>Agricultural</v>
          </cell>
          <cell r="D66" t="str">
            <v>Irrigation</v>
          </cell>
          <cell r="E66" t="str">
            <v>Mainline System and Equipment</v>
          </cell>
          <cell r="F66" t="str">
            <v>Interactive Mainline System and Equipment Improvements</v>
          </cell>
          <cell r="L66" t="str">
            <v>System Efficiency Improvements</v>
          </cell>
          <cell r="M66" t="str">
            <v>Drop Installation for Spray Heads and Pressure Regulators</v>
          </cell>
        </row>
        <row r="67">
          <cell r="A67" t="str">
            <v>Commercial-Grocery-OffEquip</v>
          </cell>
          <cell r="C67" t="str">
            <v>Agricultural</v>
          </cell>
          <cell r="D67" t="str">
            <v>Irrigation</v>
          </cell>
          <cell r="E67" t="str">
            <v>Mainline System and Equipment</v>
          </cell>
          <cell r="F67" t="str">
            <v>Mainline System Pump Improvements</v>
          </cell>
          <cell r="L67" t="str">
            <v>Transformers</v>
          </cell>
          <cell r="M67" t="str">
            <v>Drop Tube/Hose Extension</v>
          </cell>
        </row>
        <row r="68">
          <cell r="A68" t="str">
            <v>Commercial-Grocery-Process</v>
          </cell>
          <cell r="C68" t="str">
            <v>Agricultural</v>
          </cell>
          <cell r="D68" t="str">
            <v>Irrigation</v>
          </cell>
          <cell r="E68" t="str">
            <v>Mainline System and Equipment</v>
          </cell>
          <cell r="F68" t="str">
            <v>Reduce Friction Loss</v>
          </cell>
          <cell r="L68" t="str">
            <v>Utility Station Service Loads</v>
          </cell>
          <cell r="M68" t="str">
            <v>Duct Insulation</v>
          </cell>
        </row>
        <row r="69">
          <cell r="A69" t="str">
            <v>Commercial-Grocery-Refrig</v>
          </cell>
          <cell r="C69" t="str">
            <v>Agricultural</v>
          </cell>
          <cell r="D69" t="str">
            <v>Irrigation</v>
          </cell>
          <cell r="E69" t="str">
            <v>Mainline System and Equipment</v>
          </cell>
          <cell r="F69" t="str">
            <v xml:space="preserve">Reduce System Friction Head </v>
          </cell>
          <cell r="L69" t="str">
            <v>Voltage Management</v>
          </cell>
          <cell r="M69" t="str">
            <v>Duct Sealing</v>
          </cell>
        </row>
        <row r="70">
          <cell r="A70" t="str">
            <v>Commercial-Grocery-Vent</v>
          </cell>
          <cell r="C70" t="str">
            <v>Agricultural</v>
          </cell>
          <cell r="D70" t="str">
            <v>Irrigation</v>
          </cell>
          <cell r="E70" t="str">
            <v>Mainline System and Equipment</v>
          </cell>
          <cell r="F70" t="str">
            <v>Reduce System Leakage</v>
          </cell>
          <cell r="L70" t="str">
            <v>Wastewater System Improvements</v>
          </cell>
          <cell r="M70" t="str">
            <v>Ductless Heat Pumps</v>
          </cell>
        </row>
        <row r="71">
          <cell r="A71" t="str">
            <v>Commercial-Healthcare-AirComp</v>
          </cell>
          <cell r="C71" t="str">
            <v>Agricultural</v>
          </cell>
          <cell r="D71" t="str">
            <v>Irrigation</v>
          </cell>
          <cell r="E71" t="str">
            <v>Mainline System and Equipment</v>
          </cell>
          <cell r="F71" t="str">
            <v>Reduce System Lift</v>
          </cell>
          <cell r="L71" t="str">
            <v>Water Heaters</v>
          </cell>
          <cell r="M71" t="str">
            <v>Economizer System Improvements</v>
          </cell>
        </row>
        <row r="72">
          <cell r="A72" t="str">
            <v>Commercial-Healthcare-Cook</v>
          </cell>
          <cell r="C72" t="str">
            <v>Agricultural</v>
          </cell>
          <cell r="D72" t="str">
            <v>Irrigation</v>
          </cell>
          <cell r="E72" t="str">
            <v>Mainline System and Equipment</v>
          </cell>
          <cell r="F72" t="str">
            <v>System Water Delivery Improvements</v>
          </cell>
          <cell r="L72" t="str">
            <v>Water Heating Controls</v>
          </cell>
          <cell r="M72" t="str">
            <v>EcoRated Home</v>
          </cell>
        </row>
        <row r="73">
          <cell r="A73" t="str">
            <v>Commercial-Healthcare-Cool</v>
          </cell>
          <cell r="C73" t="str">
            <v>Agricultural</v>
          </cell>
          <cell r="D73" t="str">
            <v>Irrigation</v>
          </cell>
          <cell r="E73" t="str">
            <v>Pumps and Fans</v>
          </cell>
          <cell r="F73" t="str">
            <v>Centrifugal Pump System Improvements</v>
          </cell>
          <cell r="L73" t="str">
            <v>Water Management</v>
          </cell>
          <cell r="M73" t="str">
            <v>Electric Combination Ovens</v>
          </cell>
        </row>
        <row r="74">
          <cell r="A74" t="str">
            <v>Commercial-Healthcare-ExtLight</v>
          </cell>
          <cell r="C74" t="str">
            <v>Agricultural</v>
          </cell>
          <cell r="D74" t="str">
            <v>Irrigation</v>
          </cell>
          <cell r="E74" t="str">
            <v>Pumps and Fans</v>
          </cell>
          <cell r="F74" t="str">
            <v>Pump Testing Service</v>
          </cell>
          <cell r="L74" t="str">
            <v>Water Using Devices</v>
          </cell>
          <cell r="M74" t="str">
            <v>Electric Commercial Steam Cookers</v>
          </cell>
        </row>
        <row r="75">
          <cell r="A75" t="str">
            <v>Commercial-Healthcare-Misc</v>
          </cell>
          <cell r="C75" t="str">
            <v>Agricultural</v>
          </cell>
          <cell r="D75" t="str">
            <v>Irrigation</v>
          </cell>
          <cell r="E75" t="str">
            <v>Pumps and Fans</v>
          </cell>
          <cell r="F75" t="str">
            <v>Turbine Pump System Improvements</v>
          </cell>
          <cell r="L75" t="str">
            <v>Whole Bldg/Meter Level System Improvements</v>
          </cell>
          <cell r="M75" t="str">
            <v>Electric Convection Ovens</v>
          </cell>
        </row>
        <row r="76">
          <cell r="A76" t="str">
            <v>Commercial-Healthcare-Motors</v>
          </cell>
          <cell r="C76" t="str">
            <v>Agricultural</v>
          </cell>
          <cell r="D76" t="str">
            <v>Irrigation</v>
          </cell>
          <cell r="E76" t="str">
            <v>Pumps and Fans</v>
          </cell>
          <cell r="F76" t="str">
            <v>Vacuum Pump System Improvements</v>
          </cell>
          <cell r="M76" t="str">
            <v>Electric Fryers</v>
          </cell>
        </row>
        <row r="77">
          <cell r="A77" t="str">
            <v>Commercial-Healthcare-OffEquip</v>
          </cell>
          <cell r="C77" t="str">
            <v>Agricultural</v>
          </cell>
          <cell r="D77" t="str">
            <v>Irrigation</v>
          </cell>
          <cell r="E77" t="str">
            <v>Suction Fittings Equipment</v>
          </cell>
          <cell r="F77" t="str">
            <v>Reduce Cavitation</v>
          </cell>
          <cell r="M77" t="str">
            <v>Electronically Commutated Motor (ECM)</v>
          </cell>
        </row>
        <row r="78">
          <cell r="A78" t="str">
            <v>Commercial-Healthcare-Process</v>
          </cell>
          <cell r="C78" t="str">
            <v>Agricultural</v>
          </cell>
          <cell r="D78" t="str">
            <v>Irrigation</v>
          </cell>
          <cell r="E78" t="str">
            <v>Suction Fittings Equipment</v>
          </cell>
          <cell r="F78" t="str">
            <v xml:space="preserve">Reduce System Friction Head </v>
          </cell>
          <cell r="M78" t="str">
            <v>Elevators</v>
          </cell>
        </row>
        <row r="79">
          <cell r="A79" t="str">
            <v>Commercial-Healthcare-Refrig</v>
          </cell>
          <cell r="C79" t="str">
            <v>Agricultural</v>
          </cell>
          <cell r="D79" t="str">
            <v>Irrigation</v>
          </cell>
          <cell r="E79" t="str">
            <v>Suction Fittings Equipment</v>
          </cell>
          <cell r="F79" t="str">
            <v>Reduce System Leakage</v>
          </cell>
          <cell r="M79" t="str">
            <v>Energy Management Systems/System Controls</v>
          </cell>
        </row>
        <row r="80">
          <cell r="A80" t="str">
            <v>Commercial-large Office-Cook</v>
          </cell>
          <cell r="C80" t="str">
            <v>Agricultural</v>
          </cell>
          <cell r="D80" t="str">
            <v>Irrigation</v>
          </cell>
          <cell r="E80" t="str">
            <v>Suction Fittings Equipment</v>
          </cell>
          <cell r="F80" t="str">
            <v>Reduce System Lift</v>
          </cell>
          <cell r="M80" t="str">
            <v>Energy Star Home</v>
          </cell>
        </row>
        <row r="81">
          <cell r="A81" t="str">
            <v>Commercial-large Office-Cool</v>
          </cell>
          <cell r="C81" t="str">
            <v>Agricultural</v>
          </cell>
          <cell r="D81" t="str">
            <v>Irrigation</v>
          </cell>
          <cell r="E81" t="str">
            <v>Water Management</v>
          </cell>
          <cell r="F81" t="str">
            <v>Scientific Irrigation Scheduling</v>
          </cell>
          <cell r="M81" t="str">
            <v>Escalators</v>
          </cell>
        </row>
        <row r="82">
          <cell r="A82" t="str">
            <v>Commercial-large Office-ExtLight</v>
          </cell>
          <cell r="C82" t="str">
            <v>Agricultural</v>
          </cell>
          <cell r="D82" t="str">
            <v>Lighting</v>
          </cell>
          <cell r="E82" t="str">
            <v>Delamping</v>
          </cell>
          <cell r="F82" t="str">
            <v>Delamping</v>
          </cell>
          <cell r="M82" t="str">
            <v>Evaporator Coil Fan System Improvements</v>
          </cell>
        </row>
        <row r="83">
          <cell r="A83" t="str">
            <v>Commercial-large Office-Misc</v>
          </cell>
          <cell r="C83" t="str">
            <v>Agricultural</v>
          </cell>
          <cell r="D83" t="str">
            <v>Lighting</v>
          </cell>
          <cell r="E83" t="str">
            <v>Lamps/Ballasts/Fixtures</v>
          </cell>
          <cell r="F83" t="str">
            <v>Lamps/Ballasts</v>
          </cell>
          <cell r="M83" t="str">
            <v>Evaporator Fan System Improvements</v>
          </cell>
        </row>
        <row r="84">
          <cell r="A84" t="str">
            <v>Commercial-large Office-Motors</v>
          </cell>
          <cell r="C84" t="str">
            <v>Agricultural</v>
          </cell>
          <cell r="D84" t="str">
            <v>Lighting</v>
          </cell>
          <cell r="E84" t="str">
            <v>Lamps/Ballasts/Fixtures</v>
          </cell>
          <cell r="F84" t="str">
            <v>Lamps/Ballasts w/Controls</v>
          </cell>
          <cell r="M84" t="str">
            <v>Fan System Improvements</v>
          </cell>
        </row>
        <row r="85">
          <cell r="A85" t="str">
            <v>Commercial-large Office-OffEquip</v>
          </cell>
          <cell r="C85" t="str">
            <v>Agricultural</v>
          </cell>
          <cell r="D85" t="str">
            <v>Lighting</v>
          </cell>
          <cell r="E85" t="str">
            <v>Lamps/Ballasts/Fixtures</v>
          </cell>
          <cell r="F85" t="str">
            <v>Lamps/Ballasts w/Delamping</v>
          </cell>
          <cell r="M85" t="str">
            <v>Fast Acting Doors</v>
          </cell>
        </row>
        <row r="86">
          <cell r="A86" t="str">
            <v>Commercial-large Office-Process</v>
          </cell>
          <cell r="C86" t="str">
            <v>Agricultural</v>
          </cell>
          <cell r="D86" t="str">
            <v>Lighting</v>
          </cell>
          <cell r="E86" t="str">
            <v>Lamps/Ballasts/Fixtures</v>
          </cell>
          <cell r="F86" t="str">
            <v>Lamps/Ballasts w/Delamping and Controls</v>
          </cell>
          <cell r="M86" t="str">
            <v>Fixed and Switched Shunt Capacitor</v>
          </cell>
        </row>
        <row r="87">
          <cell r="A87" t="str">
            <v>Commercial-large Office-Refrig</v>
          </cell>
          <cell r="C87" t="str">
            <v>Agricultural</v>
          </cell>
          <cell r="D87" t="str">
            <v>Lighting</v>
          </cell>
          <cell r="E87" t="str">
            <v>Lamps/Ballasts/Fixtures</v>
          </cell>
          <cell r="F87" t="str">
            <v>Lamps/Ballasts/Fixtures</v>
          </cell>
          <cell r="M87" t="str">
            <v>Fixed and Swtiched Shunt Capacitor</v>
          </cell>
        </row>
        <row r="88">
          <cell r="A88" t="str">
            <v>Commercial-large Office-Vent</v>
          </cell>
          <cell r="C88" t="str">
            <v>Agricultural</v>
          </cell>
          <cell r="D88" t="str">
            <v>Lighting</v>
          </cell>
          <cell r="E88" t="str">
            <v>Lamps/Ballasts/Fixtures</v>
          </cell>
          <cell r="F88" t="str">
            <v>Lamps/Ballasts/Fixtures w/Controls</v>
          </cell>
          <cell r="M88" t="str">
            <v>Fixtures</v>
          </cell>
        </row>
        <row r="89">
          <cell r="A89" t="str">
            <v>Commercial-Lodging-AirComp</v>
          </cell>
          <cell r="C89" t="str">
            <v>Agricultural</v>
          </cell>
          <cell r="D89" t="str">
            <v>Lighting</v>
          </cell>
          <cell r="E89" t="str">
            <v>Lamps/Ballasts/Fixtures</v>
          </cell>
          <cell r="F89" t="str">
            <v>Lamps/Ballasts/Fixtures w/Delamping</v>
          </cell>
          <cell r="M89" t="str">
            <v>Flow Control Nozzles and Diffuser</v>
          </cell>
        </row>
        <row r="90">
          <cell r="A90" t="str">
            <v>Commercial-Lodging-Cook</v>
          </cell>
          <cell r="C90" t="str">
            <v>Agricultural</v>
          </cell>
          <cell r="D90" t="str">
            <v>Lighting</v>
          </cell>
          <cell r="E90" t="str">
            <v>Lamps/Ballasts/Fixtures</v>
          </cell>
          <cell r="F90" t="str">
            <v>Lamps/Ballasts/Fixtures w/Delamping and Controls</v>
          </cell>
          <cell r="M90" t="str">
            <v>Freeze Resistant Stock Tanks</v>
          </cell>
        </row>
        <row r="91">
          <cell r="A91" t="str">
            <v>Commercial-Lodging-Cool</v>
          </cell>
          <cell r="C91" t="str">
            <v>Agricultural</v>
          </cell>
          <cell r="D91" t="str">
            <v>Lighting</v>
          </cell>
          <cell r="E91" t="str">
            <v>Lamps/Ballasts/Fixtures</v>
          </cell>
          <cell r="F91" t="str">
            <v>Stall Lighting</v>
          </cell>
          <cell r="M91" t="str">
            <v>Freezer Decommissioning</v>
          </cell>
        </row>
        <row r="92">
          <cell r="A92" t="str">
            <v>Commercial-Lodging-ExtLight</v>
          </cell>
          <cell r="C92" t="str">
            <v>Agricultural</v>
          </cell>
          <cell r="D92" t="str">
            <v>Lighting</v>
          </cell>
          <cell r="E92" t="str">
            <v>Lighting Controls</v>
          </cell>
          <cell r="F92" t="str">
            <v>Control Panels</v>
          </cell>
          <cell r="M92" t="str">
            <v>Freezers</v>
          </cell>
        </row>
        <row r="93">
          <cell r="A93" t="str">
            <v>Commercial-Lodging-Misc</v>
          </cell>
          <cell r="C93" t="str">
            <v>Agricultural</v>
          </cell>
          <cell r="D93" t="str">
            <v>Lighting</v>
          </cell>
          <cell r="E93" t="str">
            <v>Lighting Controls</v>
          </cell>
          <cell r="F93" t="str">
            <v>Daylighting</v>
          </cell>
          <cell r="M93" t="str">
            <v>Gasket Replacement</v>
          </cell>
        </row>
        <row r="94">
          <cell r="A94" t="str">
            <v>Commercial-Lodging-Motors</v>
          </cell>
          <cell r="C94" t="str">
            <v>Agricultural</v>
          </cell>
          <cell r="D94" t="str">
            <v>Lighting</v>
          </cell>
          <cell r="E94" t="str">
            <v>Lighting Controls</v>
          </cell>
          <cell r="F94" t="str">
            <v>Occupancy Sensors</v>
          </cell>
          <cell r="M94" t="str">
            <v>Goose Necks</v>
          </cell>
        </row>
        <row r="95">
          <cell r="A95" t="str">
            <v>Commercial-Lodging-OffEquip</v>
          </cell>
          <cell r="C95" t="str">
            <v>Agricultural</v>
          </cell>
          <cell r="D95" t="str">
            <v>Lighting</v>
          </cell>
          <cell r="E95" t="str">
            <v>Lighting Controls</v>
          </cell>
          <cell r="F95" t="str">
            <v>Photocells</v>
          </cell>
          <cell r="M95" t="str">
            <v>Ground-source Heat Pump</v>
          </cell>
        </row>
        <row r="96">
          <cell r="A96" t="str">
            <v>Commercial-Lodging-Refrig</v>
          </cell>
          <cell r="C96" t="str">
            <v>Agricultural</v>
          </cell>
          <cell r="D96" t="str">
            <v>Lighting</v>
          </cell>
          <cell r="E96" t="str">
            <v>Lighting Controls</v>
          </cell>
          <cell r="F96" t="str">
            <v>Timers</v>
          </cell>
          <cell r="M96" t="str">
            <v>Ground-Source Heat Pumps w/ Duct Sealing</v>
          </cell>
        </row>
        <row r="97">
          <cell r="A97" t="str">
            <v>Commercial-Lodging-Vent</v>
          </cell>
          <cell r="C97" t="str">
            <v>Agricultural</v>
          </cell>
          <cell r="D97" t="str">
            <v>Lighting</v>
          </cell>
          <cell r="E97" t="str">
            <v>Signs and Signals</v>
          </cell>
          <cell r="F97" t="str">
            <v>LED Exit Signs</v>
          </cell>
          <cell r="M97" t="str">
            <v>Ground-Source Heat Pumps w/o Duct Sealing</v>
          </cell>
        </row>
        <row r="98">
          <cell r="A98" t="str">
            <v>Commercial-Misc. Com-Cook</v>
          </cell>
          <cell r="C98" t="str">
            <v>Agricultural</v>
          </cell>
          <cell r="D98" t="str">
            <v>Motors/Drives</v>
          </cell>
          <cell r="E98" t="str">
            <v>Compressed Air System Improvements</v>
          </cell>
          <cell r="F98" t="str">
            <v>Motors/Drives Installation on Compressed Air System</v>
          </cell>
          <cell r="M98" t="str">
            <v>Heat Pump Water Heaters</v>
          </cell>
        </row>
        <row r="99">
          <cell r="A99" t="str">
            <v>Commercial-Misc. Com-Cool</v>
          </cell>
          <cell r="C99" t="str">
            <v>Agricultural</v>
          </cell>
          <cell r="D99" t="str">
            <v>Motors/Drives</v>
          </cell>
          <cell r="E99" t="str">
            <v>Motors</v>
          </cell>
          <cell r="F99" t="str">
            <v>Motor Rewind</v>
          </cell>
          <cell r="M99" t="str">
            <v>Heat Recovery Improvements</v>
          </cell>
        </row>
        <row r="100">
          <cell r="A100" t="str">
            <v>Commercial-Misc. Com-ExtLight</v>
          </cell>
          <cell r="C100" t="str">
            <v>Agricultural</v>
          </cell>
          <cell r="D100" t="str">
            <v>Motors/Drives</v>
          </cell>
          <cell r="E100" t="str">
            <v>Motors</v>
          </cell>
          <cell r="F100" t="str">
            <v>Motors</v>
          </cell>
          <cell r="M100" t="str">
            <v>Hot Food Holding Cabinets</v>
          </cell>
        </row>
        <row r="101">
          <cell r="A101" t="str">
            <v>Commercial-Misc. Com-Misc</v>
          </cell>
          <cell r="C101" t="str">
            <v>Agricultural</v>
          </cell>
          <cell r="D101" t="str">
            <v>Motors/Drives</v>
          </cell>
          <cell r="E101" t="str">
            <v>Motors/Drives Controls</v>
          </cell>
          <cell r="F101" t="str">
            <v>Dairy Milking Machine Control Improvements (VFD)</v>
          </cell>
          <cell r="M101" t="str">
            <v>Hub Replacement</v>
          </cell>
        </row>
        <row r="102">
          <cell r="A102" t="str">
            <v>Commercial-Misc. Com-Motors</v>
          </cell>
          <cell r="C102" t="str">
            <v>Agricultural</v>
          </cell>
          <cell r="D102" t="str">
            <v>Motors/Drives</v>
          </cell>
          <cell r="E102" t="str">
            <v>Motors/Drives Controls</v>
          </cell>
          <cell r="F102" t="str">
            <v>Electronically Commutated Motor (ECM)</v>
          </cell>
          <cell r="M102" t="str">
            <v>Humidification/Dehumidification Improvements</v>
          </cell>
        </row>
        <row r="103">
          <cell r="A103" t="str">
            <v>Commercial-Misc. Com-Process</v>
          </cell>
          <cell r="C103" t="str">
            <v>Agricultural</v>
          </cell>
          <cell r="D103" t="str">
            <v>Motors/Drives</v>
          </cell>
          <cell r="E103" t="str">
            <v>Motors/Drives Controls</v>
          </cell>
          <cell r="F103" t="str">
            <v>Energy Management Systems/System Controls</v>
          </cell>
          <cell r="M103" t="str">
            <v>HVAC Control Improvements (non-VFD)</v>
          </cell>
        </row>
        <row r="104">
          <cell r="A104" t="str">
            <v>Commercial-Misc. Com-Refrig</v>
          </cell>
          <cell r="C104" t="str">
            <v>Agricultural</v>
          </cell>
          <cell r="D104" t="str">
            <v>Motors/Drives</v>
          </cell>
          <cell r="E104" t="str">
            <v>Motors/Drives Controls</v>
          </cell>
          <cell r="F104" t="str">
            <v>Motors/Drives Control Improvements (non-VFD)</v>
          </cell>
          <cell r="M104" t="str">
            <v>HVAC Control Improvements (VFD)</v>
          </cell>
        </row>
        <row r="105">
          <cell r="A105" t="str">
            <v>Commercial-Misc. Com-Vent</v>
          </cell>
          <cell r="C105" t="str">
            <v>Agricultural</v>
          </cell>
          <cell r="D105" t="str">
            <v>Motors/Drives</v>
          </cell>
          <cell r="E105" t="str">
            <v>Motors/Drives Controls</v>
          </cell>
          <cell r="F105" t="str">
            <v>Motors/Drives Control Improvements (VFD)</v>
          </cell>
          <cell r="M105" t="str">
            <v>Ice Makers</v>
          </cell>
        </row>
        <row r="106">
          <cell r="A106" t="str">
            <v>Commercial-not-refrig-warehouse-Cook</v>
          </cell>
          <cell r="C106" t="str">
            <v>Agricultural</v>
          </cell>
          <cell r="D106" t="str">
            <v>Motors/Drives</v>
          </cell>
          <cell r="E106" t="str">
            <v>Pumps and Fans</v>
          </cell>
          <cell r="F106" t="str">
            <v>Motors/Drives Installation on Fan System</v>
          </cell>
          <cell r="M106" t="str">
            <v>Impact Sprinkler Heads</v>
          </cell>
        </row>
        <row r="107">
          <cell r="A107" t="str">
            <v>Commercial-not-refrig-warehouse-Cool</v>
          </cell>
          <cell r="C107" t="str">
            <v>Agricultural</v>
          </cell>
          <cell r="D107" t="str">
            <v>Motors/Drives</v>
          </cell>
          <cell r="E107" t="str">
            <v>Pumps and Fans</v>
          </cell>
          <cell r="F107" t="str">
            <v>Motors/Drives Installation on Pump System</v>
          </cell>
          <cell r="M107" t="str">
            <v>Insulation</v>
          </cell>
        </row>
        <row r="108">
          <cell r="A108" t="str">
            <v>Commercial-not-refrig-warehouse-ExtLight</v>
          </cell>
          <cell r="C108" t="str">
            <v>Agricultural</v>
          </cell>
          <cell r="D108" t="str">
            <v>Motors/Drives</v>
          </cell>
          <cell r="E108" t="str">
            <v>Pumps and Fans</v>
          </cell>
          <cell r="F108" t="str">
            <v>Motors/Drives Installation on Vacuum Pumps</v>
          </cell>
          <cell r="M108" t="str">
            <v xml:space="preserve">Insulation </v>
          </cell>
        </row>
        <row r="109">
          <cell r="A109" t="str">
            <v>Commercial-not-refrig-warehouse-Heat</v>
          </cell>
          <cell r="C109" t="str">
            <v>Agricultural</v>
          </cell>
          <cell r="D109" t="str">
            <v>Process Loads</v>
          </cell>
          <cell r="E109" t="str">
            <v>Livestock Tanks</v>
          </cell>
          <cell r="F109" t="str">
            <v>Freeze Resistant Stock Tanks</v>
          </cell>
          <cell r="M109" t="str">
            <v>Insulators</v>
          </cell>
        </row>
        <row r="110">
          <cell r="A110" t="str">
            <v>Commercial-not-refrig-warehouse-HotWater</v>
          </cell>
          <cell r="C110" t="str">
            <v>Agricultural</v>
          </cell>
          <cell r="D110" t="str">
            <v>Process Loads</v>
          </cell>
          <cell r="E110" t="str">
            <v>Process Loads System Improvements</v>
          </cell>
          <cell r="F110" t="str">
            <v>Interactive Process Loads System Improvements</v>
          </cell>
          <cell r="M110" t="str">
            <v>Interactive Compressed Air System Supply/Demand Improvements</v>
          </cell>
        </row>
        <row r="111">
          <cell r="A111" t="str">
            <v>Commercial-not-refrig-warehouse-Misc</v>
          </cell>
          <cell r="C111" t="str">
            <v>Agricultural</v>
          </cell>
          <cell r="D111" t="str">
            <v>Process Loads</v>
          </cell>
          <cell r="E111" t="str">
            <v>Pumps and Fans</v>
          </cell>
          <cell r="F111" t="str">
            <v>Centrifugal Pump System Improvements</v>
          </cell>
          <cell r="M111" t="str">
            <v>Interactive HVAC System Improvements</v>
          </cell>
        </row>
        <row r="112">
          <cell r="A112" t="str">
            <v>Commercial-not-refrig-warehouse-Motors</v>
          </cell>
          <cell r="C112" t="str">
            <v>Agricultural</v>
          </cell>
          <cell r="D112" t="str">
            <v>Process Loads</v>
          </cell>
          <cell r="E112" t="str">
            <v>Pumps and Fans</v>
          </cell>
          <cell r="F112" t="str">
            <v>Fan System Improvements</v>
          </cell>
          <cell r="M112" t="str">
            <v>Interactive Mainline System and Equipment Improvements</v>
          </cell>
        </row>
        <row r="113">
          <cell r="A113" t="str">
            <v>Commercial-not-refrig-warehouse-OffEquip</v>
          </cell>
          <cell r="C113" t="str">
            <v>Agricultural</v>
          </cell>
          <cell r="D113" t="str">
            <v>Process Loads</v>
          </cell>
          <cell r="E113" t="str">
            <v>Pumps and Fans</v>
          </cell>
          <cell r="F113" t="str">
            <v>Pump System Improvements</v>
          </cell>
          <cell r="M113" t="str">
            <v>Interactive Process Loads System Improvements</v>
          </cell>
        </row>
        <row r="114">
          <cell r="A114" t="str">
            <v>Commercial-not-refrig-warehouse-Process</v>
          </cell>
          <cell r="C114" t="str">
            <v>Agricultural</v>
          </cell>
          <cell r="D114" t="str">
            <v>Process Loads</v>
          </cell>
          <cell r="E114" t="str">
            <v>Pumps and Fans</v>
          </cell>
          <cell r="F114" t="str">
            <v>Turbine Pump System Improvements</v>
          </cell>
          <cell r="M114" t="str">
            <v>Interactive Refrigeration System Improvements</v>
          </cell>
        </row>
        <row r="115">
          <cell r="A115" t="str">
            <v>Commercial-not-refrig-warehouse-Refrig</v>
          </cell>
          <cell r="C115" t="str">
            <v>Agricultural</v>
          </cell>
          <cell r="D115" t="str">
            <v>Process Loads</v>
          </cell>
          <cell r="E115" t="str">
            <v>Pumps and Fans</v>
          </cell>
          <cell r="F115" t="str">
            <v>Vacuum Pump System Improvements</v>
          </cell>
          <cell r="M115" t="str">
            <v>Interactive Wastewater System Improvements</v>
          </cell>
        </row>
        <row r="116">
          <cell r="A116" t="str">
            <v>Commercial-not-refrig-warehouse-Vent</v>
          </cell>
          <cell r="C116" t="str">
            <v>Agricultural</v>
          </cell>
          <cell r="D116" t="str">
            <v>Refrigeration</v>
          </cell>
          <cell r="E116" t="str">
            <v>Dairy System Improvements</v>
          </cell>
          <cell r="F116" t="str">
            <v>Heat Recovery Improvements</v>
          </cell>
          <cell r="M116" t="str">
            <v>Interactive Whole Bldg/Meter Level System Improvements</v>
          </cell>
        </row>
        <row r="117">
          <cell r="A117" t="str">
            <v>Commercial-Ref.warehouse-AirComp</v>
          </cell>
          <cell r="C117" t="str">
            <v>Agricultural</v>
          </cell>
          <cell r="D117" t="str">
            <v>Refrigeration</v>
          </cell>
          <cell r="E117" t="str">
            <v>Dairy System Improvements</v>
          </cell>
          <cell r="F117" t="str">
            <v>Plate Milk Pre-cooler</v>
          </cell>
          <cell r="M117" t="str">
            <v>Irrigation System Improvements</v>
          </cell>
        </row>
        <row r="118">
          <cell r="A118" t="str">
            <v>Commercial-Ref.warehouse-Cook</v>
          </cell>
          <cell r="C118" t="str">
            <v>Agricultural</v>
          </cell>
          <cell r="D118" t="str">
            <v>Refrigeration</v>
          </cell>
          <cell r="E118" t="str">
            <v>Heat Recovery</v>
          </cell>
          <cell r="F118" t="str">
            <v>Heat Recovery Improvements</v>
          </cell>
          <cell r="M118" t="str">
            <v>Lamps</v>
          </cell>
        </row>
        <row r="119">
          <cell r="A119" t="str">
            <v>Commercial-Ref.warehouse-Cool</v>
          </cell>
          <cell r="C119" t="str">
            <v>Agricultural</v>
          </cell>
          <cell r="D119" t="str">
            <v>Refrigeration</v>
          </cell>
          <cell r="E119" t="str">
            <v>Packaged Refrigeration</v>
          </cell>
          <cell r="F119" t="str">
            <v>Packaged Refrigeration System Improvements</v>
          </cell>
          <cell r="M119" t="str">
            <v>Lamps/Ballasts</v>
          </cell>
        </row>
        <row r="120">
          <cell r="A120" t="str">
            <v>Commercial-Ref.warehouse-ExtLight</v>
          </cell>
          <cell r="C120" t="str">
            <v>Agricultural</v>
          </cell>
          <cell r="D120" t="str">
            <v>Refrigeration</v>
          </cell>
          <cell r="E120" t="str">
            <v>Pumps and Fans</v>
          </cell>
          <cell r="F120" t="str">
            <v>Condensor Fan System Improvements</v>
          </cell>
          <cell r="M120" t="str">
            <v>Lamps/Ballasts w/Controls</v>
          </cell>
        </row>
        <row r="121">
          <cell r="A121" t="str">
            <v>Commercial-Ref.warehouse-Heat</v>
          </cell>
          <cell r="C121" t="str">
            <v>Agricultural</v>
          </cell>
          <cell r="D121" t="str">
            <v>Refrigeration</v>
          </cell>
          <cell r="E121" t="str">
            <v>Pumps and Fans</v>
          </cell>
          <cell r="F121" t="str">
            <v>Evaporator Coil Fan System Improvements</v>
          </cell>
          <cell r="M121" t="str">
            <v>Lamps/Ballasts w/Delamping</v>
          </cell>
        </row>
        <row r="122">
          <cell r="A122" t="str">
            <v>Commercial-Ref.warehouse-HotWater</v>
          </cell>
          <cell r="C122" t="str">
            <v>Agricultural</v>
          </cell>
          <cell r="D122" t="str">
            <v>Refrigeration</v>
          </cell>
          <cell r="E122" t="str">
            <v>Pumps and Fans</v>
          </cell>
          <cell r="F122" t="str">
            <v>Evaporator Fan System Improvements</v>
          </cell>
          <cell r="M122" t="str">
            <v>Lamps/Ballasts w/Delamping and Controls</v>
          </cell>
        </row>
        <row r="123">
          <cell r="A123" t="str">
            <v>Commercial-Ref.warehouse-Misc</v>
          </cell>
          <cell r="C123" t="str">
            <v>Agricultural</v>
          </cell>
          <cell r="D123" t="str">
            <v>Refrigeration</v>
          </cell>
          <cell r="E123" t="str">
            <v>Refrigeration System Controls</v>
          </cell>
          <cell r="F123" t="str">
            <v>Defrost Control Improvements</v>
          </cell>
          <cell r="M123" t="str">
            <v>Lamps/Ballasts/Fixtures</v>
          </cell>
        </row>
        <row r="124">
          <cell r="A124" t="str">
            <v>Commercial-Ref.warehouse-Motors</v>
          </cell>
          <cell r="C124" t="str">
            <v>Agricultural</v>
          </cell>
          <cell r="D124" t="str">
            <v>Refrigeration</v>
          </cell>
          <cell r="E124" t="str">
            <v>Refrigeration System Controls</v>
          </cell>
          <cell r="F124" t="str">
            <v>Refrigeration Control Improvements (non-VFD)</v>
          </cell>
          <cell r="M124" t="str">
            <v>Lamps/Ballasts/Fixtures w/Controls</v>
          </cell>
        </row>
        <row r="125">
          <cell r="A125" t="str">
            <v>Commercial-Ref.warehouse-OffEquip</v>
          </cell>
          <cell r="C125" t="str">
            <v>Agricultural</v>
          </cell>
          <cell r="D125" t="str">
            <v>Refrigeration</v>
          </cell>
          <cell r="E125" t="str">
            <v>Refrigeration System Controls</v>
          </cell>
          <cell r="F125" t="str">
            <v>Refrigeration Control Improvements (VFD)</v>
          </cell>
          <cell r="M125" t="str">
            <v>Lamps/Ballasts/Fixtures w/Delamping</v>
          </cell>
        </row>
        <row r="126">
          <cell r="A126" t="str">
            <v>Commercial-Ref.warehouse-Process</v>
          </cell>
          <cell r="C126" t="str">
            <v>Agricultural</v>
          </cell>
          <cell r="D126" t="str">
            <v>Refrigeration</v>
          </cell>
          <cell r="E126" t="str">
            <v>Refrigeration System Improvements</v>
          </cell>
          <cell r="F126" t="str">
            <v>Chiller Improvements</v>
          </cell>
          <cell r="M126" t="str">
            <v>Lamps/Ballasts/Fixtures w/Delamping and Controls</v>
          </cell>
        </row>
        <row r="127">
          <cell r="A127" t="str">
            <v>Commercial-Resturant-AirComp</v>
          </cell>
          <cell r="C127" t="str">
            <v>Agricultural</v>
          </cell>
          <cell r="D127" t="str">
            <v>Refrigeration</v>
          </cell>
          <cell r="E127" t="str">
            <v>Refrigeration System Improvements</v>
          </cell>
          <cell r="F127" t="str">
            <v>Insulation</v>
          </cell>
          <cell r="M127" t="str">
            <v>LED Exit Signs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R"/>
      <sheetName val="M_Input_Out"/>
      <sheetName val="M_Input"/>
      <sheetName val="Summary_EFree"/>
      <sheetName val="SavingsData&amp;Analysis_EFree"/>
      <sheetName val="CostData&amp;Analysis_EFree"/>
      <sheetName val="Survey Data"/>
      <sheetName val="Load Shape"/>
    </sheetNames>
    <sheetDataSet>
      <sheetData sheetId="0" refreshError="1"/>
      <sheetData sheetId="1" refreshError="1"/>
      <sheetData sheetId="2">
        <row r="3">
          <cell r="A3" t="str">
            <v>LO1Slow</v>
          </cell>
          <cell r="F3">
            <v>0.13286329914613279</v>
          </cell>
          <cell r="H3">
            <v>752.33330496416238</v>
          </cell>
          <cell r="I3">
            <v>66.821144587876674</v>
          </cell>
          <cell r="L3">
            <v>5.0635845057800638E-4</v>
          </cell>
          <cell r="M3">
            <v>1.4949221233265635E-3</v>
          </cell>
          <cell r="N3">
            <v>3.2068774192160624E-3</v>
          </cell>
          <cell r="O3">
            <v>5.9281699881188581E-3</v>
          </cell>
          <cell r="P3">
            <v>9.9080498109299919E-3</v>
          </cell>
          <cell r="Q3">
            <v>1.5445647392430321E-2</v>
          </cell>
          <cell r="R3">
            <v>2.2949493321975722E-2</v>
          </cell>
          <cell r="S3">
            <v>3.2459479476941978E-2</v>
          </cell>
          <cell r="T3">
            <v>4.3905441525603862E-2</v>
          </cell>
          <cell r="U3">
            <v>5.7061153896131069E-2</v>
          </cell>
          <cell r="V3">
            <v>7.1158896873121782E-2</v>
          </cell>
          <cell r="W3">
            <v>8.5872644818434887E-2</v>
          </cell>
          <cell r="X3">
            <v>0.10050309614349143</v>
          </cell>
          <cell r="Y3">
            <v>0.11443322252984987</v>
          </cell>
          <cell r="Z3">
            <v>0.12635119246589732</v>
          </cell>
          <cell r="AA3">
            <v>0.13568387633707737</v>
          </cell>
          <cell r="AB3">
            <v>0.14224585707905291</v>
          </cell>
          <cell r="AC3">
            <v>0.14624259931220762</v>
          </cell>
          <cell r="AD3">
            <v>0.14816560331801965</v>
          </cell>
          <cell r="AE3">
            <v>0.14841679024875068</v>
          </cell>
          <cell r="AF3">
            <v>1.5018657578434107</v>
          </cell>
          <cell r="BF3">
            <v>0.67912783532048204</v>
          </cell>
        </row>
        <row r="4">
          <cell r="A4" t="str">
            <v>LO1Slow</v>
          </cell>
          <cell r="F4">
            <v>0.27921759937718427</v>
          </cell>
          <cell r="H4">
            <v>1581.058883029481</v>
          </cell>
          <cell r="I4">
            <v>30.909489799911992</v>
          </cell>
          <cell r="L4">
            <v>2.3986583011045457E-4</v>
          </cell>
          <cell r="M4">
            <v>7.1010212071686857E-4</v>
          </cell>
          <cell r="N4">
            <v>1.5268790234043482E-3</v>
          </cell>
          <cell r="O4">
            <v>2.8235380767523658E-3</v>
          </cell>
          <cell r="P4">
            <v>4.7574027247573609E-3</v>
          </cell>
          <cell r="Q4">
            <v>7.4567316418432924E-3</v>
          </cell>
          <cell r="R4">
            <v>1.1045726264209887E-2</v>
          </cell>
          <cell r="S4">
            <v>1.565719429845502E-2</v>
          </cell>
          <cell r="T4">
            <v>2.1249142964838423E-2</v>
          </cell>
          <cell r="U4">
            <v>2.7717522889614429E-2</v>
          </cell>
          <cell r="V4">
            <v>3.482117163659753E-2</v>
          </cell>
          <cell r="W4">
            <v>4.2462130744247761E-2</v>
          </cell>
          <cell r="X4">
            <v>5.005320730093181E-2</v>
          </cell>
          <cell r="Y4">
            <v>5.7335731713290448E-2</v>
          </cell>
          <cell r="Z4">
            <v>6.3690306216551848E-2</v>
          </cell>
          <cell r="AA4">
            <v>6.8808643325753857E-2</v>
          </cell>
          <cell r="AB4">
            <v>7.2573010647449226E-2</v>
          </cell>
          <cell r="AC4">
            <v>7.5063735308269597E-2</v>
          </cell>
          <cell r="AD4">
            <v>7.6511097006778064E-2</v>
          </cell>
          <cell r="AE4">
            <v>7.7104696305110298E-2</v>
          </cell>
          <cell r="AF4">
            <v>0.78024125811826928</v>
          </cell>
          <cell r="BF4">
            <v>0.98550002467930098</v>
          </cell>
        </row>
        <row r="5">
          <cell r="A5" t="str">
            <v>LO1Slow</v>
          </cell>
          <cell r="F5">
            <v>2.9792627395862064E-2</v>
          </cell>
          <cell r="H5">
            <v>168.69960309838618</v>
          </cell>
          <cell r="I5">
            <v>303.84834162018706</v>
          </cell>
          <cell r="L5">
            <v>1.5262405150638379E-4</v>
          </cell>
          <cell r="M5">
            <v>4.6072467460482575E-4</v>
          </cell>
          <cell r="N5">
            <v>1.0090317286631683E-3</v>
          </cell>
          <cell r="O5">
            <v>1.9161815095459439E-3</v>
          </cell>
          <cell r="P5">
            <v>3.2727918543571976E-3</v>
          </cell>
          <cell r="Q5">
            <v>5.2097074569032115E-3</v>
          </cell>
          <cell r="R5">
            <v>7.8440254854845199E-3</v>
          </cell>
          <cell r="S5">
            <v>1.128344705526243E-2</v>
          </cell>
          <cell r="T5">
            <v>1.5664070475848044E-2</v>
          </cell>
          <cell r="U5">
            <v>2.0757255163604972E-2</v>
          </cell>
          <cell r="V5">
            <v>2.6464441642067245E-2</v>
          </cell>
          <cell r="W5">
            <v>3.2569524971965386E-2</v>
          </cell>
          <cell r="X5">
            <v>3.8721511432397812E-2</v>
          </cell>
          <cell r="Y5">
            <v>4.4988065732439166E-2</v>
          </cell>
          <cell r="Z5">
            <v>5.068703306044562E-2</v>
          </cell>
          <cell r="AA5">
            <v>5.55415635042565E-2</v>
          </cell>
          <cell r="AB5">
            <v>5.9415782067235676E-2</v>
          </cell>
          <cell r="AC5">
            <v>6.233162110535697E-2</v>
          </cell>
          <cell r="AD5">
            <v>6.4439809986204771E-2</v>
          </cell>
          <cell r="AE5">
            <v>6.5866141880511181E-2</v>
          </cell>
          <cell r="AF5">
            <v>0.66651558038547598</v>
          </cell>
          <cell r="BF5">
            <v>0.46336474641066627</v>
          </cell>
        </row>
        <row r="6">
          <cell r="A6" t="str">
            <v>LO1Slow</v>
          </cell>
          <cell r="F6">
            <v>1.2799154875435663E-2</v>
          </cell>
          <cell r="H6">
            <v>72.474720634430057</v>
          </cell>
          <cell r="I6">
            <v>709.51475870842012</v>
          </cell>
          <cell r="L6">
            <v>5.5534901375029555E-5</v>
          </cell>
          <cell r="M6">
            <v>1.7088729459756316E-4</v>
          </cell>
          <cell r="N6">
            <v>3.8194868731993719E-4</v>
          </cell>
          <cell r="O6">
            <v>7.374447759014598E-4</v>
          </cell>
          <cell r="P6">
            <v>1.2824467867617517E-3</v>
          </cell>
          <cell r="Q6">
            <v>2.0724463514199647E-3</v>
          </cell>
          <cell r="R6">
            <v>3.1714799016695108E-3</v>
          </cell>
          <cell r="S6">
            <v>4.603273607629162E-3</v>
          </cell>
          <cell r="T6">
            <v>6.4757038565933017E-3</v>
          </cell>
          <cell r="U6">
            <v>8.6915451700658487E-3</v>
          </cell>
          <cell r="V6">
            <v>1.1224549823691796E-2</v>
          </cell>
          <cell r="W6">
            <v>1.4010221581875757E-2</v>
          </cell>
          <cell r="X6">
            <v>1.687413026137019E-2</v>
          </cell>
          <cell r="Y6">
            <v>1.9748750490886105E-2</v>
          </cell>
          <cell r="Z6">
            <v>2.2413639274459045E-2</v>
          </cell>
          <cell r="AA6">
            <v>2.4740405519862771E-2</v>
          </cell>
          <cell r="AB6">
            <v>2.6660220451633704E-2</v>
          </cell>
          <cell r="AC6">
            <v>2.8173677943930799E-2</v>
          </cell>
          <cell r="AD6">
            <v>2.9340166927816026E-2</v>
          </cell>
          <cell r="AE6">
            <v>3.0209515494415452E-2</v>
          </cell>
          <cell r="AF6">
            <v>0.30569746728830394</v>
          </cell>
          <cell r="BF6">
            <v>0.42779135761674991</v>
          </cell>
        </row>
      </sheetData>
      <sheetData sheetId="3" refreshError="1"/>
      <sheetData sheetId="4" refreshError="1"/>
      <sheetData sheetId="5">
        <row r="8">
          <cell r="A8" t="str">
            <v>Energy-Free Stock Watering Tanks - Idaho</v>
          </cell>
          <cell r="B8" t="str">
            <v>Process Heating</v>
          </cell>
          <cell r="C8">
            <v>673.54628420273048</v>
          </cell>
          <cell r="D8">
            <v>10</v>
          </cell>
          <cell r="E8">
            <v>600.96177710657821</v>
          </cell>
          <cell r="F8">
            <v>0</v>
          </cell>
          <cell r="G8" t="str">
            <v>A-StockTank</v>
          </cell>
        </row>
        <row r="9">
          <cell r="A9" t="str">
            <v>Energy-Free Stock Watering Tanks - Montana</v>
          </cell>
          <cell r="B9" t="str">
            <v>Process Heating</v>
          </cell>
          <cell r="C9">
            <v>1415.4847708369816</v>
          </cell>
          <cell r="D9">
            <v>10</v>
          </cell>
          <cell r="E9">
            <v>600.96177710657821</v>
          </cell>
          <cell r="F9">
            <v>0</v>
          </cell>
          <cell r="G9" t="str">
            <v>A-StockTank</v>
          </cell>
        </row>
        <row r="10">
          <cell r="A10" t="str">
            <v>Energy-Free Stock Watering Tanks - Oregon</v>
          </cell>
          <cell r="B10" t="str">
            <v>Process Heating</v>
          </cell>
          <cell r="C10">
            <v>151.03278036960774</v>
          </cell>
          <cell r="D10">
            <v>10</v>
          </cell>
          <cell r="E10">
            <v>600.96177710657821</v>
          </cell>
          <cell r="F10">
            <v>0</v>
          </cell>
          <cell r="G10" t="str">
            <v>A-StockTank</v>
          </cell>
        </row>
        <row r="11">
          <cell r="A11" t="str">
            <v>Energy-Free Stock Watering Tanks - Washington</v>
          </cell>
          <cell r="B11" t="str">
            <v>Process Heating</v>
          </cell>
          <cell r="C11">
            <v>64.88490999913482</v>
          </cell>
          <cell r="D11">
            <v>10</v>
          </cell>
          <cell r="E11">
            <v>600.96177710657821</v>
          </cell>
          <cell r="F11">
            <v>0</v>
          </cell>
          <cell r="G11" t="str">
            <v>A-StockTank</v>
          </cell>
        </row>
      </sheetData>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Retro"/>
      <sheetName val="Summary_Rewind"/>
      <sheetName val="M_Input_Out"/>
      <sheetName val="M_Input"/>
      <sheetName val="Composite_Rewind"/>
      <sheetName val="Composite_AgPump"/>
      <sheetName val="SavingsData&amp;Analysis_GMR"/>
      <sheetName val="SavingsData&amp;Analysis_Pump"/>
      <sheetName val="CostData&amp;Analysis"/>
      <sheetName val="RegionalPotential_GRewind"/>
      <sheetName val="Ag Survey"/>
      <sheetName val="Parameters_GMR"/>
      <sheetName val="W vs E"/>
      <sheetName val="OriginalMotorEfficiency"/>
      <sheetName val="MarketData"/>
      <sheetName val="DetailedMarketData"/>
      <sheetName val="Summary_AgPump"/>
      <sheetName val="PartLoadEfficiency"/>
      <sheetName val="PartLoadEfficiencyDecrement"/>
      <sheetName val="DataSources"/>
    </sheetNames>
    <sheetDataSet>
      <sheetData sheetId="0" refreshError="1"/>
      <sheetData sheetId="1" refreshError="1"/>
      <sheetData sheetId="2">
        <row r="3">
          <cell r="A3" t="str">
            <v>Retro12Med</v>
          </cell>
          <cell r="F3">
            <v>0</v>
          </cell>
          <cell r="H3">
            <v>876.84146574669762</v>
          </cell>
          <cell r="I3">
            <v>60.714674192013248</v>
          </cell>
          <cell r="L3">
            <v>1.8495822901939577E-2</v>
          </cell>
          <cell r="M3">
            <v>1.8313129039416811E-2</v>
          </cell>
          <cell r="N3">
            <v>1.8106342620372463E-2</v>
          </cell>
          <cell r="O3">
            <v>1.7899087574462645E-2</v>
          </cell>
          <cell r="P3">
            <v>1.7584362907255752E-2</v>
          </cell>
          <cell r="Q3">
            <v>1.5548475117901927E-2</v>
          </cell>
          <cell r="R3">
            <v>1.2319317990560005E-2</v>
          </cell>
          <cell r="S3">
            <v>9.7387193118706836E-3</v>
          </cell>
          <cell r="T3">
            <v>7.6859323652697341E-3</v>
          </cell>
          <cell r="U3">
            <v>6.062290493825292E-3</v>
          </cell>
          <cell r="V3">
            <v>4.7663138250003583E-3</v>
          </cell>
          <cell r="W3">
            <v>3.758794943300663E-3</v>
          </cell>
          <cell r="X3">
            <v>2.9749660353862927E-3</v>
          </cell>
          <cell r="Y3">
            <v>2.3672611788878445E-3</v>
          </cell>
          <cell r="Z3">
            <v>1.8836939388256948E-3</v>
          </cell>
          <cell r="AA3">
            <v>1.4989063677526609E-3</v>
          </cell>
          <cell r="AB3">
            <v>1.0169085118988959E-5</v>
          </cell>
          <cell r="AC3">
            <v>3.6124182566673295E-6</v>
          </cell>
          <cell r="AD3">
            <v>1.2249286381138048E-6</v>
          </cell>
          <cell r="AE3">
            <v>3.9729984255795183E-7</v>
          </cell>
          <cell r="AF3">
            <v>0.13880732269573362</v>
          </cell>
          <cell r="BF3">
            <v>0.50413696325185842</v>
          </cell>
        </row>
        <row r="4">
          <cell r="A4" t="str">
            <v>Retro12Med</v>
          </cell>
          <cell r="F4">
            <v>0</v>
          </cell>
          <cell r="H4">
            <v>303.45298577157604</v>
          </cell>
          <cell r="I4">
            <v>81.04213931856701</v>
          </cell>
          <cell r="L4">
            <v>4.7913320975888021E-4</v>
          </cell>
          <cell r="M4">
            <v>4.757061187912956E-4</v>
          </cell>
          <cell r="N4">
            <v>4.714430179280192E-4</v>
          </cell>
          <cell r="O4">
            <v>4.657149150634535E-4</v>
          </cell>
          <cell r="P4">
            <v>4.6084541695662535E-4</v>
          </cell>
          <cell r="Q4">
            <v>4.0966493999611969E-4</v>
          </cell>
          <cell r="R4">
            <v>3.2358661311191373E-4</v>
          </cell>
          <cell r="S4">
            <v>2.5651926850475676E-4</v>
          </cell>
          <cell r="T4">
            <v>2.0322593353664737E-4</v>
          </cell>
          <cell r="U4">
            <v>1.6095404339096041E-4</v>
          </cell>
          <cell r="V4">
            <v>1.2748402358377266E-4</v>
          </cell>
          <cell r="W4">
            <v>1.0159403658673892E-4</v>
          </cell>
          <cell r="X4">
            <v>8.0987423874343234E-5</v>
          </cell>
          <cell r="Y4">
            <v>6.4835766662578716E-5</v>
          </cell>
          <cell r="Z4">
            <v>5.1905301312542163E-5</v>
          </cell>
          <cell r="AA4">
            <v>4.1553612196287635E-5</v>
          </cell>
          <cell r="AB4">
            <v>2.8362797347272566E-7</v>
          </cell>
          <cell r="AC4">
            <v>1.0136735382650362E-7</v>
          </cell>
          <cell r="AD4">
            <v>3.458149551853377E-8</v>
          </cell>
          <cell r="AE4">
            <v>1.1284550832223402E-8</v>
          </cell>
          <cell r="AF4">
            <v>3.942559550892258E-3</v>
          </cell>
          <cell r="BF4">
            <v>0.3821122152447558</v>
          </cell>
        </row>
        <row r="5">
          <cell r="A5" t="str">
            <v>Retro12Med</v>
          </cell>
          <cell r="F5">
            <v>0</v>
          </cell>
          <cell r="H5">
            <v>696.32971081088692</v>
          </cell>
          <cell r="I5">
            <v>44.844511060229571</v>
          </cell>
          <cell r="L5">
            <v>2.8498764724461886E-2</v>
          </cell>
          <cell r="M5">
            <v>2.8806357759238423E-2</v>
          </cell>
          <cell r="N5">
            <v>2.9024800157228445E-2</v>
          </cell>
          <cell r="O5">
            <v>2.9418059819238705E-2</v>
          </cell>
          <cell r="P5">
            <v>2.9481072049428136E-2</v>
          </cell>
          <cell r="Q5">
            <v>2.657318765142291E-2</v>
          </cell>
          <cell r="R5">
            <v>2.1302394631020613E-2</v>
          </cell>
          <cell r="S5">
            <v>1.7114179330630676E-2</v>
          </cell>
          <cell r="T5">
            <v>1.384864503553011E-2</v>
          </cell>
          <cell r="U5">
            <v>1.1129159124222705E-2</v>
          </cell>
          <cell r="V5">
            <v>8.9342695738357444E-3</v>
          </cell>
          <cell r="W5">
            <v>7.176224322608702E-3</v>
          </cell>
          <cell r="X5">
            <v>5.7628528045913507E-3</v>
          </cell>
          <cell r="Y5">
            <v>4.672401037502983E-3</v>
          </cell>
          <cell r="Z5">
            <v>3.7882854543613525E-3</v>
          </cell>
          <cell r="AA5">
            <v>3.0714629520318944E-3</v>
          </cell>
          <cell r="AB5">
            <v>2.1232008514992665E-5</v>
          </cell>
          <cell r="AC5">
            <v>7.6850313967760127E-6</v>
          </cell>
          <cell r="AD5">
            <v>2.6551974754382928E-6</v>
          </cell>
          <cell r="AE5">
            <v>8.7749136533458318E-7</v>
          </cell>
          <cell r="AF5">
            <v>0.30657507016995805</v>
          </cell>
          <cell r="BF5">
            <v>0.67157272073992746</v>
          </cell>
        </row>
        <row r="6">
          <cell r="A6" t="str">
            <v>Retro12Med</v>
          </cell>
          <cell r="F6">
            <v>0</v>
          </cell>
          <cell r="H6">
            <v>885.51412953569991</v>
          </cell>
          <cell r="I6">
            <v>37.675847733783371</v>
          </cell>
          <cell r="L6">
            <v>2.7558626440311689E-2</v>
          </cell>
          <cell r="M6">
            <v>2.7787709152384234E-2</v>
          </cell>
          <cell r="N6">
            <v>2.8052567427268377E-2</v>
          </cell>
          <cell r="O6">
            <v>2.8517198827094043E-2</v>
          </cell>
          <cell r="P6">
            <v>2.869639143207332E-2</v>
          </cell>
          <cell r="Q6">
            <v>2.5901983065123195E-2</v>
          </cell>
          <cell r="R6">
            <v>2.0814733255865848E-2</v>
          </cell>
          <cell r="S6">
            <v>1.664663614878004E-2</v>
          </cell>
          <cell r="T6">
            <v>1.3476932867978457E-2</v>
          </cell>
          <cell r="U6">
            <v>1.0823554412514128E-2</v>
          </cell>
          <cell r="V6">
            <v>8.6876250813378558E-3</v>
          </cell>
          <cell r="W6">
            <v>6.9849701276381432E-3</v>
          </cell>
          <cell r="X6">
            <v>5.608837119048994E-3</v>
          </cell>
          <cell r="Y6">
            <v>4.5295991280320698E-3</v>
          </cell>
          <cell r="Z6">
            <v>3.6580253313092609E-3</v>
          </cell>
          <cell r="AA6">
            <v>2.9541575195228833E-3</v>
          </cell>
          <cell r="AB6">
            <v>2.0340602021056814E-5</v>
          </cell>
          <cell r="AC6">
            <v>7.3333552563276733E-6</v>
          </cell>
          <cell r="AD6">
            <v>2.5237030940800582E-6</v>
          </cell>
          <cell r="AE6">
            <v>8.3074673045037456E-7</v>
          </cell>
          <cell r="AF6">
            <v>0.29024358215100637</v>
          </cell>
          <cell r="BF6">
            <v>0.79010648937160732</v>
          </cell>
        </row>
        <row r="7">
          <cell r="A7" t="str">
            <v>Retro12Med</v>
          </cell>
          <cell r="F7">
            <v>0</v>
          </cell>
          <cell r="H7">
            <v>455.84995879983967</v>
          </cell>
          <cell r="I7">
            <v>75.958001086731514</v>
          </cell>
          <cell r="L7">
            <v>7.993611624710668E-3</v>
          </cell>
          <cell r="M7">
            <v>7.9146541330127954E-3</v>
          </cell>
          <cell r="N7">
            <v>7.8252842070641697E-3</v>
          </cell>
          <cell r="O7">
            <v>7.7357117477554827E-3</v>
          </cell>
          <cell r="P7">
            <v>7.5996925626829227E-3</v>
          </cell>
          <cell r="Q7">
            <v>6.7198130144267253E-3</v>
          </cell>
          <cell r="R7">
            <v>5.3242207183720937E-3</v>
          </cell>
          <cell r="S7">
            <v>4.2089254592181614E-3</v>
          </cell>
          <cell r="T7">
            <v>3.321742353800184E-3</v>
          </cell>
          <cell r="U7">
            <v>2.6200291828450137E-3</v>
          </cell>
          <cell r="V7">
            <v>2.0599278983443681E-3</v>
          </cell>
          <cell r="W7">
            <v>1.6244936552955978E-3</v>
          </cell>
          <cell r="X7">
            <v>1.2857347958867781E-3</v>
          </cell>
          <cell r="Y7">
            <v>1.0230940563504091E-3</v>
          </cell>
          <cell r="Z7">
            <v>8.1410369501402869E-4</v>
          </cell>
          <cell r="AA7">
            <v>6.4780439503256968E-4</v>
          </cell>
          <cell r="AB7">
            <v>4.394922975354513E-6</v>
          </cell>
          <cell r="AC7">
            <v>1.5612318912712387E-6</v>
          </cell>
          <cell r="AD7">
            <v>5.2939541284430862E-7</v>
          </cell>
          <cell r="AE7">
            <v>1.7170691224740934E-7</v>
          </cell>
          <cell r="AF7">
            <v>5.9990400761202448E-2</v>
          </cell>
          <cell r="BF7">
            <v>0.40673547560035056</v>
          </cell>
        </row>
        <row r="8">
          <cell r="A8" t="str">
            <v>Retro12Med</v>
          </cell>
          <cell r="F8">
            <v>0</v>
          </cell>
          <cell r="H8">
            <v>326.57731810865056</v>
          </cell>
          <cell r="I8">
            <v>83.448601110183944</v>
          </cell>
          <cell r="L8">
            <v>4.3323741103564373E-4</v>
          </cell>
          <cell r="M8">
            <v>4.3013859845505238E-4</v>
          </cell>
          <cell r="N8">
            <v>4.2628385671857543E-4</v>
          </cell>
          <cell r="O8">
            <v>4.2110444438679581E-4</v>
          </cell>
          <cell r="P8">
            <v>4.1670139172862838E-4</v>
          </cell>
          <cell r="Q8">
            <v>3.7042345297940777E-4</v>
          </cell>
          <cell r="R8">
            <v>2.925905022967359E-4</v>
          </cell>
          <cell r="S8">
            <v>2.319474866367229E-4</v>
          </cell>
          <cell r="T8">
            <v>1.8375907891049107E-4</v>
          </cell>
          <cell r="U8">
            <v>1.4553638035132252E-4</v>
          </cell>
          <cell r="V8">
            <v>1.1527242779442299E-4</v>
          </cell>
          <cell r="W8">
            <v>9.1862422581079486E-5</v>
          </cell>
          <cell r="X8">
            <v>7.3229701325491266E-5</v>
          </cell>
          <cell r="Y8">
            <v>5.8625198836754423E-5</v>
          </cell>
          <cell r="Z8">
            <v>4.6933332738482742E-5</v>
          </cell>
          <cell r="AA8">
            <v>3.7573223897709896E-5</v>
          </cell>
          <cell r="AB8">
            <v>2.564594697713552E-7</v>
          </cell>
          <cell r="AC8">
            <v>9.1657453586715318E-8</v>
          </cell>
          <cell r="AD8">
            <v>3.1268960871507647E-8</v>
          </cell>
          <cell r="AE8">
            <v>1.0203612456153641E-8</v>
          </cell>
          <cell r="AF8">
            <v>3.5649048279120148E-3</v>
          </cell>
          <cell r="BF8">
            <v>0.37146793129011457</v>
          </cell>
        </row>
        <row r="9">
          <cell r="A9" t="str">
            <v>Retro12Med</v>
          </cell>
          <cell r="F9">
            <v>0</v>
          </cell>
          <cell r="H9">
            <v>672.67327653917357</v>
          </cell>
          <cell r="I9">
            <v>46.52496583938953</v>
          </cell>
          <cell r="L9">
            <v>5.5934453511501088E-3</v>
          </cell>
          <cell r="M9">
            <v>5.6538165583603691E-3</v>
          </cell>
          <cell r="N9">
            <v>5.6966901926159127E-3</v>
          </cell>
          <cell r="O9">
            <v>5.7738751671063369E-3</v>
          </cell>
          <cell r="P9">
            <v>5.7862425616031273E-3</v>
          </cell>
          <cell r="Q9">
            <v>5.2155128255965992E-3</v>
          </cell>
          <cell r="R9">
            <v>4.181015611352857E-3</v>
          </cell>
          <cell r="S9">
            <v>3.3589956526606248E-3</v>
          </cell>
          <cell r="T9">
            <v>2.7180700617253344E-3</v>
          </cell>
          <cell r="U9">
            <v>2.1843172490967925E-3</v>
          </cell>
          <cell r="V9">
            <v>1.7535268316664556E-3</v>
          </cell>
          <cell r="W9">
            <v>1.4084757344465532E-3</v>
          </cell>
          <cell r="X9">
            <v>1.1310736637485084E-3</v>
          </cell>
          <cell r="Y9">
            <v>9.1705097096707474E-4</v>
          </cell>
          <cell r="Z9">
            <v>7.4352582887001536E-4</v>
          </cell>
          <cell r="AA9">
            <v>6.0283525747086518E-4</v>
          </cell>
          <cell r="AB9">
            <v>4.1672009461458399E-6</v>
          </cell>
          <cell r="AC9">
            <v>1.508339170323498E-6</v>
          </cell>
          <cell r="AD9">
            <v>5.2113493756548245E-7</v>
          </cell>
          <cell r="AE9">
            <v>1.7222500854193642E-7</v>
          </cell>
          <cell r="AF9">
            <v>6.0171411554156375E-2</v>
          </cell>
          <cell r="BF9">
            <v>0.6487573565809579</v>
          </cell>
        </row>
        <row r="10">
          <cell r="A10" t="str">
            <v>Retro12Med</v>
          </cell>
          <cell r="F10">
            <v>0</v>
          </cell>
          <cell r="H10">
            <v>790.93893347251048</v>
          </cell>
          <cell r="I10">
            <v>42.532348203533125</v>
          </cell>
          <cell r="L10">
            <v>1.7018829123371569E-2</v>
          </cell>
          <cell r="M10">
            <v>1.7160299146934805E-2</v>
          </cell>
          <cell r="N10">
            <v>1.7323862368488204E-2</v>
          </cell>
          <cell r="O10">
            <v>1.7610795478747256E-2</v>
          </cell>
          <cell r="P10">
            <v>1.7721455867824309E-2</v>
          </cell>
          <cell r="Q10">
            <v>1.5995769045186493E-2</v>
          </cell>
          <cell r="R10">
            <v>1.2854138042669948E-2</v>
          </cell>
          <cell r="S10">
            <v>1.0280129770205758E-2</v>
          </cell>
          <cell r="T10">
            <v>8.3226795821643024E-3</v>
          </cell>
          <cell r="U10">
            <v>6.6840857781157604E-3</v>
          </cell>
          <cell r="V10">
            <v>5.3650426688513072E-3</v>
          </cell>
          <cell r="W10">
            <v>4.3135681414165567E-3</v>
          </cell>
          <cell r="X10">
            <v>3.4637372336630478E-3</v>
          </cell>
          <cell r="Y10">
            <v>2.7972538371719654E-3</v>
          </cell>
          <cell r="Z10">
            <v>2.259013459083446E-3</v>
          </cell>
          <cell r="AA10">
            <v>1.8243399081291278E-3</v>
          </cell>
          <cell r="AB10">
            <v>1.2561338309535768E-5</v>
          </cell>
          <cell r="AC10">
            <v>4.5287133696133459E-6</v>
          </cell>
          <cell r="AD10">
            <v>1.5585127876128973E-6</v>
          </cell>
          <cell r="AE10">
            <v>5.1302762425247516E-7</v>
          </cell>
          <cell r="AF10">
            <v>0.17923991747127765</v>
          </cell>
          <cell r="BF10">
            <v>0.70572107568848741</v>
          </cell>
        </row>
        <row r="11">
          <cell r="A11" t="str">
            <v>Retro12Med</v>
          </cell>
          <cell r="F11">
            <v>0</v>
          </cell>
          <cell r="H11">
            <v>401.0669654861008</v>
          </cell>
          <cell r="I11">
            <v>80.022700400043092</v>
          </cell>
          <cell r="L11">
            <v>2.2404261009776275E-2</v>
          </cell>
          <cell r="M11">
            <v>2.2182961259960061E-2</v>
          </cell>
          <cell r="N11">
            <v>2.1932477843779601E-2</v>
          </cell>
          <cell r="O11">
            <v>2.1681426773017574E-2</v>
          </cell>
          <cell r="P11">
            <v>2.1300196176914775E-2</v>
          </cell>
          <cell r="Q11">
            <v>1.8834095497797861E-2</v>
          </cell>
          <cell r="R11">
            <v>1.4922570203350909E-2</v>
          </cell>
          <cell r="S11">
            <v>1.1796653250892616E-2</v>
          </cell>
          <cell r="T11">
            <v>9.3100823752444457E-3</v>
          </cell>
          <cell r="U11">
            <v>7.3433412106527242E-3</v>
          </cell>
          <cell r="V11">
            <v>5.7735057021234227E-3</v>
          </cell>
          <cell r="W11">
            <v>4.5530833333781657E-3</v>
          </cell>
          <cell r="X11">
            <v>3.6036199040932822E-3</v>
          </cell>
          <cell r="Y11">
            <v>2.8674981162666851E-3</v>
          </cell>
          <cell r="Z11">
            <v>2.2817460402672213E-3</v>
          </cell>
          <cell r="AA11">
            <v>1.8156472231805776E-3</v>
          </cell>
          <cell r="AB11">
            <v>1.2317961652442557E-5</v>
          </cell>
          <cell r="AC11">
            <v>4.3757751103017261E-6</v>
          </cell>
          <cell r="AD11">
            <v>1.4837739889785373E-6</v>
          </cell>
          <cell r="AE11">
            <v>4.8125511468202613E-7</v>
          </cell>
          <cell r="AF11">
            <v>0.16813934174387776</v>
          </cell>
          <cell r="BF11">
            <v>0.38680761287170978</v>
          </cell>
        </row>
        <row r="12">
          <cell r="A12" t="str">
            <v>Retro12Med</v>
          </cell>
          <cell r="F12">
            <v>0</v>
          </cell>
          <cell r="H12">
            <v>329.753223593911</v>
          </cell>
          <cell r="I12">
            <v>97.964414402752723</v>
          </cell>
          <cell r="L12">
            <v>2.7296191803539288E-3</v>
          </cell>
          <cell r="M12">
            <v>2.7100950625357462E-3</v>
          </cell>
          <cell r="N12">
            <v>2.6858082010801625E-3</v>
          </cell>
          <cell r="O12">
            <v>2.6531752315266067E-3</v>
          </cell>
          <cell r="P12">
            <v>2.625433728411463E-3</v>
          </cell>
          <cell r="Q12">
            <v>2.3338588412493665E-3</v>
          </cell>
          <cell r="R12">
            <v>1.8434711008667995E-3</v>
          </cell>
          <cell r="S12">
            <v>1.4613888187656901E-3</v>
          </cell>
          <cell r="T12">
            <v>1.1577769915095814E-3</v>
          </cell>
          <cell r="U12">
            <v>9.1695427293921028E-4</v>
          </cell>
          <cell r="V12">
            <v>7.2627575979982285E-4</v>
          </cell>
          <cell r="W12">
            <v>5.7878065061759505E-4</v>
          </cell>
          <cell r="X12">
            <v>4.6138489478971852E-4</v>
          </cell>
          <cell r="Y12">
            <v>3.6936899519903659E-4</v>
          </cell>
          <cell r="Z12">
            <v>2.9570420738747204E-4</v>
          </cell>
          <cell r="AA12">
            <v>2.3673069316371571E-4</v>
          </cell>
          <cell r="AB12">
            <v>1.615826957320857E-6</v>
          </cell>
          <cell r="AC12">
            <v>5.7748924021733268E-7</v>
          </cell>
          <cell r="AD12">
            <v>1.9701058396727792E-7</v>
          </cell>
          <cell r="AE12">
            <v>6.4288022132335623E-8</v>
          </cell>
          <cell r="AF12">
            <v>2.2460739415701973E-2</v>
          </cell>
          <cell r="BF12">
            <v>0.3180293273481587</v>
          </cell>
        </row>
        <row r="13">
          <cell r="A13" t="str">
            <v>Retro12Med</v>
          </cell>
          <cell r="F13">
            <v>0</v>
          </cell>
          <cell r="H13">
            <v>672.67327653917357</v>
          </cell>
          <cell r="I13">
            <v>46.52496583938953</v>
          </cell>
          <cell r="L13">
            <v>2.5931569349229723E-2</v>
          </cell>
          <cell r="M13">
            <v>2.6211454115807043E-2</v>
          </cell>
          <cell r="N13">
            <v>2.6410219018323262E-2</v>
          </cell>
          <cell r="O13">
            <v>2.6768053482247253E-2</v>
          </cell>
          <cell r="P13">
            <v>2.6825389511819241E-2</v>
          </cell>
          <cell r="Q13">
            <v>2.41794500595141E-2</v>
          </cell>
          <cell r="R13">
            <v>1.9383455003044895E-2</v>
          </cell>
          <cell r="S13">
            <v>1.5572518053263918E-2</v>
          </cell>
          <cell r="T13">
            <v>1.2601146141027907E-2</v>
          </cell>
          <cell r="U13">
            <v>1.0126634063569687E-2</v>
          </cell>
          <cell r="V13">
            <v>8.1294622162964431E-3</v>
          </cell>
          <cell r="W13">
            <v>6.5297833252269295E-3</v>
          </cell>
          <cell r="X13">
            <v>5.2437296351793162E-3</v>
          </cell>
          <cell r="Y13">
            <v>4.251506782938618E-3</v>
          </cell>
          <cell r="Z13">
            <v>3.4470331582522507E-3</v>
          </cell>
          <cell r="AA13">
            <v>2.7947826972247436E-3</v>
          </cell>
          <cell r="AB13">
            <v>1.9319409334165958E-5</v>
          </cell>
          <cell r="AC13">
            <v>6.9927565823738673E-6</v>
          </cell>
          <cell r="AD13">
            <v>2.4160148040075409E-6</v>
          </cell>
          <cell r="AE13">
            <v>7.9844612261360662E-7</v>
          </cell>
          <cell r="AF13">
            <v>0.27895850117438203</v>
          </cell>
          <cell r="BF13">
            <v>0.6487573565809579</v>
          </cell>
        </row>
        <row r="14">
          <cell r="A14" t="str">
            <v>Retro12Med</v>
          </cell>
          <cell r="F14">
            <v>0</v>
          </cell>
          <cell r="H14">
            <v>885.51412953569991</v>
          </cell>
          <cell r="I14">
            <v>37.675847733783371</v>
          </cell>
          <cell r="L14">
            <v>3.8779618287042586E-2</v>
          </cell>
          <cell r="M14">
            <v>3.9101976157438455E-2</v>
          </cell>
          <cell r="N14">
            <v>3.9474676256350032E-2</v>
          </cell>
          <cell r="O14">
            <v>4.0128490711451373E-2</v>
          </cell>
          <cell r="P14">
            <v>4.0380644817753004E-2</v>
          </cell>
          <cell r="Q14">
            <v>3.644844267977089E-2</v>
          </cell>
          <cell r="R14">
            <v>2.9289827348882899E-2</v>
          </cell>
          <cell r="S14">
            <v>2.3424614322166974E-2</v>
          </cell>
          <cell r="T14">
            <v>1.8964309176738196E-2</v>
          </cell>
          <cell r="U14">
            <v>1.5230559822544848E-2</v>
          </cell>
          <cell r="V14">
            <v>1.2224948337135231E-2</v>
          </cell>
          <cell r="W14">
            <v>9.8290267072228873E-3</v>
          </cell>
          <cell r="X14">
            <v>7.8925763220460306E-3</v>
          </cell>
          <cell r="Y14">
            <v>6.3739071161203328E-3</v>
          </cell>
          <cell r="Z14">
            <v>5.147456326959861E-3</v>
          </cell>
          <cell r="AA14">
            <v>4.1569960395166318E-3</v>
          </cell>
          <cell r="AB14">
            <v>2.8622645029630489E-5</v>
          </cell>
          <cell r="AC14">
            <v>1.031926312509094E-5</v>
          </cell>
          <cell r="AD14">
            <v>3.5512743303888017E-6</v>
          </cell>
          <cell r="AE14">
            <v>1.1690002464328129E-6</v>
          </cell>
          <cell r="AF14">
            <v>0.40842149192224458</v>
          </cell>
          <cell r="BF14">
            <v>0.79010648937160732</v>
          </cell>
        </row>
        <row r="15">
          <cell r="A15" t="str">
            <v>Retro12Med</v>
          </cell>
          <cell r="F15">
            <v>0</v>
          </cell>
          <cell r="H15">
            <v>6262.1574529193094</v>
          </cell>
          <cell r="I15">
            <v>8.1793707801167539</v>
          </cell>
          <cell r="L15">
            <v>0.19994485851848126</v>
          </cell>
          <cell r="M15">
            <v>0.19796988834883944</v>
          </cell>
          <cell r="N15">
            <v>0.19573447111336026</v>
          </cell>
          <cell r="O15">
            <v>0.1934939878944528</v>
          </cell>
          <cell r="P15">
            <v>0.19009172894168352</v>
          </cell>
          <cell r="Q15">
            <v>0.16808323014927964</v>
          </cell>
          <cell r="R15">
            <v>0.13317516639978197</v>
          </cell>
          <cell r="S15">
            <v>0.10527819525991408</v>
          </cell>
          <cell r="T15">
            <v>8.3087011997466709E-2</v>
          </cell>
          <cell r="U15">
            <v>6.5535003309245651E-2</v>
          </cell>
          <cell r="V15">
            <v>5.152514426889547E-2</v>
          </cell>
          <cell r="W15">
            <v>4.0633592088482946E-2</v>
          </cell>
          <cell r="X15">
            <v>3.2160189151693393E-2</v>
          </cell>
          <cell r="Y15">
            <v>2.5590734945855696E-2</v>
          </cell>
          <cell r="Z15">
            <v>2.0363242018884616E-2</v>
          </cell>
          <cell r="AA15">
            <v>1.6203584086076452E-2</v>
          </cell>
          <cell r="AB15">
            <v>1.0993056627750378E-4</v>
          </cell>
          <cell r="AC15">
            <v>3.905122043330038E-5</v>
          </cell>
          <cell r="AD15">
            <v>1.3241810572116644E-5</v>
          </cell>
          <cell r="AE15">
            <v>4.2949189787784057E-6</v>
          </cell>
          <cell r="AF15">
            <v>1.500544779481924</v>
          </cell>
          <cell r="BF15">
            <v>2.8861431838113214</v>
          </cell>
        </row>
        <row r="16">
          <cell r="A16" t="str">
            <v>Retro12Med</v>
          </cell>
          <cell r="F16">
            <v>0</v>
          </cell>
          <cell r="H16">
            <v>3089.2097097799751</v>
          </cell>
          <cell r="I16">
            <v>10.583960962316533</v>
          </cell>
          <cell r="L16">
            <v>1.0394680308037006E-2</v>
          </cell>
          <cell r="M16">
            <v>1.0320330389749085E-2</v>
          </cell>
          <cell r="N16">
            <v>1.0227843436868118E-2</v>
          </cell>
          <cell r="O16">
            <v>1.0103573616208695E-2</v>
          </cell>
          <cell r="P16">
            <v>9.9979310202664498E-3</v>
          </cell>
          <cell r="Q16">
            <v>8.8875828223508018E-3</v>
          </cell>
          <cell r="R16">
            <v>7.020134122933148E-3</v>
          </cell>
          <cell r="S16">
            <v>5.5651241338506158E-3</v>
          </cell>
          <cell r="T16">
            <v>4.4089379871599978E-3</v>
          </cell>
          <cell r="U16">
            <v>3.4918594479746183E-3</v>
          </cell>
          <cell r="V16">
            <v>2.7657353791077036E-3</v>
          </cell>
          <cell r="W16">
            <v>2.204058307821344E-3</v>
          </cell>
          <cell r="X16">
            <v>1.757002777096019E-3</v>
          </cell>
          <cell r="Y16">
            <v>1.4065964396898052E-3</v>
          </cell>
          <cell r="Z16">
            <v>1.1260730887506798E-3</v>
          </cell>
          <cell r="AA16">
            <v>9.0149567098871315E-4</v>
          </cell>
          <cell r="AB16">
            <v>6.1532409998235193E-6</v>
          </cell>
          <cell r="AC16">
            <v>2.1991404795932083E-6</v>
          </cell>
          <cell r="AD16">
            <v>7.5023726839947102E-7</v>
          </cell>
          <cell r="AE16">
            <v>2.4481562941501196E-7</v>
          </cell>
          <cell r="AF16">
            <v>8.5532885828445607E-2</v>
          </cell>
          <cell r="BF16">
            <v>2.3729578861272462</v>
          </cell>
        </row>
        <row r="17">
          <cell r="A17" t="str">
            <v>Retro12Med</v>
          </cell>
          <cell r="F17">
            <v>0</v>
          </cell>
          <cell r="H17">
            <v>7352.0644535451484</v>
          </cell>
          <cell r="I17">
            <v>3.6899265922141651</v>
          </cell>
          <cell r="L17">
            <v>0.19420477100132558</v>
          </cell>
          <cell r="M17">
            <v>0.19630086307612016</v>
          </cell>
          <cell r="N17">
            <v>0.19778943832802293</v>
          </cell>
          <cell r="O17">
            <v>0.20046930545009531</v>
          </cell>
          <cell r="P17">
            <v>0.20089870215737493</v>
          </cell>
          <cell r="Q17">
            <v>0.18108293017311761</v>
          </cell>
          <cell r="R17">
            <v>0.14516512245691174</v>
          </cell>
          <cell r="S17">
            <v>0.11662453828842255</v>
          </cell>
          <cell r="T17">
            <v>9.4371561848618071E-2</v>
          </cell>
          <cell r="U17">
            <v>7.5839630947295192E-2</v>
          </cell>
          <cell r="V17">
            <v>6.0882560820665302E-2</v>
          </cell>
          <cell r="W17">
            <v>4.8902365232347152E-2</v>
          </cell>
          <cell r="X17">
            <v>3.9270948058649335E-2</v>
          </cell>
          <cell r="Y17">
            <v>3.1840066834046138E-2</v>
          </cell>
          <cell r="Z17">
            <v>2.5815263091751105E-2</v>
          </cell>
          <cell r="AA17">
            <v>2.0930477689315809E-2</v>
          </cell>
          <cell r="AB17">
            <v>1.4468547642042419E-4</v>
          </cell>
          <cell r="AC17">
            <v>5.2369629946375289E-5</v>
          </cell>
          <cell r="AD17">
            <v>1.8093837493180262E-5</v>
          </cell>
          <cell r="AE17">
            <v>5.9796630242773087E-6</v>
          </cell>
          <cell r="AF17">
            <v>2.0891551571695794</v>
          </cell>
          <cell r="BF17">
            <v>4.8406664200390965</v>
          </cell>
        </row>
        <row r="18">
          <cell r="A18" t="str">
            <v>Retro12Med</v>
          </cell>
          <cell r="F18">
            <v>0</v>
          </cell>
          <cell r="H18">
            <v>9778.8441948756554</v>
          </cell>
          <cell r="I18">
            <v>3.4687940842139779</v>
          </cell>
          <cell r="L18">
            <v>0.28372874302994983</v>
          </cell>
          <cell r="M18">
            <v>0.28608725498579834</v>
          </cell>
          <cell r="N18">
            <v>0.2888140928264547</v>
          </cell>
          <cell r="O18">
            <v>0.29359768693374116</v>
          </cell>
          <cell r="P18">
            <v>0.29544255727519847</v>
          </cell>
          <cell r="Q18">
            <v>0.26667283701412703</v>
          </cell>
          <cell r="R18">
            <v>0.21429725882679795</v>
          </cell>
          <cell r="S18">
            <v>0.17138478074732627</v>
          </cell>
          <cell r="T18">
            <v>0.13875122661909042</v>
          </cell>
          <cell r="U18">
            <v>0.11143347420562404</v>
          </cell>
          <cell r="V18">
            <v>8.9443098682082847E-2</v>
          </cell>
          <cell r="W18">
            <v>7.1913482288709599E-2</v>
          </cell>
          <cell r="X18">
            <v>5.7745559601608994E-2</v>
          </cell>
          <cell r="Y18">
            <v>4.663430776601362E-2</v>
          </cell>
          <cell r="Z18">
            <v>3.7661054387888929E-2</v>
          </cell>
          <cell r="AA18">
            <v>3.0414411311176455E-2</v>
          </cell>
          <cell r="AB18">
            <v>2.0941585954606948E-4</v>
          </cell>
          <cell r="AC18">
            <v>7.5500267532433427E-5</v>
          </cell>
          <cell r="AD18">
            <v>2.5982684885075559E-5</v>
          </cell>
          <cell r="AE18">
            <v>8.5529199402384819E-6</v>
          </cell>
          <cell r="AF18">
            <v>2.9881912625280909</v>
          </cell>
          <cell r="BF18">
            <v>5.0077069605595135</v>
          </cell>
        </row>
        <row r="19">
          <cell r="A19" t="str">
            <v>Retro12Med</v>
          </cell>
          <cell r="F19">
            <v>0</v>
          </cell>
          <cell r="H19">
            <v>5487.2540290366978</v>
          </cell>
          <cell r="I19">
            <v>5.5083068767000904</v>
          </cell>
          <cell r="L19">
            <v>1.9466990387886511E-2</v>
          </cell>
          <cell r="M19">
            <v>1.9274703746491199E-2</v>
          </cell>
          <cell r="N19">
            <v>1.9057059511183364E-2</v>
          </cell>
          <cell r="O19">
            <v>1.8838922042633943E-2</v>
          </cell>
          <cell r="P19">
            <v>1.8507672002890923E-2</v>
          </cell>
          <cell r="Q19">
            <v>1.636488504843699E-2</v>
          </cell>
          <cell r="R19">
            <v>1.2966173291073205E-2</v>
          </cell>
          <cell r="S19">
            <v>1.0250074097250927E-2</v>
          </cell>
          <cell r="T19">
            <v>8.0895006548187438E-3</v>
          </cell>
          <cell r="U19">
            <v>6.3806055776786785E-3</v>
          </cell>
          <cell r="V19">
            <v>5.0165805495035586E-3</v>
          </cell>
          <cell r="W19">
            <v>3.9561594755320216E-3</v>
          </cell>
          <cell r="X19">
            <v>3.1311737532413687E-3</v>
          </cell>
          <cell r="Y19">
            <v>2.4915598975698452E-3</v>
          </cell>
          <cell r="Z19">
            <v>1.9826018012420788E-3</v>
          </cell>
          <cell r="AA19">
            <v>1.5776100370383113E-3</v>
          </cell>
          <cell r="AB19">
            <v>1.0703037291960583E-5</v>
          </cell>
          <cell r="AC19">
            <v>3.8020969303395629E-6</v>
          </cell>
          <cell r="AD19">
            <v>1.2892464504246392E-6</v>
          </cell>
          <cell r="AE19">
            <v>4.181610224746161E-7</v>
          </cell>
          <cell r="AF19">
            <v>0.14609573366983009</v>
          </cell>
          <cell r="BF19">
            <v>3.7987068234986499</v>
          </cell>
        </row>
        <row r="20">
          <cell r="A20" t="str">
            <v>Retro12Med</v>
          </cell>
          <cell r="F20">
            <v>0</v>
          </cell>
          <cell r="H20">
            <v>2706.9390308330653</v>
          </cell>
          <cell r="I20">
            <v>7.3352421698595922</v>
          </cell>
          <cell r="L20">
            <v>1.0120447364392006E-3</v>
          </cell>
          <cell r="M20">
            <v>1.004805894913714E-3</v>
          </cell>
          <cell r="N20">
            <v>9.9580119913869202E-4</v>
          </cell>
          <cell r="O20">
            <v>9.8370206629673496E-4</v>
          </cell>
          <cell r="P20">
            <v>9.7341651349484078E-4</v>
          </cell>
          <cell r="Q20">
            <v>8.6531101952919836E-4</v>
          </cell>
          <cell r="R20">
            <v>6.834928615090238E-4</v>
          </cell>
          <cell r="S20">
            <v>5.4183047678143452E-4</v>
          </cell>
          <cell r="T20">
            <v>4.2926211782984188E-4</v>
          </cell>
          <cell r="U20">
            <v>3.3997370481666795E-4</v>
          </cell>
          <cell r="V20">
            <v>2.6927696185571453E-4</v>
          </cell>
          <cell r="W20">
            <v>2.14591073812151E-4</v>
          </cell>
          <cell r="X20">
            <v>1.7106494473853454E-4</v>
          </cell>
          <cell r="Y20">
            <v>1.3694875464149954E-4</v>
          </cell>
          <cell r="Z20">
            <v>1.0963649756835801E-4</v>
          </cell>
          <cell r="AA20">
            <v>8.7771236989504569E-5</v>
          </cell>
          <cell r="AB20">
            <v>5.9909059070324484E-7</v>
          </cell>
          <cell r="AC20">
            <v>2.1411226522684531E-7</v>
          </cell>
          <cell r="AD20">
            <v>7.3044447358053885E-8</v>
          </cell>
          <cell r="AE20">
            <v>2.3835689199209446E-8</v>
          </cell>
          <cell r="AF20">
            <v>8.3276353220987677E-3</v>
          </cell>
          <cell r="BF20">
            <v>3.1232585287063803</v>
          </cell>
        </row>
        <row r="21">
          <cell r="A21" t="str">
            <v>Retro12Med</v>
          </cell>
          <cell r="F21">
            <v>0</v>
          </cell>
          <cell r="H21">
            <v>6442.2917497301305</v>
          </cell>
          <cell r="I21">
            <v>2.0973622199911715</v>
          </cell>
          <cell r="L21">
            <v>1.8908125161993406E-2</v>
          </cell>
          <cell r="M21">
            <v>1.9112204449525473E-2</v>
          </cell>
          <cell r="N21">
            <v>1.9257134808501213E-2</v>
          </cell>
          <cell r="O21">
            <v>1.951805148269203E-2</v>
          </cell>
          <cell r="P21">
            <v>1.9559858317011954E-2</v>
          </cell>
          <cell r="Q21">
            <v>1.7630559181218312E-2</v>
          </cell>
          <cell r="R21">
            <v>1.413353693845478E-2</v>
          </cell>
          <cell r="S21">
            <v>1.1354774424682565E-2</v>
          </cell>
          <cell r="T21">
            <v>9.1881846875651318E-3</v>
          </cell>
          <cell r="U21">
            <v>7.3838826244956579E-3</v>
          </cell>
          <cell r="V21">
            <v>5.9276354244250668E-3</v>
          </cell>
          <cell r="W21">
            <v>4.7612220738100352E-3</v>
          </cell>
          <cell r="X21">
            <v>3.8234900064222166E-3</v>
          </cell>
          <cell r="Y21">
            <v>3.1000060696771978E-3</v>
          </cell>
          <cell r="Z21">
            <v>2.5134203609513124E-3</v>
          </cell>
          <cell r="AA21">
            <v>2.0378288844777781E-3</v>
          </cell>
          <cell r="AB21">
            <v>1.4086837739230171E-5</v>
          </cell>
          <cell r="AC21">
            <v>5.0988011911745633E-6</v>
          </cell>
          <cell r="AD21">
            <v>1.7616485023402758E-6</v>
          </cell>
          <cell r="AE21">
            <v>5.8219072737820449E-7</v>
          </cell>
          <cell r="AF21">
            <v>0.20340389677819387</v>
          </cell>
          <cell r="BF21">
            <v>6.3712267164099989</v>
          </cell>
        </row>
        <row r="22">
          <cell r="A22" t="str">
            <v>Retro12Med</v>
          </cell>
          <cell r="F22">
            <v>0</v>
          </cell>
          <cell r="H22">
            <v>8568.7724416189358</v>
          </cell>
          <cell r="I22">
            <v>1.9293523918212665</v>
          </cell>
          <cell r="L22">
            <v>2.7624339801769041E-2</v>
          </cell>
          <cell r="M22">
            <v>2.7853968760044923E-2</v>
          </cell>
          <cell r="N22">
            <v>2.8119458587723977E-2</v>
          </cell>
          <cell r="O22">
            <v>2.8585197898032304E-2</v>
          </cell>
          <cell r="P22">
            <v>2.8764817786586364E-2</v>
          </cell>
          <cell r="Q22">
            <v>2.5963746171470573E-2</v>
          </cell>
          <cell r="R22">
            <v>2.0864365848877818E-2</v>
          </cell>
          <cell r="S22">
            <v>1.6686329941961751E-2</v>
          </cell>
          <cell r="T22">
            <v>1.3509068524768467E-2</v>
          </cell>
          <cell r="U22">
            <v>1.0849363106024428E-2</v>
          </cell>
          <cell r="V22">
            <v>8.7083406655638126E-3</v>
          </cell>
          <cell r="W22">
            <v>7.0016257424511865E-3</v>
          </cell>
          <cell r="X22">
            <v>5.6222113538555718E-3</v>
          </cell>
          <cell r="Y22">
            <v>4.5403999270269679E-3</v>
          </cell>
          <cell r="Z22">
            <v>3.6667478683826203E-3</v>
          </cell>
          <cell r="AA22">
            <v>2.96120168848039E-3</v>
          </cell>
          <cell r="AB22">
            <v>2.0389104051292794E-5</v>
          </cell>
          <cell r="AC22">
            <v>7.3508415931630026E-6</v>
          </cell>
          <cell r="AD22">
            <v>2.5297208473230042E-6</v>
          </cell>
          <cell r="AE22">
            <v>8.3272764050392307E-7</v>
          </cell>
          <cell r="AF22">
            <v>0.29093566604226545</v>
          </cell>
          <cell r="BF22">
            <v>6.5910834597049943</v>
          </cell>
        </row>
      </sheetData>
      <sheetData sheetId="3" refreshError="1"/>
      <sheetData sheetId="4" refreshError="1"/>
      <sheetData sheetId="5" refreshError="1"/>
      <sheetData sheetId="6">
        <row r="8">
          <cell r="A8" t="str">
            <v>Green Motor Rewind - Well Pump - 160HP - Idaho</v>
          </cell>
          <cell r="B8" t="str">
            <v>Electric Motor</v>
          </cell>
          <cell r="C8">
            <v>794.9778510054457</v>
          </cell>
          <cell r="D8">
            <v>17.240304509707844</v>
          </cell>
          <cell r="E8">
            <v>593.70905756945012</v>
          </cell>
          <cell r="F8">
            <v>0</v>
          </cell>
          <cell r="G8" t="str">
            <v>A-Irr-Irr-Irrigation-All-All-E</v>
          </cell>
        </row>
        <row r="9">
          <cell r="A9" t="str">
            <v>Green Motor Rewind - Well Pump - 40HP - Montana</v>
          </cell>
          <cell r="B9" t="str">
            <v>Electric Motor</v>
          </cell>
          <cell r="C9">
            <v>275.12202824993074</v>
          </cell>
          <cell r="D9">
            <v>17.240304509707844</v>
          </cell>
          <cell r="E9">
            <v>271.08259220212858</v>
          </cell>
          <cell r="F9">
            <v>0</v>
          </cell>
          <cell r="G9" t="str">
            <v>A-Irr-Irr-Irrigation-All-All-E</v>
          </cell>
        </row>
        <row r="10">
          <cell r="A10" t="str">
            <v>Green Motor Rewind - Well Pump - 60HP - Oregon</v>
          </cell>
          <cell r="B10" t="str">
            <v>Electric Motor</v>
          </cell>
          <cell r="C10">
            <v>631.31902255589375</v>
          </cell>
          <cell r="D10">
            <v>17.240304509707844</v>
          </cell>
          <cell r="E10">
            <v>353.93459573432824</v>
          </cell>
          <cell r="F10">
            <v>0</v>
          </cell>
          <cell r="G10" t="str">
            <v>A-Irr-Irr-Irrigation-All-All-E</v>
          </cell>
        </row>
        <row r="11">
          <cell r="A11" t="str">
            <v>Green Motor Rewind - Well Pump - 90HP - Washington</v>
          </cell>
          <cell r="B11" t="str">
            <v>Electric Motor</v>
          </cell>
          <cell r="C11">
            <v>802.84081813326338</v>
          </cell>
          <cell r="D11">
            <v>17.240304509707844</v>
          </cell>
          <cell r="E11">
            <v>382.57008082610241</v>
          </cell>
          <cell r="F11">
            <v>0</v>
          </cell>
          <cell r="G11" t="str">
            <v>A-Irr-Irr-Irrigation-All-All-E</v>
          </cell>
        </row>
        <row r="12">
          <cell r="A12" t="str">
            <v>Green Motor Rewind - Booster Pump - 80HP - Idaho</v>
          </cell>
          <cell r="B12" t="str">
            <v>Electric Motor</v>
          </cell>
          <cell r="C12">
            <v>413.29092519480037</v>
          </cell>
          <cell r="D12">
            <v>17.240304509707844</v>
          </cell>
          <cell r="E12">
            <v>382.57008082610241</v>
          </cell>
          <cell r="F12">
            <v>0</v>
          </cell>
          <cell r="G12" t="str">
            <v>A-Irr-Irr-Irrigation-All-All-E</v>
          </cell>
        </row>
        <row r="13">
          <cell r="A13" t="str">
            <v>Green Motor Rewind - Booster Pump - 50HP - Montana</v>
          </cell>
          <cell r="B13" t="str">
            <v>Electric Motor</v>
          </cell>
          <cell r="C13">
            <v>296.08742820579209</v>
          </cell>
          <cell r="D13">
            <v>17.240304509707844</v>
          </cell>
          <cell r="E13">
            <v>300.09988376179263</v>
          </cell>
          <cell r="F13">
            <v>0</v>
          </cell>
          <cell r="G13" t="str">
            <v>A-Irr-Irr-Irrigation-All-All-E</v>
          </cell>
        </row>
        <row r="14">
          <cell r="A14" t="str">
            <v>Green Motor Rewind - Booster Pump - 70HP - Oregon</v>
          </cell>
          <cell r="B14" t="str">
            <v>Electric Motor</v>
          </cell>
          <cell r="C14">
            <v>609.87119873090705</v>
          </cell>
          <cell r="D14">
            <v>17.240304509707844</v>
          </cell>
          <cell r="E14">
            <v>353.93459573432824</v>
          </cell>
          <cell r="F14">
            <v>0</v>
          </cell>
          <cell r="G14" t="str">
            <v>A-Irr-Irr-Irrigation-All-All-E</v>
          </cell>
        </row>
        <row r="15">
          <cell r="A15" t="str">
            <v>Green Motor Rewind - Booster Pump - 80HP - Washington</v>
          </cell>
          <cell r="B15" t="str">
            <v>Electric Motor</v>
          </cell>
          <cell r="C15">
            <v>717.09534524928313</v>
          </cell>
          <cell r="D15">
            <v>17.240304509707844</v>
          </cell>
          <cell r="E15">
            <v>382.57008082610241</v>
          </cell>
          <cell r="F15">
            <v>0</v>
          </cell>
          <cell r="G15" t="str">
            <v>A-Irr-Irr-Irrigation-All-All-E</v>
          </cell>
        </row>
        <row r="16">
          <cell r="A16" t="str">
            <v>Green Motor Rewind - Surface and Tailwater Pump - 70HP - Idaho</v>
          </cell>
          <cell r="B16" t="str">
            <v>Electric Motor</v>
          </cell>
          <cell r="C16">
            <v>363.62257806763228</v>
          </cell>
          <cell r="D16">
            <v>17.240304509707844</v>
          </cell>
          <cell r="E16">
            <v>353.93459573432824</v>
          </cell>
          <cell r="F16">
            <v>0</v>
          </cell>
          <cell r="G16" t="str">
            <v>A-Irr-Irr-Irrigation-All-All-E</v>
          </cell>
        </row>
        <row r="17">
          <cell r="A17" t="str">
            <v>Green Motor Rewind - Surface and Tailwater Pump - 70HP - Montana</v>
          </cell>
          <cell r="B17" t="str">
            <v>Electric Motor</v>
          </cell>
          <cell r="C17">
            <v>298.96682501387841</v>
          </cell>
          <cell r="D17">
            <v>17.240304509707844</v>
          </cell>
          <cell r="E17">
            <v>353.93459573432824</v>
          </cell>
          <cell r="F17">
            <v>0</v>
          </cell>
          <cell r="G17" t="str">
            <v>A-Irr-Irr-Irrigation-All-All-E</v>
          </cell>
        </row>
        <row r="18">
          <cell r="A18" t="str">
            <v>Green Motor Rewind - Surface and Tailwater Pump - 70HP - Oregon</v>
          </cell>
          <cell r="B18" t="str">
            <v>Electric Motor</v>
          </cell>
          <cell r="C18">
            <v>609.87119873090705</v>
          </cell>
          <cell r="D18">
            <v>17.240304509707844</v>
          </cell>
          <cell r="E18">
            <v>353.93459573432824</v>
          </cell>
          <cell r="F18">
            <v>0</v>
          </cell>
          <cell r="G18" t="str">
            <v>A-Irr-Irr-Irrigation-All-All-E</v>
          </cell>
        </row>
        <row r="19">
          <cell r="A19" t="str">
            <v>Green Motor Rewind - Surface and Tailwater Pump - 90HP - Washington</v>
          </cell>
          <cell r="B19" t="str">
            <v>Electric Motor</v>
          </cell>
          <cell r="C19">
            <v>802.84081813326338</v>
          </cell>
          <cell r="D19">
            <v>17.240304509707844</v>
          </cell>
          <cell r="E19">
            <v>382.57008082610241</v>
          </cell>
          <cell r="F19">
            <v>0</v>
          </cell>
          <cell r="G19" t="str">
            <v>A-Irr-Irr-Irrigation-All-All-E</v>
          </cell>
        </row>
        <row r="20">
          <cell r="A20" t="str">
            <v>CS to CS Pump Replacement - 0.07 Change in PEI - 100 HP - Idaho</v>
          </cell>
          <cell r="B20" t="str">
            <v>Pump</v>
          </cell>
          <cell r="C20">
            <v>5677.5103243322837</v>
          </cell>
          <cell r="D20">
            <v>17.240304509707844</v>
          </cell>
          <cell r="E20">
            <v>740.64014135599609</v>
          </cell>
          <cell r="F20">
            <v>0</v>
          </cell>
          <cell r="G20" t="str">
            <v>A-Irr-Irr-Irrigation-All-All-E</v>
          </cell>
        </row>
        <row r="21">
          <cell r="A21" t="str">
            <v>CS to CS Pump Replacement - 0.07 Change in PEI - 60 HP - Montana</v>
          </cell>
          <cell r="B21" t="str">
            <v>Pump</v>
          </cell>
          <cell r="C21">
            <v>2800.795117843445</v>
          </cell>
          <cell r="D21">
            <v>17.240304509707844</v>
          </cell>
          <cell r="E21">
            <v>444.38408481359767</v>
          </cell>
          <cell r="F21">
            <v>0</v>
          </cell>
          <cell r="G21" t="str">
            <v>A-Irr-Irr-Irrigation-All-All-E</v>
          </cell>
        </row>
        <row r="22">
          <cell r="A22" t="str">
            <v>CS to CS Pump Replacement - 0.07 Change in PEI - 70 HP - Oregon</v>
          </cell>
          <cell r="B22" t="str">
            <v>Pump</v>
          </cell>
          <cell r="C22">
            <v>6665.6614998876848</v>
          </cell>
          <cell r="D22">
            <v>17.240304509707844</v>
          </cell>
          <cell r="E22">
            <v>518.44809894919729</v>
          </cell>
          <cell r="F22">
            <v>0</v>
          </cell>
          <cell r="G22" t="str">
            <v>A-Irr-Irr-Irrigation-All-All-E</v>
          </cell>
        </row>
        <row r="23">
          <cell r="A23" t="str">
            <v>CS to CS Pump Replacement - 0.07 Change in PEI - 90 HP - Washington</v>
          </cell>
          <cell r="B23" t="str">
            <v>Pump</v>
          </cell>
          <cell r="C23">
            <v>8865.8723920397642</v>
          </cell>
          <cell r="D23">
            <v>17.240304509707844</v>
          </cell>
          <cell r="E23">
            <v>666.57612722039653</v>
          </cell>
          <cell r="F23">
            <v>0</v>
          </cell>
          <cell r="G23" t="str">
            <v>A-Irr-Irr-Irrigation-All-All-E</v>
          </cell>
        </row>
        <row r="24">
          <cell r="A24" t="str">
            <v>VS to VS Pump Replacement - 0.04 Change in PEI - 100 HP - Idaho</v>
          </cell>
          <cell r="B24" t="str">
            <v>Pump</v>
          </cell>
          <cell r="C24">
            <v>4974.9533824906212</v>
          </cell>
          <cell r="D24">
            <v>17.124400362126607</v>
          </cell>
          <cell r="E24">
            <v>491.11116669313918</v>
          </cell>
          <cell r="F24">
            <v>0</v>
          </cell>
          <cell r="G24" t="str">
            <v>A-Irr-Irr-Irrigation-All-All-E</v>
          </cell>
        </row>
        <row r="25">
          <cell r="A25" t="str">
            <v>VS to VS Pump Replacement - 0.04 Change in PEI - 60 HP - Montana</v>
          </cell>
          <cell r="B25" t="str">
            <v>Pump</v>
          </cell>
          <cell r="C25">
            <v>2454.2139686583805</v>
          </cell>
          <cell r="D25">
            <v>17.124400362126607</v>
          </cell>
          <cell r="E25">
            <v>294.66670001588352</v>
          </cell>
          <cell r="F25">
            <v>0</v>
          </cell>
          <cell r="G25" t="str">
            <v>A-Irr-Irr-Irrigation-All-All-E</v>
          </cell>
        </row>
        <row r="26">
          <cell r="A26" t="str">
            <v>VS to VS Pump Replacement - 0.04 Change in PEI - 70 HP - Oregon</v>
          </cell>
          <cell r="B26" t="str">
            <v>Pump</v>
          </cell>
          <cell r="C26">
            <v>5840.8269348772646</v>
          </cell>
          <cell r="D26">
            <v>17.124400362126607</v>
          </cell>
          <cell r="E26">
            <v>343.77781668519742</v>
          </cell>
          <cell r="F26">
            <v>0</v>
          </cell>
          <cell r="G26" t="str">
            <v>A-Irr-Irr-Irrigation-All-All-E</v>
          </cell>
        </row>
        <row r="27">
          <cell r="A27" t="str">
            <v>VS to VS Pump Replacement - 0.04 Change in PEI - 90 HP - Washington</v>
          </cell>
          <cell r="B27" t="str">
            <v>Pump</v>
          </cell>
          <cell r="C27">
            <v>7768.7752775149393</v>
          </cell>
          <cell r="D27">
            <v>17.124400362126607</v>
          </cell>
          <cell r="E27">
            <v>442.00005002382528</v>
          </cell>
          <cell r="F27">
            <v>0</v>
          </cell>
          <cell r="G27" t="str">
            <v>A-Irr-Irr-Irrigation-All-All-E</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R"/>
      <sheetName val="Accomplishments"/>
      <sheetName val="M_Input_Out"/>
      <sheetName val="M_Input"/>
      <sheetName val="Raw"/>
      <sheetName val="MarketData"/>
      <sheetName val="LEDMarketShareData"/>
      <sheetName val="MeasureApplicationBuild-Up"/>
      <sheetName val="CompiledProductData"/>
      <sheetName val="RawProductData"/>
      <sheetName val="Assumptions"/>
      <sheetName val="RTFUESSummary"/>
      <sheetName val="SubjectMatterExpertsInterviewed"/>
      <sheetName val="GDP Deflator"/>
      <sheetName val="UpdateLog"/>
      <sheetName val="ValidationLists"/>
    </sheetNames>
    <sheetDataSet>
      <sheetData sheetId="0" refreshError="1"/>
      <sheetData sheetId="1" refreshError="1"/>
      <sheetData sheetId="2">
        <row r="3">
          <cell r="G3">
            <v>0</v>
          </cell>
          <cell r="H3">
            <v>159.30199839104753</v>
          </cell>
          <cell r="I3">
            <v>19.216396349856183</v>
          </cell>
          <cell r="L3">
            <v>3.0702384533143707E-3</v>
          </cell>
          <cell r="M3">
            <v>5.2222321538058242E-3</v>
          </cell>
          <cell r="N3">
            <v>6.7119871574569129E-3</v>
          </cell>
          <cell r="O3">
            <v>7.8722095208849235E-3</v>
          </cell>
          <cell r="P3">
            <v>8.8887393667064496E-3</v>
          </cell>
          <cell r="Q3">
            <v>9.7683774110856308E-3</v>
          </cell>
          <cell r="R3">
            <v>1.0521946488645724E-2</v>
          </cell>
          <cell r="S3">
            <v>1.1162179420684485E-2</v>
          </cell>
          <cell r="T3">
            <v>1.17023444885727E-2</v>
          </cell>
          <cell r="U3">
            <v>1.2155385541651787E-2</v>
          </cell>
          <cell r="V3">
            <v>1.2533416320474817E-2</v>
          </cell>
          <cell r="W3">
            <v>1.2827826987047281E-2</v>
          </cell>
          <cell r="X3">
            <v>1.3057114244718495E-2</v>
          </cell>
          <cell r="Y3">
            <v>1.3235683340541132E-2</v>
          </cell>
          <cell r="Z3">
            <v>1.3374753092200148E-2</v>
          </cell>
          <cell r="AA3">
            <v>1.3483060723693737E-2</v>
          </cell>
          <cell r="AB3">
            <v>1.3567410791913556E-2</v>
          </cell>
          <cell r="AC3">
            <v>1.3633102691095278E-2</v>
          </cell>
          <cell r="AD3">
            <v>1.3684263593619449E-2</v>
          </cell>
          <cell r="AE3">
            <v>1.3724107744567915E-2</v>
          </cell>
          <cell r="AF3">
            <v>0.15267966792739665</v>
          </cell>
        </row>
        <row r="4">
          <cell r="G4">
            <v>0</v>
          </cell>
          <cell r="H4">
            <v>220.85049776940679</v>
          </cell>
          <cell r="I4">
            <v>16.050766622774997</v>
          </cell>
          <cell r="L4">
            <v>4.2564669466403785E-3</v>
          </cell>
          <cell r="M4">
            <v>7.2399127586853466E-3</v>
          </cell>
          <cell r="N4">
            <v>9.3052549228379924E-3</v>
          </cell>
          <cell r="O4">
            <v>1.0913745017590461E-2</v>
          </cell>
          <cell r="P4">
            <v>1.2323025031115761E-2</v>
          </cell>
          <cell r="Q4">
            <v>1.3542523229005078E-2</v>
          </cell>
          <cell r="R4">
            <v>1.4587243995622477E-2</v>
          </cell>
          <cell r="S4">
            <v>1.5474839651403487E-2</v>
          </cell>
          <cell r="T4">
            <v>1.6223704859157601E-2</v>
          </cell>
          <cell r="U4">
            <v>1.685178450092634E-2</v>
          </cell>
          <cell r="V4">
            <v>1.7375872626112811E-2</v>
          </cell>
          <cell r="W4">
            <v>1.7784032868406456E-2</v>
          </cell>
          <cell r="X4">
            <v>1.8101908384723368E-2</v>
          </cell>
          <cell r="Y4">
            <v>1.8349470085750202E-2</v>
          </cell>
          <cell r="Z4">
            <v>1.8542271332368385E-2</v>
          </cell>
          <cell r="AA4">
            <v>1.8692425094211769E-2</v>
          </cell>
          <cell r="AB4">
            <v>1.8809364961516518E-2</v>
          </cell>
          <cell r="AC4">
            <v>1.8900437821745723E-2</v>
          </cell>
          <cell r="AD4">
            <v>1.8971365436608777E-2</v>
          </cell>
          <cell r="AE4">
            <v>1.9026603918605518E-2</v>
          </cell>
          <cell r="AF4">
            <v>0.21166953962661808</v>
          </cell>
        </row>
        <row r="5">
          <cell r="G5">
            <v>0</v>
          </cell>
          <cell r="H5">
            <v>319.81083010323937</v>
          </cell>
          <cell r="I5">
            <v>12.827236642615462</v>
          </cell>
          <cell r="L5">
            <v>6.1637362888508204E-3</v>
          </cell>
          <cell r="M5">
            <v>1.0484026672413207E-2</v>
          </cell>
          <cell r="N5">
            <v>1.3474822702470317E-2</v>
          </cell>
          <cell r="O5">
            <v>1.5804056992685642E-2</v>
          </cell>
          <cell r="P5">
            <v>1.7844817668009161E-2</v>
          </cell>
          <cell r="Q5">
            <v>1.9610757681346153E-2</v>
          </cell>
          <cell r="R5">
            <v>2.1123604693114518E-2</v>
          </cell>
          <cell r="S5">
            <v>2.2408920806677179E-2</v>
          </cell>
          <cell r="T5">
            <v>2.3493343102058827E-2</v>
          </cell>
          <cell r="U5">
            <v>2.4402857337406998E-2</v>
          </cell>
          <cell r="V5">
            <v>2.5161782764589597E-2</v>
          </cell>
          <cell r="W5">
            <v>2.5752834481572198E-2</v>
          </cell>
          <cell r="X5">
            <v>2.6213146021593945E-2</v>
          </cell>
          <cell r="Y5">
            <v>2.6571637009419693E-2</v>
          </cell>
          <cell r="Z5">
            <v>2.6850830071462418E-2</v>
          </cell>
          <cell r="AA5">
            <v>2.7068265846809395E-2</v>
          </cell>
          <cell r="AB5">
            <v>2.7237604998917368E-2</v>
          </cell>
          <cell r="AC5">
            <v>2.7369486463183702E-2</v>
          </cell>
          <cell r="AD5">
            <v>2.7472195850826921E-2</v>
          </cell>
          <cell r="AE5">
            <v>2.7552186002352253E-2</v>
          </cell>
          <cell r="AF5">
            <v>0.3065160000057584</v>
          </cell>
        </row>
        <row r="6">
          <cell r="G6">
            <v>0</v>
          </cell>
          <cell r="H6">
            <v>415.24489374244007</v>
          </cell>
          <cell r="I6">
            <v>11.59699952031918</v>
          </cell>
          <cell r="L6">
            <v>8.0030436101680841E-3</v>
          </cell>
          <cell r="M6">
            <v>1.3612542577666241E-2</v>
          </cell>
          <cell r="N6">
            <v>1.7495815634133622E-2</v>
          </cell>
          <cell r="O6">
            <v>2.0520111731390501E-2</v>
          </cell>
          <cell r="P6">
            <v>2.3169851421271887E-2</v>
          </cell>
          <cell r="Q6">
            <v>2.5462761805066337E-2</v>
          </cell>
          <cell r="R6">
            <v>2.7427054247719174E-2</v>
          </cell>
          <cell r="S6">
            <v>2.9095918785012932E-2</v>
          </cell>
          <cell r="T6">
            <v>3.0503941210871115E-2</v>
          </cell>
          <cell r="U6">
            <v>3.1684861637776202E-2</v>
          </cell>
          <cell r="V6">
            <v>3.2670256373367686E-2</v>
          </cell>
          <cell r="W6">
            <v>3.3437682565080763E-2</v>
          </cell>
          <cell r="X6">
            <v>3.4035354684136418E-2</v>
          </cell>
          <cell r="Y6">
            <v>3.4500822198476909E-2</v>
          </cell>
          <cell r="Z6">
            <v>3.4863328663139577E-2</v>
          </cell>
          <cell r="AA6">
            <v>3.5145648981687309E-2</v>
          </cell>
          <cell r="AB6">
            <v>3.5365520266849262E-2</v>
          </cell>
          <cell r="AC6">
            <v>3.5536756195908299E-2</v>
          </cell>
          <cell r="AD6">
            <v>3.567011487154944E-2</v>
          </cell>
          <cell r="AE6">
            <v>3.577397471256813E-2</v>
          </cell>
          <cell r="AF6">
            <v>0.39798278192036657</v>
          </cell>
        </row>
        <row r="7">
          <cell r="L7">
            <v>6.3568037876845411E-4</v>
          </cell>
          <cell r="M7">
            <v>1.0812419178596534E-3</v>
          </cell>
          <cell r="N7">
            <v>1.3896896294602991E-3</v>
          </cell>
          <cell r="O7">
            <v>1.6299089487914647E-3</v>
          </cell>
          <cell r="P7">
            <v>1.8403773170459557E-3</v>
          </cell>
          <cell r="Q7">
            <v>2.02250279483302E-3</v>
          </cell>
          <cell r="R7">
            <v>2.1785262060226218E-3</v>
          </cell>
          <cell r="S7">
            <v>2.3110838294538223E-3</v>
          </cell>
          <cell r="T7">
            <v>2.4229228087949842E-3</v>
          </cell>
          <cell r="U7">
            <v>2.5167231153829257E-3</v>
          </cell>
          <cell r="V7">
            <v>2.5949928499075983E-3</v>
          </cell>
          <cell r="W7">
            <v>2.6559493804462035E-3</v>
          </cell>
          <cell r="X7">
            <v>2.7034223741629858E-3</v>
          </cell>
          <cell r="Y7">
            <v>2.7403943788443597E-3</v>
          </cell>
          <cell r="Z7">
            <v>2.7691882050419328E-3</v>
          </cell>
          <cell r="AA7">
            <v>2.7916128594322243E-3</v>
          </cell>
          <cell r="AB7">
            <v>2.8090771978314896E-3</v>
          </cell>
          <cell r="AC7">
            <v>2.8226784382526624E-3</v>
          </cell>
          <cell r="AD7">
            <v>2.833271094943413E-3</v>
          </cell>
          <cell r="AE7">
            <v>2.8415206642689768E-3</v>
          </cell>
          <cell r="AF7">
            <v>3.1611703981349187E-2</v>
          </cell>
        </row>
        <row r="8">
          <cell r="L8">
            <v>8.8128416147444761E-4</v>
          </cell>
          <cell r="M8">
            <v>1.4989944770327013E-3</v>
          </cell>
          <cell r="N8">
            <v>1.9266151681154146E-3</v>
          </cell>
          <cell r="O8">
            <v>2.2596464971881666E-3</v>
          </cell>
          <cell r="P8">
            <v>2.5514321895409838E-3</v>
          </cell>
          <cell r="Q8">
            <v>2.8039243292003234E-3</v>
          </cell>
          <cell r="R8">
            <v>3.0202295128949979E-3</v>
          </cell>
          <cell r="S8">
            <v>3.204002581742799E-3</v>
          </cell>
          <cell r="T8">
            <v>3.3590520758294095E-3</v>
          </cell>
          <cell r="U8">
            <v>3.4890934099626927E-3</v>
          </cell>
          <cell r="V8">
            <v>3.5976037237355337E-3</v>
          </cell>
          <cell r="W8">
            <v>3.6821116410731452E-3</v>
          </cell>
          <cell r="X8">
            <v>3.7479264732714116E-3</v>
          </cell>
          <cell r="Y8">
            <v>3.7991831161251336E-3</v>
          </cell>
          <cell r="Z8">
            <v>3.8391018297172248E-3</v>
          </cell>
          <cell r="AA8">
            <v>3.870190555121947E-3</v>
          </cell>
          <cell r="AB8">
            <v>3.8944024788118378E-3</v>
          </cell>
          <cell r="AC8">
            <v>3.9132587439411901E-3</v>
          </cell>
          <cell r="AD8">
            <v>3.9279440179897313E-3</v>
          </cell>
          <cell r="AE8">
            <v>3.9393809209183539E-3</v>
          </cell>
          <cell r="AF8">
            <v>4.3825316883234107E-2</v>
          </cell>
        </row>
        <row r="9">
          <cell r="L9">
            <v>1.2761765179821237E-3</v>
          </cell>
          <cell r="M9">
            <v>2.1706750623697586E-3</v>
          </cell>
          <cell r="N9">
            <v>2.7899072106589338E-3</v>
          </cell>
          <cell r="O9">
            <v>3.2721656926495315E-3</v>
          </cell>
          <cell r="P9">
            <v>3.694696886493775E-3</v>
          </cell>
          <cell r="Q9">
            <v>4.0603275805359872E-3</v>
          </cell>
          <cell r="R9">
            <v>4.3735563984545053E-3</v>
          </cell>
          <cell r="S9">
            <v>4.6396758697368401E-3</v>
          </cell>
          <cell r="T9">
            <v>4.8642010934141717E-3</v>
          </cell>
          <cell r="U9">
            <v>5.0525123149732986E-3</v>
          </cell>
          <cell r="V9">
            <v>5.2096447365569207E-3</v>
          </cell>
          <cell r="W9">
            <v>5.3320195895321509E-3</v>
          </cell>
          <cell r="X9">
            <v>5.4273252208575087E-3</v>
          </cell>
          <cell r="Y9">
            <v>5.5015493211648123E-3</v>
          </cell>
          <cell r="Z9">
            <v>5.5593551086069101E-3</v>
          </cell>
          <cell r="AA9">
            <v>5.6043743011328744E-3</v>
          </cell>
          <cell r="AB9">
            <v>5.6394352835253394E-3</v>
          </cell>
          <cell r="AC9">
            <v>5.6667408040678453E-3</v>
          </cell>
          <cell r="AD9">
            <v>5.6880063648485184E-3</v>
          </cell>
          <cell r="AE9">
            <v>5.7045680002369608E-3</v>
          </cell>
          <cell r="AF9">
            <v>6.3462890568617689E-2</v>
          </cell>
        </row>
        <row r="10">
          <cell r="L10">
            <v>1.6569976146055363E-3</v>
          </cell>
          <cell r="M10">
            <v>2.818421550427554E-3</v>
          </cell>
          <cell r="N10">
            <v>3.6224374354907186E-3</v>
          </cell>
          <cell r="O10">
            <v>4.2486056363797596E-3</v>
          </cell>
          <cell r="P10">
            <v>4.7972234572149081E-3</v>
          </cell>
          <cell r="Q10">
            <v>5.2719612221852861E-3</v>
          </cell>
          <cell r="R10">
            <v>5.6786599796090362E-3</v>
          </cell>
          <cell r="S10">
            <v>6.0241915913426189E-3</v>
          </cell>
          <cell r="T10">
            <v>6.3157169052861601E-3</v>
          </cell>
          <cell r="U10">
            <v>6.5602216744385542E-3</v>
          </cell>
          <cell r="V10">
            <v>6.7642436448106047E-3</v>
          </cell>
          <cell r="W10">
            <v>6.9231361151001255E-3</v>
          </cell>
          <cell r="X10">
            <v>7.0468816953857556E-3</v>
          </cell>
          <cell r="Y10">
            <v>7.1432548502138298E-3</v>
          </cell>
          <cell r="Z10">
            <v>7.2183103386609963E-3</v>
          </cell>
          <cell r="AA10">
            <v>7.2767636118374534E-3</v>
          </cell>
          <cell r="AB10">
            <v>7.3222870667603683E-3</v>
          </cell>
          <cell r="AC10">
            <v>7.3577407691024499E-3</v>
          </cell>
          <cell r="AD10">
            <v>7.3853521402492432E-3</v>
          </cell>
          <cell r="AE10">
            <v>7.406855897720041E-3</v>
          </cell>
          <cell r="AF10">
            <v>8.2400715580040737E-2</v>
          </cell>
        </row>
        <row r="11">
          <cell r="L11">
            <v>4.4220556489725522E-3</v>
          </cell>
          <cell r="M11">
            <v>7.5215660109571912E-3</v>
          </cell>
          <cell r="N11">
            <v>9.6672558750030314E-3</v>
          </cell>
          <cell r="O11">
            <v>1.1338320821350308E-2</v>
          </cell>
          <cell r="P11">
            <v>1.2802425846226045E-2</v>
          </cell>
          <cell r="Q11">
            <v>1.4069366001639385E-2</v>
          </cell>
          <cell r="R11">
            <v>1.515472938529395E-2</v>
          </cell>
          <cell r="S11">
            <v>1.6076855043229085E-2</v>
          </cell>
          <cell r="T11">
            <v>1.6854853243093378E-2</v>
          </cell>
          <cell r="U11">
            <v>1.7507366974012947E-2</v>
          </cell>
          <cell r="V11">
            <v>1.8051843621804019E-2</v>
          </cell>
          <cell r="W11">
            <v>1.8475882461467797E-2</v>
          </cell>
          <cell r="X11">
            <v>1.8806124241850641E-2</v>
          </cell>
          <cell r="Y11">
            <v>1.9063316799015698E-2</v>
          </cell>
          <cell r="Z11">
            <v>1.9263618563935974E-2</v>
          </cell>
          <cell r="AA11">
            <v>1.9419613735306471E-2</v>
          </cell>
          <cell r="AB11">
            <v>1.9541102896925178E-2</v>
          </cell>
          <cell r="AC11">
            <v>1.9635718751128513E-2</v>
          </cell>
          <cell r="AD11">
            <v>1.9709405652473037E-2</v>
          </cell>
          <cell r="AE11">
            <v>1.9766793068942256E-2</v>
          </cell>
          <cell r="AF11">
            <v>0.21990408833318933</v>
          </cell>
        </row>
        <row r="12">
          <cell r="L12">
            <v>6.1305771497119476E-3</v>
          </cell>
          <cell r="M12">
            <v>1.0427625606099743E-2</v>
          </cell>
          <cell r="N12">
            <v>1.3402332008526929E-2</v>
          </cell>
          <cell r="O12">
            <v>1.571903568414474E-2</v>
          </cell>
          <cell r="P12">
            <v>1.7748817650449743E-2</v>
          </cell>
          <cell r="Q12">
            <v>1.9505257411363691E-2</v>
          </cell>
          <cell r="R12">
            <v>2.1009965738702972E-2</v>
          </cell>
          <cell r="S12">
            <v>2.2288367219022134E-2</v>
          </cell>
          <cell r="T12">
            <v>2.3366955632470366E-2</v>
          </cell>
          <cell r="U12">
            <v>2.4271576941245213E-2</v>
          </cell>
          <cell r="V12">
            <v>2.5026419566591934E-2</v>
          </cell>
          <cell r="W12">
            <v>2.5614291594307628E-2</v>
          </cell>
          <cell r="X12">
            <v>2.6072126789838383E-2</v>
          </cell>
          <cell r="Y12">
            <v>2.6428689198635398E-2</v>
          </cell>
          <cell r="Z12">
            <v>2.6706380281820326E-2</v>
          </cell>
          <cell r="AA12">
            <v>2.6922646314856691E-2</v>
          </cell>
          <cell r="AB12">
            <v>2.7091074470737171E-2</v>
          </cell>
          <cell r="AC12">
            <v>2.7222246450428166E-2</v>
          </cell>
          <cell r="AD12">
            <v>2.7324403290928525E-2</v>
          </cell>
          <cell r="AE12">
            <v>2.7403963118306309E-2</v>
          </cell>
          <cell r="AF12">
            <v>0.30486703155283063</v>
          </cell>
        </row>
        <row r="13">
          <cell r="L13">
            <v>8.8776117195282327E-3</v>
          </cell>
          <cell r="M13">
            <v>1.5100113582603452E-2</v>
          </cell>
          <cell r="N13">
            <v>1.9407748536937903E-2</v>
          </cell>
          <cell r="O13">
            <v>2.2762538012559327E-2</v>
          </cell>
          <cell r="P13">
            <v>2.5701839767044713E-2</v>
          </cell>
          <cell r="Q13">
            <v>2.8245318109351797E-2</v>
          </cell>
          <cell r="R13">
            <v>3.0424267326537097E-2</v>
          </cell>
          <cell r="S13">
            <v>3.227550444284627E-2</v>
          </cell>
          <cell r="T13">
            <v>3.3837394768331405E-2</v>
          </cell>
          <cell r="U13">
            <v>3.5147365516010831E-2</v>
          </cell>
          <cell r="V13">
            <v>3.6240443634682311E-2</v>
          </cell>
          <cell r="W13">
            <v>3.7091733729461875E-2</v>
          </cell>
          <cell r="X13">
            <v>3.7754719121897116E-2</v>
          </cell>
          <cell r="Y13">
            <v>3.8271052664690608E-2</v>
          </cell>
          <cell r="Z13">
            <v>3.8673173632144189E-2</v>
          </cell>
          <cell r="AA13">
            <v>3.8986345756486469E-2</v>
          </cell>
          <cell r="AB13">
            <v>3.923024445216039E-2</v>
          </cell>
          <cell r="AC13">
            <v>3.9420192947341337E-2</v>
          </cell>
          <cell r="AD13">
            <v>3.9568124984131481E-2</v>
          </cell>
          <cell r="AE13">
            <v>3.9683334570224986E-2</v>
          </cell>
          <cell r="AF13">
            <v>0.44147411672950887</v>
          </cell>
        </row>
        <row r="14">
          <cell r="L14">
            <v>1.1526760785343404E-2</v>
          </cell>
          <cell r="M14">
            <v>1.9606106078655389E-2</v>
          </cell>
          <cell r="N14">
            <v>2.5199173137442625E-2</v>
          </cell>
          <cell r="O14">
            <v>2.9555058142597006E-2</v>
          </cell>
          <cell r="P14">
            <v>3.337147062720313E-2</v>
          </cell>
          <cell r="Q14">
            <v>3.6673942884463955E-2</v>
          </cell>
          <cell r="R14">
            <v>3.9503107662492896E-2</v>
          </cell>
          <cell r="S14">
            <v>4.1906768474747787E-2</v>
          </cell>
          <cell r="T14">
            <v>4.3934739141138456E-2</v>
          </cell>
          <cell r="U14">
            <v>4.5635615449017876E-2</v>
          </cell>
          <cell r="V14">
            <v>4.7054876663822263E-2</v>
          </cell>
          <cell r="W14">
            <v>4.8160198409294787E-2</v>
          </cell>
          <cell r="X14">
            <v>4.9021023850214632E-2</v>
          </cell>
          <cell r="Y14">
            <v>4.9691435377690829E-2</v>
          </cell>
          <cell r="Z14">
            <v>5.0213552400269354E-2</v>
          </cell>
          <cell r="AA14">
            <v>5.0620177546308417E-2</v>
          </cell>
          <cell r="AB14">
            <v>5.0936857528460194E-2</v>
          </cell>
          <cell r="AC14">
            <v>5.118348814654302E-2</v>
          </cell>
          <cell r="AD14">
            <v>5.1375564265035319E-2</v>
          </cell>
          <cell r="AE14">
            <v>5.1525153296526412E-2</v>
          </cell>
          <cell r="AF14">
            <v>0.5732134606955126</v>
          </cell>
        </row>
        <row r="15">
          <cell r="L15">
            <v>4.6995772949199174E-3</v>
          </cell>
          <cell r="M15">
            <v>7.9936083245693238E-3</v>
          </cell>
          <cell r="N15">
            <v>1.0273958498215956E-2</v>
          </cell>
          <cell r="O15">
            <v>1.2049896999128968E-2</v>
          </cell>
          <cell r="P15">
            <v>1.3605887081226392E-2</v>
          </cell>
          <cell r="Q15">
            <v>1.4952338519436186E-2</v>
          </cell>
          <cell r="R15">
            <v>1.6105817697326132E-2</v>
          </cell>
          <cell r="S15">
            <v>1.7085814592232226E-2</v>
          </cell>
          <cell r="T15">
            <v>1.791263880382267E-2</v>
          </cell>
          <cell r="U15">
            <v>1.8606103327537014E-2</v>
          </cell>
          <cell r="V15">
            <v>1.9184750521216626E-2</v>
          </cell>
          <cell r="W15">
            <v>1.9635401408776378E-2</v>
          </cell>
          <cell r="X15">
            <v>1.9986368672899733E-2</v>
          </cell>
          <cell r="Y15">
            <v>2.0259702253031437E-2</v>
          </cell>
          <cell r="Z15">
            <v>2.0472574659277716E-2</v>
          </cell>
          <cell r="AA15">
            <v>2.0638359855956613E-2</v>
          </cell>
          <cell r="AB15">
            <v>2.076747349695178E-2</v>
          </cell>
          <cell r="AC15">
            <v>2.0868027301664024E-2</v>
          </cell>
          <cell r="AD15">
            <v>2.0946338683514726E-2</v>
          </cell>
          <cell r="AE15">
            <v>2.1007327649023452E-2</v>
          </cell>
          <cell r="AF15">
            <v>0.23370494236788719</v>
          </cell>
        </row>
        <row r="16">
          <cell r="L16">
            <v>6.5153230679571589E-3</v>
          </cell>
          <cell r="M16">
            <v>1.108204790451656E-2</v>
          </cell>
          <cell r="N16">
            <v>1.4243442463435757E-2</v>
          </cell>
          <cell r="O16">
            <v>1.6705539021519705E-2</v>
          </cell>
          <cell r="P16">
            <v>1.8862707089882042E-2</v>
          </cell>
          <cell r="Q16">
            <v>2.0729378401945619E-2</v>
          </cell>
          <cell r="R16">
            <v>2.2328519989474861E-2</v>
          </cell>
          <cell r="S16">
            <v>2.3687152048321943E-2</v>
          </cell>
          <cell r="T16">
            <v>2.4833431068935971E-2</v>
          </cell>
          <cell r="U16">
            <v>2.5794825067721763E-2</v>
          </cell>
          <cell r="V16">
            <v>2.6597040495323045E-2</v>
          </cell>
          <cell r="W16">
            <v>2.7221806498530881E-2</v>
          </cell>
          <cell r="X16">
            <v>2.7708374751065537E-2</v>
          </cell>
          <cell r="Y16">
            <v>2.8087314487157219E-2</v>
          </cell>
          <cell r="Z16">
            <v>2.8382433050362286E-2</v>
          </cell>
          <cell r="AA16">
            <v>2.8612271618485303E-2</v>
          </cell>
          <cell r="AB16">
            <v>2.8791270075319508E-2</v>
          </cell>
          <cell r="AC16">
            <v>2.8930674213670574E-2</v>
          </cell>
          <cell r="AD16">
            <v>2.9039242265781771E-2</v>
          </cell>
          <cell r="AE16">
            <v>2.912379514978251E-2</v>
          </cell>
          <cell r="AF16">
            <v>0.32400003373729819</v>
          </cell>
        </row>
        <row r="17">
          <cell r="L17">
            <v>9.4347574481346841E-3</v>
          </cell>
          <cell r="M17">
            <v>1.6047774287961142E-2</v>
          </cell>
          <cell r="N17">
            <v>2.0625750015357793E-2</v>
          </cell>
          <cell r="O17">
            <v>2.4191081096736185E-2</v>
          </cell>
          <cell r="P17">
            <v>2.7314849064583289E-2</v>
          </cell>
          <cell r="Q17">
            <v>3.0017952330686281E-2</v>
          </cell>
          <cell r="R17">
            <v>3.2333649165086555E-2</v>
          </cell>
          <cell r="S17">
            <v>3.4301067173799535E-2</v>
          </cell>
          <cell r="T17">
            <v>3.596097941676521E-2</v>
          </cell>
          <cell r="U17">
            <v>3.7353161983312941E-2</v>
          </cell>
          <cell r="V17">
            <v>3.8514840061533377E-2</v>
          </cell>
          <cell r="W17">
            <v>3.9419555858528327E-2</v>
          </cell>
          <cell r="X17">
            <v>4.0124149229685074E-2</v>
          </cell>
          <cell r="Y17">
            <v>4.0672887098888874E-2</v>
          </cell>
          <cell r="Z17">
            <v>4.1100244581125725E-2</v>
          </cell>
          <cell r="AA17">
            <v>4.1433070922943203E-2</v>
          </cell>
          <cell r="AB17">
            <v>4.1692276338577444E-2</v>
          </cell>
          <cell r="AC17">
            <v>4.1894145719249744E-2</v>
          </cell>
          <cell r="AD17">
            <v>4.2051361750995463E-2</v>
          </cell>
          <cell r="AE17">
            <v>4.2173801719630422E-2</v>
          </cell>
          <cell r="AF17">
            <v>0.46918037672340995</v>
          </cell>
        </row>
        <row r="18">
          <cell r="L18">
            <v>1.2250163175436188E-2</v>
          </cell>
          <cell r="M18">
            <v>2.0836556181840167E-2</v>
          </cell>
          <cell r="N18">
            <v>2.6780635823747938E-2</v>
          </cell>
          <cell r="O18">
            <v>3.1409889703504508E-2</v>
          </cell>
          <cell r="P18">
            <v>3.5465814568419116E-2</v>
          </cell>
          <cell r="Q18">
            <v>3.897554508050164E-2</v>
          </cell>
          <cell r="R18">
            <v>4.1982264038799066E-2</v>
          </cell>
          <cell r="S18">
            <v>4.4536775034287428E-2</v>
          </cell>
          <cell r="T18">
            <v>4.6692018128242523E-2</v>
          </cell>
          <cell r="U18">
            <v>4.8499638907468716E-2</v>
          </cell>
          <cell r="V18">
            <v>5.000797084856605E-2</v>
          </cell>
          <cell r="W18">
            <v>5.1182660945424244E-2</v>
          </cell>
          <cell r="X18">
            <v>5.2097510512723648E-2</v>
          </cell>
          <cell r="Y18">
            <v>5.280999607212896E-2</v>
          </cell>
          <cell r="Z18">
            <v>5.3364880383720871E-2</v>
          </cell>
          <cell r="AA18">
            <v>5.3797024720102699E-2</v>
          </cell>
          <cell r="AB18">
            <v>5.4133579067676726E-2</v>
          </cell>
          <cell r="AC18">
            <v>5.4395687857113489E-2</v>
          </cell>
          <cell r="AD18">
            <v>5.4599818387576708E-2</v>
          </cell>
          <cell r="AE18">
            <v>5.475879540455026E-2</v>
          </cell>
          <cell r="AF18">
            <v>0.60918748628887343</v>
          </cell>
        </row>
      </sheetData>
      <sheetData sheetId="3" refreshError="1"/>
      <sheetData sheetId="4" refreshError="1"/>
      <sheetData sheetId="5" refreshError="1"/>
      <sheetData sheetId="6">
        <row r="8">
          <cell r="A8" t="str">
            <v>Exterior LED Area Light w/ New Photocell 20 - 29W</v>
          </cell>
          <cell r="B8" t="str">
            <v>Lighting</v>
          </cell>
          <cell r="C8">
            <v>144.54</v>
          </cell>
          <cell r="D8">
            <v>11</v>
          </cell>
          <cell r="E8">
            <v>51.45739939398689</v>
          </cell>
          <cell r="F8">
            <v>0</v>
          </cell>
          <cell r="G8" t="str">
            <v>S-All-Lgt-Streetlight-All-All-U</v>
          </cell>
          <cell r="I8">
            <v>-35.218166453248671</v>
          </cell>
          <cell r="J8">
            <v>5</v>
          </cell>
        </row>
        <row r="9">
          <cell r="A9" t="str">
            <v>Exterior LED Area Light w/ New Photocell 30 - 44W</v>
          </cell>
          <cell r="B9" t="str">
            <v>Lighting</v>
          </cell>
          <cell r="C9">
            <v>200.38499999999999</v>
          </cell>
          <cell r="D9">
            <v>11</v>
          </cell>
          <cell r="E9">
            <v>55.102060530051574</v>
          </cell>
          <cell r="F9">
            <v>0</v>
          </cell>
          <cell r="G9" t="str">
            <v>S-All-Lgt-Streetlight-All-All-U</v>
          </cell>
          <cell r="I9">
            <v>-35.192255317183992</v>
          </cell>
          <cell r="J9">
            <v>5</v>
          </cell>
        </row>
        <row r="10">
          <cell r="A10" t="str">
            <v>Exterior LED Area Light w/ New Photocell 45 - 59W</v>
          </cell>
          <cell r="B10" t="str">
            <v>Lighting</v>
          </cell>
          <cell r="C10">
            <v>290.17500000000001</v>
          </cell>
          <cell r="D10">
            <v>11</v>
          </cell>
          <cell r="E10">
            <v>59.382821650292527</v>
          </cell>
          <cell r="F10">
            <v>0</v>
          </cell>
          <cell r="G10" t="str">
            <v>S-All-Lgt-Streetlight-All-All-U</v>
          </cell>
          <cell r="I10">
            <v>-35.25399419694304</v>
          </cell>
          <cell r="J10">
            <v>5</v>
          </cell>
        </row>
        <row r="11">
          <cell r="A11" t="str">
            <v>Exterior LED Area Light w/ New Photocell 60 - 75W</v>
          </cell>
          <cell r="B11" t="str">
            <v>Lighting</v>
          </cell>
          <cell r="C11">
            <v>376.76549916341332</v>
          </cell>
          <cell r="D11">
            <v>11</v>
          </cell>
          <cell r="E11">
            <v>64.315519749543498</v>
          </cell>
          <cell r="F11">
            <v>0</v>
          </cell>
          <cell r="G11" t="str">
            <v>S-All-Lgt-Streetlight-All-All-U</v>
          </cell>
          <cell r="I11">
            <v>-34.663796097692071</v>
          </cell>
          <cell r="J11">
            <v>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Retro"/>
      <sheetName val="M_Input_Out"/>
      <sheetName val="M_Input"/>
      <sheetName val="Composite"/>
      <sheetName val="Sample Savings Estimate"/>
      <sheetName val="SavingsData&amp;Analysis"/>
      <sheetName val="SavingsData&amp;Analysis_Circ"/>
      <sheetName val="CostData&amp;Analysis"/>
      <sheetName val="Market Data"/>
      <sheetName val="TMY Data"/>
      <sheetName val="Representative CZ"/>
      <sheetName val="CBH Baseline Data"/>
      <sheetName val="NQ"/>
      <sheetName val="BL Size1 Regressions"/>
      <sheetName val="BL Size2 Var"/>
      <sheetName val="BL Size3 Var"/>
      <sheetName val="BL Flat"/>
      <sheetName val="Treatment Data"/>
      <sheetName val="T1 Size1 Regressions"/>
      <sheetName val="UpdateLog"/>
      <sheetName val="T1 Size2"/>
      <sheetName val="T1 Size3"/>
      <sheetName val="T1 Size4"/>
    </sheetNames>
    <sheetDataSet>
      <sheetData sheetId="0" refreshError="1"/>
      <sheetData sheetId="1" refreshError="1"/>
      <sheetData sheetId="2">
        <row r="3">
          <cell r="A3" t="str">
            <v>Retro5Med</v>
          </cell>
          <cell r="F3">
            <v>2.2139376216045021</v>
          </cell>
          <cell r="H3">
            <v>5024.5639686388522</v>
          </cell>
          <cell r="I3">
            <v>23.568342940088094</v>
          </cell>
          <cell r="L3">
            <v>2.9971700448891973E-3</v>
          </cell>
          <cell r="M3">
            <v>3.6800468208884455E-3</v>
          </cell>
          <cell r="N3">
            <v>4.5033003709533531E-3</v>
          </cell>
          <cell r="O3">
            <v>5.2276221713183687E-3</v>
          </cell>
          <cell r="P3">
            <v>5.9627650755417622E-3</v>
          </cell>
          <cell r="Q3">
            <v>6.9711891148372552E-3</v>
          </cell>
          <cell r="R3">
            <v>7.6475027181133678E-3</v>
          </cell>
          <cell r="S3">
            <v>7.8124642228046661E-3</v>
          </cell>
          <cell r="T3">
            <v>7.3623099491197837E-3</v>
          </cell>
          <cell r="U3">
            <v>6.3285290105394932E-3</v>
          </cell>
          <cell r="V3">
            <v>4.8972829405094414E-3</v>
          </cell>
          <cell r="W3">
            <v>3.360898265566771E-3</v>
          </cell>
          <cell r="X3">
            <v>2.0111871547721935E-3</v>
          </cell>
          <cell r="Y3">
            <v>1.0297694213226632E-3</v>
          </cell>
          <cell r="Z3">
            <v>4.4180617061918007E-4</v>
          </cell>
          <cell r="AA3">
            <v>1.5521561050016545E-4</v>
          </cell>
          <cell r="AB3">
            <v>4.3543305990758427E-5</v>
          </cell>
          <cell r="AC3">
            <v>9.4904635924568295E-6</v>
          </cell>
          <cell r="AD3">
            <v>1.5599668295326642E-6</v>
          </cell>
          <cell r="AE3">
            <v>1.8724913087404084E-7</v>
          </cell>
          <cell r="AF3">
            <v>6.9701628950911587E-2</v>
          </cell>
          <cell r="BF3">
            <v>1.3536076849177108</v>
          </cell>
        </row>
        <row r="4">
          <cell r="A4" t="str">
            <v>Retro5Med</v>
          </cell>
          <cell r="F4">
            <v>2.2957796352499771</v>
          </cell>
          <cell r="H4">
            <v>5687.208943807027</v>
          </cell>
          <cell r="I4">
            <v>20.684531619381819</v>
          </cell>
          <cell r="L4">
            <v>8.836082610765452E-5</v>
          </cell>
          <cell r="M4">
            <v>1.0849300251183177E-4</v>
          </cell>
          <cell r="N4">
            <v>1.3276368541947567E-4</v>
          </cell>
          <cell r="O4">
            <v>1.5411771995521134E-4</v>
          </cell>
          <cell r="P4">
            <v>1.7579077598856057E-4</v>
          </cell>
          <cell r="Q4">
            <v>2.055205476880044E-4</v>
          </cell>
          <cell r="R4">
            <v>2.254592324467235E-4</v>
          </cell>
          <cell r="S4">
            <v>2.303225316964075E-4</v>
          </cell>
          <cell r="T4">
            <v>2.1705134490922001E-4</v>
          </cell>
          <cell r="U4">
            <v>1.8657401583572808E-4</v>
          </cell>
          <cell r="V4">
            <v>1.4437885065754925E-4</v>
          </cell>
          <cell r="W4">
            <v>9.908405020784926E-5</v>
          </cell>
          <cell r="X4">
            <v>5.9292651331480897E-5</v>
          </cell>
          <cell r="Y4">
            <v>3.0359063852126449E-5</v>
          </cell>
          <cell r="Z4">
            <v>1.3025072862295111E-5</v>
          </cell>
          <cell r="AA4">
            <v>4.5759764588550669E-6</v>
          </cell>
          <cell r="AB4">
            <v>1.2837184514647833E-6</v>
          </cell>
          <cell r="AC4">
            <v>2.797923343068463E-7</v>
          </cell>
          <cell r="AD4">
            <v>4.5990035831664221E-8</v>
          </cell>
          <cell r="AE4">
            <v>5.5203700971801988E-9</v>
          </cell>
          <cell r="AF4">
            <v>2.0549029327361513E-3</v>
          </cell>
          <cell r="BF4">
            <v>1.5233946143492056</v>
          </cell>
        </row>
        <row r="5">
          <cell r="A5" t="str">
            <v>Retro5Med</v>
          </cell>
          <cell r="F5">
            <v>2.7781570672344507</v>
          </cell>
          <cell r="H5">
            <v>5030.6438251518066</v>
          </cell>
          <cell r="I5">
            <v>22.465701720053907</v>
          </cell>
          <cell r="L5">
            <v>2.1728148347985119E-3</v>
          </cell>
          <cell r="M5">
            <v>2.6678700925943368E-3</v>
          </cell>
          <cell r="N5">
            <v>3.2646922613704492E-3</v>
          </cell>
          <cell r="O5">
            <v>3.7897933165090326E-3</v>
          </cell>
          <cell r="P5">
            <v>4.322739190139804E-3</v>
          </cell>
          <cell r="Q5">
            <v>5.0538017189692913E-3</v>
          </cell>
          <cell r="R5">
            <v>5.5440989687633706E-3</v>
          </cell>
          <cell r="S5">
            <v>5.6636887148223698E-3</v>
          </cell>
          <cell r="T5">
            <v>5.3373469093321094E-3</v>
          </cell>
          <cell r="U5">
            <v>4.5879017575265095E-3</v>
          </cell>
          <cell r="V5">
            <v>3.55031208238903E-3</v>
          </cell>
          <cell r="W5">
            <v>2.436501599942434E-3</v>
          </cell>
          <cell r="X5">
            <v>1.4580211399406215E-3</v>
          </cell>
          <cell r="Y5">
            <v>7.4653698040495363E-4</v>
          </cell>
          <cell r="Z5">
            <v>3.2028980246343215E-4</v>
          </cell>
          <cell r="AA5">
            <v>1.1252440670230142E-4</v>
          </cell>
          <cell r="AB5">
            <v>3.156695809576214E-5</v>
          </cell>
          <cell r="AC5">
            <v>6.8801635455981315E-6</v>
          </cell>
          <cell r="AD5">
            <v>1.1309064945387442E-6</v>
          </cell>
          <cell r="AE5">
            <v>1.3574728269422733E-7</v>
          </cell>
          <cell r="AF5">
            <v>5.0530577553453769E-2</v>
          </cell>
          <cell r="BF5">
            <v>1.4182529365327812</v>
          </cell>
        </row>
        <row r="6">
          <cell r="A6" t="str">
            <v>Retro5Med</v>
          </cell>
          <cell r="F6">
            <v>2.0671468053366739</v>
          </cell>
          <cell r="H6">
            <v>3743.1574458463247</v>
          </cell>
          <cell r="I6">
            <v>32.012629271526571</v>
          </cell>
          <cell r="L6">
            <v>4.8628376210158092E-3</v>
          </cell>
          <cell r="M6">
            <v>5.9707890642479488E-3</v>
          </cell>
          <cell r="N6">
            <v>7.306498508467504E-3</v>
          </cell>
          <cell r="O6">
            <v>8.4816935250275737E-3</v>
          </cell>
          <cell r="P6">
            <v>9.6744455270623801E-3</v>
          </cell>
          <cell r="Q6">
            <v>1.1310589717341094E-2</v>
          </cell>
          <cell r="R6">
            <v>1.2407892567816305E-2</v>
          </cell>
          <cell r="S6">
            <v>1.2675538713686513E-2</v>
          </cell>
          <cell r="T6">
            <v>1.1945174034822644E-2</v>
          </cell>
          <cell r="U6">
            <v>1.0267888874246074E-2</v>
          </cell>
          <cell r="V6">
            <v>7.9457259238518256E-3</v>
          </cell>
          <cell r="W6">
            <v>5.4529780697875211E-3</v>
          </cell>
          <cell r="X6">
            <v>3.263103665341592E-3</v>
          </cell>
          <cell r="Y6">
            <v>1.67077656855624E-3</v>
          </cell>
          <cell r="Z6">
            <v>7.1682007877644583E-4</v>
          </cell>
          <cell r="AA6">
            <v>2.5183366268998088E-4</v>
          </cell>
          <cell r="AB6">
            <v>7.064798571450125E-5</v>
          </cell>
          <cell r="AC6">
            <v>1.5398053065749912E-5</v>
          </cell>
          <cell r="AD6">
            <v>2.5310093430046393E-6</v>
          </cell>
          <cell r="AE6">
            <v>3.0380729303947829E-7</v>
          </cell>
          <cell r="AF6">
            <v>0.11308924700036765</v>
          </cell>
          <cell r="BF6">
            <v>1.0552812371517661</v>
          </cell>
        </row>
      </sheetData>
      <sheetData sheetId="3" refreshError="1"/>
      <sheetData sheetId="4" refreshError="1"/>
      <sheetData sheetId="5">
        <row r="8">
          <cell r="A8" t="str">
            <v>Stationary Engine Circulating Block Heater for Backup Generator (&lt; 800 kW) - Idaho</v>
          </cell>
          <cell r="B8" t="str">
            <v>Engine Block Heating</v>
          </cell>
          <cell r="C8">
            <v>4506.1776755519932</v>
          </cell>
          <cell r="D8">
            <v>15</v>
          </cell>
          <cell r="E8">
            <v>1001.8702424024679</v>
          </cell>
          <cell r="G8" t="str">
            <v>R-All-EBHC-HZ2-All-All-S</v>
          </cell>
        </row>
        <row r="9">
          <cell r="A9" t="str">
            <v>Stationary Engine Circulating Block Heater for Backup Generator (&lt; 800 kW) - Montana</v>
          </cell>
          <cell r="B9" t="str">
            <v>Engine Block Heating</v>
          </cell>
          <cell r="C9">
            <v>5114.5796911278785</v>
          </cell>
          <cell r="D9">
            <v>15</v>
          </cell>
          <cell r="E9">
            <v>1001.8702424024679</v>
          </cell>
          <cell r="G9" t="str">
            <v>R-All-EBHC-HZ3-All-All-S</v>
          </cell>
        </row>
        <row r="10">
          <cell r="A10" t="str">
            <v>Stationary Engine Circulating Block Heater for Backup Generator (&lt; 800 kW) - Oregon</v>
          </cell>
          <cell r="B10" t="str">
            <v>Engine Block Heating</v>
          </cell>
          <cell r="C10">
            <v>4506.1776755519932</v>
          </cell>
          <cell r="D10">
            <v>15</v>
          </cell>
          <cell r="E10">
            <v>1001.8702424024679</v>
          </cell>
          <cell r="G10" t="str">
            <v>R-All-EBHC-HZ1-All-All-S</v>
          </cell>
        </row>
        <row r="11">
          <cell r="A11" t="str">
            <v>Stationary Engine Circulating Block Heater for Backup Generator (&lt; 800 kW) - Washington</v>
          </cell>
          <cell r="B11" t="str">
            <v>Engine Block Heating</v>
          </cell>
          <cell r="C11">
            <v>3352.9172616469086</v>
          </cell>
          <cell r="D11">
            <v>15</v>
          </cell>
          <cell r="E11">
            <v>1001.8702424024679</v>
          </cell>
          <cell r="G11" t="str">
            <v>R-All-EBHC-HZ1-All-All-S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3:H28" totalsRowShown="0" headerRowDxfId="9" dataDxfId="8">
  <autoFilter ref="A3:H28" xr:uid="{00000000-0009-0000-0100-000001000000}"/>
  <tableColumns count="8">
    <tableColumn id="15" xr3:uid="{00000000-0010-0000-0000-00000F000000}" name="#" dataDxfId="7">
      <calculatedColumnFormula>"AGX_"&amp;ROW()-3</calculatedColumnFormula>
    </tableColumn>
    <tableColumn id="1" xr3:uid="{00000000-0010-0000-0000-000001000000}" name="AEG Database of Energy Efficiency Measures (DEEM) Measure Name" dataDxfId="6"/>
    <tableColumn id="13" xr3:uid="{00000000-0010-0000-0000-00000D000000}" name="AEG Measure Category" dataDxfId="5"/>
    <tableColumn id="12" xr3:uid="{00000000-0010-0000-0000-00000C000000}" name="AEG Measure End Use" dataDxfId="4"/>
    <tableColumn id="2" xr3:uid="{00000000-0010-0000-0000-000002000000}" name="Original 7th Plan/RTF or Synonymous Measure Name" dataDxfId="3"/>
    <tableColumn id="3" xr3:uid="{00000000-0010-0000-0000-000003000000}" name="Measure Description" dataDxfId="2"/>
    <tableColumn id="9" xr3:uid="{00000000-0010-0000-0000-000009000000}" name="In 7th Plan?" dataDxfId="1"/>
    <tableColumn id="14" xr3:uid="{00000000-0010-0000-0000-00000E000000}" name="Applicable NAICS Code/Agricultural Seg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B5D9-0133-46B2-966C-2BDA3CE1B751}">
  <dimension ref="A1:L37"/>
  <sheetViews>
    <sheetView zoomScaleNormal="100" workbookViewId="0">
      <selection activeCell="N3" sqref="N3"/>
    </sheetView>
  </sheetViews>
  <sheetFormatPr defaultRowHeight="13.2" customHeight="1" x14ac:dyDescent="0.25"/>
  <cols>
    <col min="1" max="16384" width="8.88671875" style="72"/>
  </cols>
  <sheetData>
    <row r="1" spans="1:12" ht="13.2" customHeight="1" x14ac:dyDescent="0.25">
      <c r="A1" s="218"/>
      <c r="B1" s="218"/>
      <c r="C1" s="218"/>
      <c r="D1" s="218"/>
      <c r="E1" s="218"/>
      <c r="F1" s="218"/>
      <c r="G1" s="218"/>
      <c r="H1" s="218"/>
      <c r="I1" s="218"/>
      <c r="J1" s="218"/>
      <c r="K1" s="218"/>
      <c r="L1" s="218"/>
    </row>
    <row r="2" spans="1:12" x14ac:dyDescent="0.25">
      <c r="A2" s="218"/>
      <c r="B2" s="218"/>
      <c r="C2" s="218"/>
      <c r="D2" s="218"/>
      <c r="E2" s="218"/>
      <c r="F2" s="218"/>
      <c r="G2" s="218"/>
      <c r="H2" s="218"/>
      <c r="I2" s="218"/>
      <c r="J2" s="218"/>
      <c r="K2" s="218"/>
      <c r="L2" s="218"/>
    </row>
    <row r="3" spans="1:12" x14ac:dyDescent="0.25">
      <c r="A3" s="218"/>
      <c r="B3" s="218"/>
      <c r="C3" s="218"/>
      <c r="D3" s="218"/>
      <c r="E3" s="218"/>
      <c r="F3" s="218"/>
      <c r="G3" s="218"/>
      <c r="H3" s="218"/>
      <c r="I3" s="218"/>
      <c r="J3" s="218"/>
      <c r="K3" s="218"/>
      <c r="L3" s="218"/>
    </row>
    <row r="4" spans="1:12" x14ac:dyDescent="0.25">
      <c r="A4" s="218"/>
      <c r="B4" s="218"/>
      <c r="C4" s="218"/>
      <c r="D4" s="218"/>
      <c r="E4" s="218"/>
      <c r="F4" s="218"/>
      <c r="G4" s="218"/>
      <c r="H4" s="218"/>
      <c r="I4" s="218"/>
      <c r="J4" s="218"/>
      <c r="K4" s="218"/>
      <c r="L4" s="218"/>
    </row>
    <row r="5" spans="1:12" x14ac:dyDescent="0.25">
      <c r="A5" s="218"/>
      <c r="B5" s="218"/>
      <c r="C5" s="218"/>
      <c r="D5" s="218"/>
      <c r="E5" s="218"/>
      <c r="F5" s="218"/>
      <c r="G5" s="218"/>
      <c r="H5" s="218"/>
      <c r="I5" s="218"/>
      <c r="J5" s="218"/>
      <c r="K5" s="218"/>
      <c r="L5" s="218"/>
    </row>
    <row r="6" spans="1:12" x14ac:dyDescent="0.25">
      <c r="A6" s="218"/>
      <c r="B6" s="218"/>
      <c r="C6" s="218"/>
      <c r="D6" s="218"/>
      <c r="E6" s="218"/>
      <c r="F6" s="218"/>
      <c r="G6" s="218"/>
      <c r="H6" s="218"/>
      <c r="I6" s="218"/>
      <c r="J6" s="218"/>
      <c r="K6" s="218"/>
      <c r="L6" s="218"/>
    </row>
    <row r="7" spans="1:12" x14ac:dyDescent="0.25">
      <c r="A7" s="218"/>
      <c r="B7" s="218"/>
      <c r="C7" s="218"/>
      <c r="D7" s="218"/>
      <c r="E7" s="218"/>
      <c r="F7" s="218"/>
      <c r="G7" s="218"/>
      <c r="H7" s="218"/>
      <c r="I7" s="218"/>
      <c r="J7" s="218"/>
      <c r="K7" s="218"/>
      <c r="L7" s="218"/>
    </row>
    <row r="8" spans="1:12" x14ac:dyDescent="0.25">
      <c r="A8" s="218"/>
      <c r="B8" s="218"/>
      <c r="C8" s="218"/>
      <c r="D8" s="218"/>
      <c r="E8" s="218"/>
      <c r="F8" s="218"/>
      <c r="G8" s="218"/>
      <c r="H8" s="218"/>
      <c r="I8" s="218"/>
      <c r="J8" s="218"/>
      <c r="K8" s="218"/>
      <c r="L8" s="218"/>
    </row>
    <row r="9" spans="1:12" x14ac:dyDescent="0.25">
      <c r="A9" s="218"/>
      <c r="B9" s="218"/>
      <c r="C9" s="218"/>
      <c r="D9" s="218"/>
      <c r="E9" s="218"/>
      <c r="F9" s="218"/>
      <c r="G9" s="218"/>
      <c r="H9" s="218"/>
      <c r="I9" s="218"/>
      <c r="J9" s="218"/>
      <c r="K9" s="218"/>
      <c r="L9" s="218"/>
    </row>
    <row r="10" spans="1:12" x14ac:dyDescent="0.25">
      <c r="A10" s="218"/>
      <c r="B10" s="218"/>
      <c r="C10" s="218"/>
      <c r="D10" s="218"/>
      <c r="E10" s="218"/>
      <c r="F10" s="218"/>
      <c r="G10" s="218"/>
      <c r="H10" s="218"/>
      <c r="I10" s="218"/>
      <c r="J10" s="218"/>
      <c r="K10" s="218"/>
      <c r="L10" s="218"/>
    </row>
    <row r="11" spans="1:12" x14ac:dyDescent="0.25">
      <c r="A11" s="218"/>
      <c r="B11" s="218"/>
      <c r="C11" s="218"/>
      <c r="D11" s="218"/>
      <c r="E11" s="218"/>
      <c r="F11" s="218"/>
      <c r="G11" s="218"/>
      <c r="H11" s="218"/>
      <c r="I11" s="218"/>
      <c r="J11" s="218"/>
      <c r="K11" s="218"/>
      <c r="L11" s="218"/>
    </row>
    <row r="12" spans="1:12" x14ac:dyDescent="0.25">
      <c r="A12" s="218"/>
      <c r="B12" s="218"/>
      <c r="C12" s="218"/>
      <c r="D12" s="218"/>
      <c r="E12" s="218"/>
      <c r="F12" s="218"/>
      <c r="G12" s="218"/>
      <c r="H12" s="218"/>
      <c r="I12" s="218"/>
      <c r="J12" s="218"/>
      <c r="K12" s="218"/>
      <c r="L12" s="218"/>
    </row>
    <row r="13" spans="1:12" x14ac:dyDescent="0.25">
      <c r="A13" s="218"/>
      <c r="B13" s="218"/>
      <c r="C13" s="218"/>
      <c r="D13" s="218"/>
      <c r="E13" s="218"/>
      <c r="F13" s="218"/>
      <c r="G13" s="218"/>
      <c r="H13" s="218"/>
      <c r="I13" s="218"/>
      <c r="J13" s="218"/>
      <c r="K13" s="218"/>
      <c r="L13" s="218"/>
    </row>
    <row r="14" spans="1:12" x14ac:dyDescent="0.25">
      <c r="A14" s="218"/>
      <c r="B14" s="218"/>
      <c r="C14" s="218"/>
      <c r="D14" s="218"/>
      <c r="E14" s="218"/>
      <c r="F14" s="218"/>
      <c r="G14" s="218"/>
      <c r="H14" s="218"/>
      <c r="I14" s="218"/>
      <c r="J14" s="218"/>
      <c r="K14" s="218"/>
      <c r="L14" s="218"/>
    </row>
    <row r="15" spans="1:12" x14ac:dyDescent="0.25">
      <c r="A15" s="218"/>
      <c r="B15" s="218"/>
      <c r="C15" s="218"/>
      <c r="D15" s="218"/>
      <c r="E15" s="218"/>
      <c r="F15" s="218"/>
      <c r="G15" s="218"/>
      <c r="H15" s="218"/>
      <c r="I15" s="218"/>
      <c r="J15" s="218"/>
      <c r="K15" s="218"/>
      <c r="L15" s="218"/>
    </row>
    <row r="16" spans="1:12" x14ac:dyDescent="0.25">
      <c r="A16" s="218"/>
      <c r="B16" s="218"/>
      <c r="C16" s="218"/>
      <c r="D16" s="218"/>
      <c r="E16" s="218"/>
      <c r="F16" s="218"/>
      <c r="G16" s="218"/>
      <c r="H16" s="218"/>
      <c r="I16" s="218"/>
      <c r="J16" s="218"/>
      <c r="K16" s="218"/>
      <c r="L16" s="218"/>
    </row>
    <row r="17" spans="1:12" x14ac:dyDescent="0.25">
      <c r="A17" s="218"/>
      <c r="B17" s="218"/>
      <c r="C17" s="218"/>
      <c r="D17" s="218"/>
      <c r="E17" s="218"/>
      <c r="F17" s="218"/>
      <c r="G17" s="218"/>
      <c r="H17" s="218"/>
      <c r="I17" s="218"/>
      <c r="J17" s="218"/>
      <c r="K17" s="218"/>
      <c r="L17" s="218"/>
    </row>
    <row r="18" spans="1:12" x14ac:dyDescent="0.25">
      <c r="A18" s="218"/>
      <c r="B18" s="218"/>
      <c r="C18" s="218"/>
      <c r="D18" s="218"/>
      <c r="E18" s="218"/>
      <c r="F18" s="218"/>
      <c r="G18" s="218"/>
      <c r="H18" s="218"/>
      <c r="I18" s="218"/>
      <c r="J18" s="218"/>
      <c r="K18" s="218"/>
      <c r="L18" s="218"/>
    </row>
    <row r="19" spans="1:12" x14ac:dyDescent="0.25">
      <c r="A19" s="218"/>
      <c r="B19" s="218"/>
      <c r="C19" s="218"/>
      <c r="D19" s="218"/>
      <c r="E19" s="218"/>
      <c r="F19" s="218"/>
      <c r="G19" s="218"/>
      <c r="H19" s="218"/>
      <c r="I19" s="218"/>
      <c r="J19" s="218"/>
      <c r="K19" s="218"/>
      <c r="L19" s="218"/>
    </row>
    <row r="20" spans="1:12" x14ac:dyDescent="0.25">
      <c r="A20" s="218"/>
      <c r="B20" s="218"/>
      <c r="C20" s="218"/>
      <c r="D20" s="218"/>
      <c r="E20" s="218"/>
      <c r="F20" s="218"/>
      <c r="G20" s="218"/>
      <c r="H20" s="218"/>
      <c r="I20" s="218"/>
      <c r="J20" s="218"/>
      <c r="K20" s="218"/>
      <c r="L20" s="218"/>
    </row>
    <row r="21" spans="1:12" x14ac:dyDescent="0.25">
      <c r="A21" s="218"/>
      <c r="B21" s="218"/>
      <c r="C21" s="218"/>
      <c r="D21" s="218"/>
      <c r="E21" s="218"/>
      <c r="F21" s="218"/>
      <c r="G21" s="218"/>
      <c r="H21" s="218"/>
      <c r="I21" s="218"/>
      <c r="J21" s="218"/>
      <c r="K21" s="218"/>
      <c r="L21" s="218"/>
    </row>
    <row r="22" spans="1:12" x14ac:dyDescent="0.25">
      <c r="A22" s="218"/>
      <c r="B22" s="218"/>
      <c r="C22" s="218"/>
      <c r="D22" s="218"/>
      <c r="E22" s="218"/>
      <c r="F22" s="218"/>
      <c r="G22" s="218"/>
      <c r="H22" s="218"/>
      <c r="I22" s="218"/>
      <c r="J22" s="218"/>
      <c r="K22" s="218"/>
      <c r="L22" s="218"/>
    </row>
    <row r="23" spans="1:12" x14ac:dyDescent="0.25">
      <c r="A23" s="218"/>
      <c r="B23" s="218"/>
      <c r="C23" s="218"/>
      <c r="D23" s="218"/>
      <c r="E23" s="218"/>
      <c r="F23" s="218"/>
      <c r="G23" s="218"/>
      <c r="H23" s="218"/>
      <c r="I23" s="218"/>
      <c r="J23" s="218"/>
      <c r="K23" s="218"/>
      <c r="L23" s="218"/>
    </row>
    <row r="24" spans="1:12" x14ac:dyDescent="0.25">
      <c r="A24" s="218"/>
      <c r="B24" s="218"/>
      <c r="C24" s="218"/>
      <c r="D24" s="218"/>
      <c r="E24" s="218"/>
      <c r="F24" s="218"/>
      <c r="G24" s="218"/>
      <c r="H24" s="218"/>
      <c r="I24" s="218"/>
      <c r="J24" s="218"/>
      <c r="K24" s="218"/>
      <c r="L24" s="218"/>
    </row>
    <row r="25" spans="1:12" x14ac:dyDescent="0.25">
      <c r="A25" s="218"/>
      <c r="B25" s="218"/>
      <c r="C25" s="218"/>
      <c r="D25" s="218"/>
      <c r="E25" s="218"/>
      <c r="F25" s="218"/>
      <c r="G25" s="218"/>
      <c r="H25" s="218"/>
      <c r="I25" s="218"/>
      <c r="J25" s="218"/>
      <c r="K25" s="218"/>
      <c r="L25" s="218"/>
    </row>
    <row r="26" spans="1:12" x14ac:dyDescent="0.25">
      <c r="A26" s="218"/>
      <c r="B26" s="218"/>
      <c r="C26" s="218"/>
      <c r="D26" s="218"/>
      <c r="E26" s="218"/>
      <c r="F26" s="218"/>
      <c r="G26" s="218"/>
      <c r="H26" s="218"/>
      <c r="I26" s="218"/>
      <c r="J26" s="218"/>
      <c r="K26" s="218"/>
      <c r="L26" s="218"/>
    </row>
    <row r="27" spans="1:12" x14ac:dyDescent="0.25">
      <c r="A27" s="218"/>
      <c r="B27" s="218"/>
      <c r="C27" s="218"/>
      <c r="D27" s="218"/>
      <c r="E27" s="218"/>
      <c r="F27" s="218"/>
      <c r="G27" s="218"/>
      <c r="H27" s="218"/>
      <c r="I27" s="218"/>
      <c r="J27" s="218"/>
      <c r="K27" s="218"/>
      <c r="L27" s="218"/>
    </row>
    <row r="28" spans="1:12" x14ac:dyDescent="0.25">
      <c r="A28" s="218"/>
      <c r="B28" s="218"/>
      <c r="C28" s="218"/>
      <c r="D28" s="218"/>
      <c r="E28" s="218"/>
      <c r="F28" s="218"/>
      <c r="G28" s="218"/>
      <c r="H28" s="218"/>
      <c r="I28" s="218"/>
      <c r="J28" s="218"/>
      <c r="K28" s="218"/>
      <c r="L28" s="218"/>
    </row>
    <row r="29" spans="1:12" x14ac:dyDescent="0.25">
      <c r="A29" s="218"/>
      <c r="B29" s="218"/>
      <c r="C29" s="218"/>
      <c r="D29" s="218"/>
      <c r="E29" s="218"/>
      <c r="F29" s="218"/>
      <c r="G29" s="218"/>
      <c r="H29" s="218"/>
      <c r="I29" s="218"/>
      <c r="J29" s="218"/>
      <c r="K29" s="218"/>
      <c r="L29" s="218"/>
    </row>
    <row r="30" spans="1:12" x14ac:dyDescent="0.25">
      <c r="A30" s="218"/>
      <c r="B30" s="218"/>
      <c r="C30" s="218"/>
      <c r="D30" s="218"/>
      <c r="E30" s="218"/>
      <c r="F30" s="218"/>
      <c r="G30" s="218"/>
      <c r="H30" s="218"/>
      <c r="I30" s="218"/>
      <c r="J30" s="218"/>
      <c r="K30" s="218"/>
      <c r="L30" s="218"/>
    </row>
    <row r="31" spans="1:12" x14ac:dyDescent="0.25">
      <c r="A31" s="218"/>
      <c r="B31" s="218"/>
      <c r="C31" s="218"/>
      <c r="D31" s="218"/>
      <c r="E31" s="218"/>
      <c r="F31" s="218"/>
      <c r="G31" s="218"/>
      <c r="H31" s="218"/>
      <c r="I31" s="218"/>
      <c r="J31" s="218"/>
      <c r="K31" s="218"/>
      <c r="L31" s="218"/>
    </row>
    <row r="32" spans="1:12" x14ac:dyDescent="0.25">
      <c r="A32" s="218"/>
      <c r="B32" s="218"/>
      <c r="C32" s="218"/>
      <c r="D32" s="218"/>
      <c r="E32" s="218"/>
      <c r="F32" s="218"/>
      <c r="G32" s="218"/>
      <c r="H32" s="218"/>
      <c r="I32" s="218"/>
      <c r="J32" s="218"/>
      <c r="K32" s="218"/>
      <c r="L32" s="218"/>
    </row>
    <row r="33" spans="1:12" x14ac:dyDescent="0.25">
      <c r="A33" s="218"/>
      <c r="B33" s="218"/>
      <c r="C33" s="218"/>
      <c r="D33" s="218"/>
      <c r="E33" s="218"/>
      <c r="F33" s="218"/>
      <c r="G33" s="218"/>
      <c r="H33" s="218"/>
      <c r="I33" s="218"/>
      <c r="J33" s="218"/>
      <c r="K33" s="218"/>
      <c r="L33" s="218"/>
    </row>
    <row r="34" spans="1:12" x14ac:dyDescent="0.25">
      <c r="A34" s="218"/>
      <c r="B34" s="218"/>
      <c r="C34" s="218"/>
      <c r="D34" s="218"/>
      <c r="E34" s="218"/>
      <c r="F34" s="218"/>
      <c r="G34" s="218"/>
      <c r="H34" s="218"/>
      <c r="I34" s="218"/>
      <c r="J34" s="218"/>
      <c r="K34" s="218"/>
      <c r="L34" s="218"/>
    </row>
    <row r="35" spans="1:12" x14ac:dyDescent="0.25">
      <c r="A35" s="218"/>
      <c r="B35" s="218"/>
      <c r="C35" s="218"/>
      <c r="D35" s="218"/>
      <c r="E35" s="218"/>
      <c r="F35" s="218"/>
      <c r="G35" s="218"/>
      <c r="H35" s="218"/>
      <c r="I35" s="218"/>
      <c r="J35" s="218"/>
      <c r="K35" s="218"/>
      <c r="L35" s="218"/>
    </row>
    <row r="36" spans="1:12" x14ac:dyDescent="0.25">
      <c r="A36" s="218"/>
      <c r="B36" s="218"/>
      <c r="C36" s="218"/>
      <c r="D36" s="218"/>
      <c r="E36" s="218"/>
      <c r="F36" s="218"/>
      <c r="G36" s="218"/>
      <c r="H36" s="218"/>
      <c r="I36" s="218"/>
      <c r="J36" s="218"/>
      <c r="K36" s="218"/>
      <c r="L36" s="218"/>
    </row>
    <row r="37" spans="1:12" x14ac:dyDescent="0.25">
      <c r="A37" s="218"/>
      <c r="B37" s="218"/>
      <c r="C37" s="218"/>
      <c r="D37" s="218"/>
      <c r="E37" s="218"/>
      <c r="F37" s="218"/>
      <c r="G37" s="218"/>
      <c r="H37" s="218"/>
      <c r="I37" s="218"/>
      <c r="J37" s="218"/>
      <c r="K37" s="218"/>
      <c r="L37" s="21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BE6-1D3C-4B07-A95C-D92E5B74E841}">
  <sheetPr codeName="Sheet30">
    <tabColor rgb="FFFF66FF"/>
  </sheetPr>
  <dimension ref="A1:U46"/>
  <sheetViews>
    <sheetView zoomScale="85" zoomScaleNormal="85" workbookViewId="0">
      <selection activeCell="J6" sqref="J6"/>
    </sheetView>
  </sheetViews>
  <sheetFormatPr defaultColWidth="9.109375" defaultRowHeight="14.4" customHeight="1" x14ac:dyDescent="0.3"/>
  <cols>
    <col min="1" max="1" width="26.109375" customWidth="1"/>
  </cols>
  <sheetData>
    <row r="1" spans="1:21" x14ac:dyDescent="0.3">
      <c r="A1" s="186"/>
      <c r="B1" s="72"/>
      <c r="C1" s="72"/>
      <c r="D1" s="72"/>
      <c r="E1" s="72"/>
      <c r="F1" s="72"/>
      <c r="G1" s="72"/>
      <c r="H1" s="72"/>
      <c r="I1" s="72"/>
      <c r="J1" s="72"/>
      <c r="K1" s="72"/>
      <c r="L1" s="72"/>
      <c r="M1" s="72"/>
      <c r="N1" s="72"/>
      <c r="O1" s="72"/>
      <c r="P1" s="72"/>
      <c r="Q1" s="72"/>
      <c r="R1" s="72"/>
      <c r="S1" s="72"/>
      <c r="T1" s="72"/>
      <c r="U1" s="72"/>
    </row>
    <row r="2" spans="1:21" x14ac:dyDescent="0.3">
      <c r="A2" s="186" t="s">
        <v>537</v>
      </c>
      <c r="B2" s="186"/>
      <c r="C2" s="186"/>
      <c r="D2" s="186"/>
      <c r="E2" s="186"/>
      <c r="F2" s="186"/>
      <c r="G2" s="186"/>
      <c r="H2" s="186"/>
      <c r="I2" s="186"/>
      <c r="J2" s="186"/>
      <c r="K2" s="186"/>
      <c r="L2" s="186"/>
      <c r="M2" s="186"/>
      <c r="N2" s="72"/>
      <c r="O2" s="72"/>
      <c r="P2" s="72"/>
      <c r="Q2" s="72"/>
      <c r="R2" s="72"/>
      <c r="S2" s="72"/>
      <c r="T2" s="72"/>
      <c r="U2" s="72"/>
    </row>
    <row r="3" spans="1:21" x14ac:dyDescent="0.3">
      <c r="A3" s="72"/>
      <c r="B3" s="72"/>
      <c r="C3" s="72"/>
      <c r="D3" s="72"/>
      <c r="E3" s="72"/>
      <c r="F3" s="72"/>
      <c r="G3" s="72"/>
      <c r="H3" s="72"/>
      <c r="I3" s="72"/>
      <c r="J3" s="72"/>
      <c r="K3" s="72"/>
      <c r="L3" s="72"/>
      <c r="M3" s="72"/>
      <c r="N3" s="72"/>
      <c r="O3" s="72"/>
      <c r="P3" s="72"/>
      <c r="Q3" s="72"/>
      <c r="R3" s="72"/>
      <c r="S3" s="72"/>
      <c r="T3" s="72"/>
      <c r="U3" s="72"/>
    </row>
    <row r="4" spans="1:21" x14ac:dyDescent="0.3">
      <c r="A4" s="72" t="s">
        <v>270</v>
      </c>
      <c r="B4" s="72"/>
      <c r="C4" s="72"/>
      <c r="D4" s="72"/>
      <c r="E4" s="72"/>
      <c r="F4" s="72"/>
      <c r="G4" s="72"/>
      <c r="H4" s="72"/>
      <c r="I4" s="72"/>
      <c r="J4" s="72"/>
      <c r="K4" s="72"/>
      <c r="L4" s="72"/>
      <c r="M4" s="72"/>
      <c r="N4" s="72"/>
      <c r="O4" s="72"/>
      <c r="P4" s="72"/>
      <c r="Q4" s="72"/>
      <c r="R4" s="72"/>
      <c r="S4" s="72"/>
      <c r="T4" s="72"/>
      <c r="U4" s="72"/>
    </row>
    <row r="5" spans="1:21" ht="39.6" x14ac:dyDescent="0.3">
      <c r="A5" s="92" t="s">
        <v>271</v>
      </c>
      <c r="B5" s="92" t="s">
        <v>272</v>
      </c>
      <c r="C5" s="92"/>
      <c r="D5" s="92"/>
      <c r="E5" s="92" t="s">
        <v>273</v>
      </c>
      <c r="F5" s="92" t="s">
        <v>272</v>
      </c>
      <c r="G5" s="92"/>
      <c r="H5" s="92"/>
      <c r="I5" s="92" t="s">
        <v>274</v>
      </c>
      <c r="J5" s="92" t="s">
        <v>272</v>
      </c>
      <c r="K5" s="92"/>
      <c r="L5" s="92"/>
      <c r="M5" s="92" t="s">
        <v>275</v>
      </c>
      <c r="N5" s="92" t="s">
        <v>272</v>
      </c>
      <c r="O5" s="92"/>
      <c r="P5" s="92"/>
      <c r="Q5" s="89" t="s">
        <v>273</v>
      </c>
      <c r="R5" s="78" t="s">
        <v>383</v>
      </c>
      <c r="S5" s="92"/>
      <c r="T5" s="92"/>
      <c r="U5" s="92"/>
    </row>
    <row r="6" spans="1:21" x14ac:dyDescent="0.3">
      <c r="A6" s="72"/>
      <c r="B6" s="72"/>
      <c r="C6" s="72"/>
      <c r="D6" s="72"/>
      <c r="E6" s="72"/>
      <c r="F6" s="72"/>
      <c r="G6" s="72"/>
      <c r="H6" s="72"/>
      <c r="I6" s="186"/>
      <c r="J6" s="186"/>
      <c r="K6" s="72"/>
      <c r="L6" s="72"/>
      <c r="M6" s="72"/>
      <c r="N6" s="72"/>
      <c r="O6" s="72"/>
      <c r="P6" s="72"/>
      <c r="Q6" s="188" t="s">
        <v>283</v>
      </c>
      <c r="R6" s="189">
        <v>0</v>
      </c>
      <c r="S6" s="72"/>
      <c r="T6" s="72"/>
      <c r="U6" s="72"/>
    </row>
    <row r="7" spans="1:21" x14ac:dyDescent="0.3">
      <c r="A7" s="186" t="s">
        <v>276</v>
      </c>
      <c r="B7" s="186">
        <v>22209</v>
      </c>
      <c r="C7" s="72"/>
      <c r="D7" s="72"/>
      <c r="E7" s="73"/>
      <c r="F7" s="72"/>
      <c r="G7" s="72"/>
      <c r="H7" s="72"/>
      <c r="I7" s="186" t="s">
        <v>277</v>
      </c>
      <c r="J7" s="186">
        <v>27151</v>
      </c>
      <c r="K7" s="72"/>
      <c r="L7" s="72"/>
      <c r="M7" s="186" t="s">
        <v>278</v>
      </c>
      <c r="N7" s="186">
        <v>3486</v>
      </c>
      <c r="O7" s="72"/>
      <c r="P7" s="72"/>
      <c r="Q7" s="188" t="s">
        <v>287</v>
      </c>
      <c r="R7" s="189">
        <v>13</v>
      </c>
      <c r="S7" s="72"/>
      <c r="T7" s="72"/>
      <c r="U7" s="72"/>
    </row>
    <row r="8" spans="1:21" x14ac:dyDescent="0.3">
      <c r="A8" s="186" t="s">
        <v>279</v>
      </c>
      <c r="B8" s="186">
        <v>219</v>
      </c>
      <c r="C8" s="72"/>
      <c r="D8" s="72"/>
      <c r="E8" s="73"/>
      <c r="F8" s="72"/>
      <c r="G8" s="72"/>
      <c r="H8" s="72"/>
      <c r="I8" s="186" t="s">
        <v>280</v>
      </c>
      <c r="J8" s="186">
        <v>20536</v>
      </c>
      <c r="K8" s="72"/>
      <c r="L8" s="72"/>
      <c r="M8" s="186" t="s">
        <v>281</v>
      </c>
      <c r="N8" s="186">
        <v>4902</v>
      </c>
      <c r="O8" s="72"/>
      <c r="P8" s="72"/>
      <c r="Q8" s="190" t="s">
        <v>297</v>
      </c>
      <c r="R8" s="189">
        <v>3</v>
      </c>
      <c r="S8" s="72"/>
      <c r="T8" s="72"/>
      <c r="U8" s="72"/>
    </row>
    <row r="9" spans="1:21" x14ac:dyDescent="0.3">
      <c r="A9" s="186" t="s">
        <v>282</v>
      </c>
      <c r="B9" s="186">
        <v>1311</v>
      </c>
      <c r="C9" s="72"/>
      <c r="D9" s="72"/>
      <c r="E9" s="187" t="s">
        <v>283</v>
      </c>
      <c r="F9" s="186">
        <v>13117</v>
      </c>
      <c r="G9" s="72"/>
      <c r="H9" s="72"/>
      <c r="I9" s="186" t="s">
        <v>284</v>
      </c>
      <c r="J9" s="186">
        <v>1876</v>
      </c>
      <c r="K9" s="72"/>
      <c r="L9" s="72"/>
      <c r="M9" s="186" t="s">
        <v>285</v>
      </c>
      <c r="N9" s="186">
        <v>2954</v>
      </c>
      <c r="O9" s="72"/>
      <c r="P9" s="72"/>
      <c r="Q9" s="188" t="s">
        <v>301</v>
      </c>
      <c r="R9" s="189">
        <v>25</v>
      </c>
      <c r="S9" s="72"/>
      <c r="T9" s="72"/>
      <c r="U9" s="72"/>
    </row>
    <row r="10" spans="1:21" x14ac:dyDescent="0.3">
      <c r="A10" s="186" t="s">
        <v>286</v>
      </c>
      <c r="B10" s="186">
        <v>1191</v>
      </c>
      <c r="C10" s="72"/>
      <c r="D10" s="72"/>
      <c r="E10" s="187" t="s">
        <v>287</v>
      </c>
      <c r="F10" s="186">
        <v>22088</v>
      </c>
      <c r="G10" s="72"/>
      <c r="H10" s="72"/>
      <c r="I10" s="186" t="s">
        <v>288</v>
      </c>
      <c r="J10" s="186">
        <v>2210</v>
      </c>
      <c r="K10" s="72"/>
      <c r="L10" s="72"/>
      <c r="M10" s="186" t="s">
        <v>289</v>
      </c>
      <c r="N10" s="186">
        <v>6274</v>
      </c>
      <c r="O10" s="72"/>
      <c r="P10" s="72"/>
      <c r="Q10" s="188" t="s">
        <v>305</v>
      </c>
      <c r="R10" s="189">
        <v>12</v>
      </c>
      <c r="S10" s="72"/>
      <c r="T10" s="72"/>
      <c r="U10" s="72"/>
    </row>
    <row r="11" spans="1:21" x14ac:dyDescent="0.3">
      <c r="A11" s="186" t="s">
        <v>290</v>
      </c>
      <c r="B11" s="186">
        <v>213410</v>
      </c>
      <c r="C11" s="72"/>
      <c r="D11" s="72"/>
      <c r="E11" s="187"/>
      <c r="F11" s="186"/>
      <c r="G11" s="72"/>
      <c r="H11" s="72"/>
      <c r="I11" s="186" t="s">
        <v>291</v>
      </c>
      <c r="J11" s="186">
        <v>10866</v>
      </c>
      <c r="K11" s="72"/>
      <c r="L11" s="72"/>
      <c r="M11" s="186" t="s">
        <v>292</v>
      </c>
      <c r="N11" s="186">
        <v>1911</v>
      </c>
      <c r="O11" s="72"/>
      <c r="P11" s="72"/>
      <c r="Q11" s="188" t="s">
        <v>308</v>
      </c>
      <c r="R11" s="189">
        <v>2</v>
      </c>
      <c r="S11" s="72"/>
      <c r="T11" s="72"/>
      <c r="U11" s="72"/>
    </row>
    <row r="12" spans="1:21" x14ac:dyDescent="0.3">
      <c r="A12" s="186" t="s">
        <v>293</v>
      </c>
      <c r="B12" s="186">
        <v>183</v>
      </c>
      <c r="C12" s="72"/>
      <c r="D12" s="72"/>
      <c r="E12" s="187"/>
      <c r="F12" s="186"/>
      <c r="G12" s="72"/>
      <c r="H12" s="72"/>
      <c r="I12" s="186" t="s">
        <v>294</v>
      </c>
      <c r="J12" s="186">
        <v>3219</v>
      </c>
      <c r="K12" s="72"/>
      <c r="L12" s="72"/>
      <c r="M12" s="186" t="s">
        <v>295</v>
      </c>
      <c r="N12" s="186">
        <v>1048</v>
      </c>
      <c r="O12" s="72"/>
      <c r="P12" s="72"/>
      <c r="Q12" s="188" t="s">
        <v>314</v>
      </c>
      <c r="R12" s="189">
        <v>1</v>
      </c>
      <c r="S12" s="72"/>
      <c r="T12" s="72"/>
      <c r="U12" s="72"/>
    </row>
    <row r="13" spans="1:21" x14ac:dyDescent="0.3">
      <c r="A13" s="186" t="s">
        <v>296</v>
      </c>
      <c r="B13" s="186">
        <v>60089</v>
      </c>
      <c r="C13" s="72"/>
      <c r="D13" s="72"/>
      <c r="E13" s="187" t="s">
        <v>297</v>
      </c>
      <c r="F13" s="186">
        <v>31861</v>
      </c>
      <c r="G13" s="72"/>
      <c r="H13" s="72"/>
      <c r="I13" s="186" t="s">
        <v>298</v>
      </c>
      <c r="J13" s="186">
        <v>14684</v>
      </c>
      <c r="K13" s="72"/>
      <c r="L13" s="72"/>
      <c r="M13" s="186" t="s">
        <v>299</v>
      </c>
      <c r="N13" s="186">
        <v>4102</v>
      </c>
      <c r="O13" s="72"/>
      <c r="P13" s="72"/>
      <c r="Q13" s="188" t="s">
        <v>318</v>
      </c>
      <c r="R13" s="189">
        <v>7</v>
      </c>
      <c r="S13" s="72"/>
      <c r="T13" s="72"/>
      <c r="U13" s="72"/>
    </row>
    <row r="14" spans="1:21" x14ac:dyDescent="0.3">
      <c r="A14" s="186" t="s">
        <v>300</v>
      </c>
      <c r="B14" s="186">
        <v>113157</v>
      </c>
      <c r="C14" s="72"/>
      <c r="D14" s="72"/>
      <c r="E14" s="187" t="s">
        <v>301</v>
      </c>
      <c r="F14" s="186">
        <v>100398</v>
      </c>
      <c r="G14" s="72"/>
      <c r="H14" s="72"/>
      <c r="I14" s="186" t="s">
        <v>302</v>
      </c>
      <c r="J14" s="186">
        <v>37454</v>
      </c>
      <c r="K14" s="72"/>
      <c r="L14" s="72"/>
      <c r="M14" s="186" t="s">
        <v>303</v>
      </c>
      <c r="N14" s="186">
        <v>465</v>
      </c>
      <c r="O14" s="72"/>
      <c r="P14" s="72"/>
      <c r="Q14" s="188" t="s">
        <v>324</v>
      </c>
      <c r="R14" s="189">
        <v>8</v>
      </c>
      <c r="S14" s="72"/>
      <c r="T14" s="72"/>
      <c r="U14" s="72"/>
    </row>
    <row r="15" spans="1:21" x14ac:dyDescent="0.3">
      <c r="A15" s="186" t="s">
        <v>304</v>
      </c>
      <c r="B15" s="186">
        <v>29919</v>
      </c>
      <c r="C15" s="72"/>
      <c r="D15" s="72"/>
      <c r="E15" s="187" t="s">
        <v>305</v>
      </c>
      <c r="F15" s="186">
        <v>48209</v>
      </c>
      <c r="G15" s="72"/>
      <c r="H15" s="72"/>
      <c r="I15" s="186" t="s">
        <v>306</v>
      </c>
      <c r="J15" s="186">
        <v>7991</v>
      </c>
      <c r="K15" s="72"/>
      <c r="L15" s="72"/>
      <c r="M15" s="186" t="s">
        <v>307</v>
      </c>
      <c r="N15" s="186">
        <v>10004</v>
      </c>
      <c r="O15" s="72"/>
      <c r="P15" s="72"/>
      <c r="Q15" s="188" t="s">
        <v>328</v>
      </c>
      <c r="R15" s="189">
        <v>19</v>
      </c>
      <c r="S15" s="72"/>
      <c r="T15" s="72"/>
      <c r="U15" s="72"/>
    </row>
    <row r="16" spans="1:21" x14ac:dyDescent="0.3">
      <c r="A16" s="186" t="s">
        <v>22</v>
      </c>
      <c r="B16" s="186">
        <v>2673</v>
      </c>
      <c r="C16" s="72"/>
      <c r="D16" s="72"/>
      <c r="E16" s="187" t="s">
        <v>308</v>
      </c>
      <c r="F16" s="186">
        <v>4890</v>
      </c>
      <c r="G16" s="72"/>
      <c r="H16" s="72"/>
      <c r="I16" s="186" t="s">
        <v>309</v>
      </c>
      <c r="J16" s="186">
        <v>22308</v>
      </c>
      <c r="K16" s="72"/>
      <c r="L16" s="72"/>
      <c r="M16" s="186" t="s">
        <v>310</v>
      </c>
      <c r="N16" s="186">
        <v>966</v>
      </c>
      <c r="O16" s="72"/>
      <c r="P16" s="72"/>
      <c r="Q16" s="188" t="s">
        <v>332</v>
      </c>
      <c r="R16" s="189">
        <v>3</v>
      </c>
      <c r="S16" s="72"/>
      <c r="T16" s="72"/>
      <c r="U16" s="72"/>
    </row>
    <row r="17" spans="1:21" x14ac:dyDescent="0.3">
      <c r="A17" s="186" t="s">
        <v>311</v>
      </c>
      <c r="B17" s="186">
        <v>13659</v>
      </c>
      <c r="C17" s="72"/>
      <c r="D17" s="72"/>
      <c r="E17" s="187"/>
      <c r="F17" s="186"/>
      <c r="G17" s="72"/>
      <c r="H17" s="72"/>
      <c r="I17" s="186" t="s">
        <v>308</v>
      </c>
      <c r="J17" s="186">
        <v>441</v>
      </c>
      <c r="K17" s="72"/>
      <c r="L17" s="72"/>
      <c r="M17" s="186" t="s">
        <v>312</v>
      </c>
      <c r="N17" s="186">
        <v>3709</v>
      </c>
      <c r="O17" s="72"/>
      <c r="P17" s="72"/>
      <c r="Q17" s="188" t="s">
        <v>335</v>
      </c>
      <c r="R17" s="189">
        <v>0</v>
      </c>
      <c r="S17" s="72"/>
      <c r="T17" s="72"/>
      <c r="U17" s="72"/>
    </row>
    <row r="18" spans="1:21" x14ac:dyDescent="0.3">
      <c r="A18" s="186" t="s">
        <v>313</v>
      </c>
      <c r="B18" s="186">
        <v>158</v>
      </c>
      <c r="C18" s="72"/>
      <c r="D18" s="72"/>
      <c r="E18" s="187" t="s">
        <v>314</v>
      </c>
      <c r="F18" s="186">
        <v>633</v>
      </c>
      <c r="G18" s="72"/>
      <c r="H18" s="72"/>
      <c r="I18" s="186" t="s">
        <v>315</v>
      </c>
      <c r="J18" s="186">
        <v>36850</v>
      </c>
      <c r="K18" s="72"/>
      <c r="L18" s="72"/>
      <c r="M18" s="186" t="s">
        <v>316</v>
      </c>
      <c r="N18" s="186">
        <v>3004</v>
      </c>
      <c r="O18" s="72"/>
      <c r="P18" s="72"/>
      <c r="Q18" s="91" t="s">
        <v>341</v>
      </c>
      <c r="R18" s="90">
        <f>SUM(R6:R17)</f>
        <v>93</v>
      </c>
      <c r="S18" s="72"/>
      <c r="T18" s="72"/>
      <c r="U18" s="72"/>
    </row>
    <row r="19" spans="1:21" x14ac:dyDescent="0.3">
      <c r="A19" s="186" t="s">
        <v>317</v>
      </c>
      <c r="B19" s="186">
        <v>72204</v>
      </c>
      <c r="C19" s="72"/>
      <c r="D19" s="72"/>
      <c r="E19" s="187" t="s">
        <v>318</v>
      </c>
      <c r="F19" s="186">
        <v>15458</v>
      </c>
      <c r="G19" s="72"/>
      <c r="H19" s="72"/>
      <c r="I19" s="186" t="s">
        <v>319</v>
      </c>
      <c r="J19" s="186">
        <v>102576</v>
      </c>
      <c r="K19" s="72"/>
      <c r="L19" s="72"/>
      <c r="M19" s="186" t="s">
        <v>320</v>
      </c>
      <c r="N19" s="186">
        <v>347</v>
      </c>
      <c r="O19" s="72"/>
      <c r="P19" s="72"/>
      <c r="Q19" s="91" t="s">
        <v>345</v>
      </c>
      <c r="R19" s="90">
        <v>379</v>
      </c>
      <c r="S19" s="72"/>
      <c r="T19" s="72"/>
      <c r="U19" s="72"/>
    </row>
    <row r="20" spans="1:21" x14ac:dyDescent="0.3">
      <c r="A20" s="186" t="s">
        <v>307</v>
      </c>
      <c r="B20" s="186">
        <v>0</v>
      </c>
      <c r="C20" s="72"/>
      <c r="D20" s="72"/>
      <c r="E20" s="187"/>
      <c r="F20" s="186"/>
      <c r="G20" s="72"/>
      <c r="H20" s="72"/>
      <c r="I20" s="186" t="s">
        <v>321</v>
      </c>
      <c r="J20" s="186">
        <v>5747</v>
      </c>
      <c r="K20" s="72"/>
      <c r="L20" s="72"/>
      <c r="M20" s="186" t="s">
        <v>322</v>
      </c>
      <c r="N20" s="186">
        <v>23544</v>
      </c>
      <c r="O20" s="72"/>
      <c r="P20" s="72"/>
      <c r="Q20" s="191" t="s">
        <v>349</v>
      </c>
      <c r="R20" s="203">
        <f>ROUND(R18/R19,2)</f>
        <v>0.25</v>
      </c>
      <c r="S20" s="72"/>
      <c r="T20" s="72"/>
      <c r="U20" s="72"/>
    </row>
    <row r="21" spans="1:21" x14ac:dyDescent="0.3">
      <c r="A21" s="186" t="s">
        <v>323</v>
      </c>
      <c r="B21" s="186">
        <v>1091</v>
      </c>
      <c r="C21" s="72"/>
      <c r="D21" s="72"/>
      <c r="E21" s="187" t="s">
        <v>324</v>
      </c>
      <c r="F21" s="186">
        <v>51743</v>
      </c>
      <c r="G21" s="72"/>
      <c r="H21" s="72"/>
      <c r="I21" s="186" t="s">
        <v>325</v>
      </c>
      <c r="J21" s="186">
        <v>20385</v>
      </c>
      <c r="K21" s="72"/>
      <c r="L21" s="72"/>
      <c r="M21" s="186" t="s">
        <v>326</v>
      </c>
      <c r="N21" s="186">
        <v>367</v>
      </c>
      <c r="O21" s="72"/>
      <c r="P21" s="72"/>
      <c r="Q21" s="58"/>
      <c r="R21" s="58"/>
      <c r="S21" s="72"/>
      <c r="T21" s="72"/>
      <c r="U21" s="72"/>
    </row>
    <row r="22" spans="1:21" x14ac:dyDescent="0.3">
      <c r="A22" s="186" t="s">
        <v>327</v>
      </c>
      <c r="B22" s="186">
        <v>59150</v>
      </c>
      <c r="C22" s="72"/>
      <c r="D22" s="72"/>
      <c r="E22" s="187" t="s">
        <v>328</v>
      </c>
      <c r="F22" s="186">
        <v>70972</v>
      </c>
      <c r="G22" s="72"/>
      <c r="H22" s="72"/>
      <c r="I22" s="186" t="s">
        <v>329</v>
      </c>
      <c r="J22" s="186">
        <v>3647</v>
      </c>
      <c r="K22" s="72"/>
      <c r="L22" s="72"/>
      <c r="M22" s="186" t="s">
        <v>330</v>
      </c>
      <c r="N22" s="186">
        <v>8385</v>
      </c>
      <c r="O22" s="72"/>
      <c r="P22" s="72"/>
      <c r="Q22" s="72"/>
      <c r="R22" s="72"/>
      <c r="S22" s="72"/>
      <c r="T22" s="72"/>
      <c r="U22" s="72"/>
    </row>
    <row r="23" spans="1:21" x14ac:dyDescent="0.3">
      <c r="A23" s="186" t="s">
        <v>331</v>
      </c>
      <c r="B23" s="186">
        <v>69</v>
      </c>
      <c r="C23" s="72"/>
      <c r="D23" s="72"/>
      <c r="E23" s="187" t="s">
        <v>332</v>
      </c>
      <c r="F23" s="186">
        <v>21483</v>
      </c>
      <c r="G23" s="72"/>
      <c r="H23" s="72"/>
      <c r="I23" s="186" t="s">
        <v>23</v>
      </c>
      <c r="J23" s="186">
        <v>18026</v>
      </c>
      <c r="K23" s="72"/>
      <c r="L23" s="72"/>
      <c r="M23" s="186" t="s">
        <v>333</v>
      </c>
      <c r="N23" s="186">
        <v>6402</v>
      </c>
      <c r="O23" s="72"/>
      <c r="P23" s="72"/>
      <c r="Q23" s="72"/>
      <c r="R23" s="72"/>
      <c r="S23" s="72"/>
      <c r="T23" s="72"/>
      <c r="U23" s="72"/>
    </row>
    <row r="24" spans="1:21" x14ac:dyDescent="0.3">
      <c r="A24" s="186" t="s">
        <v>334</v>
      </c>
      <c r="B24" s="186">
        <v>22112</v>
      </c>
      <c r="C24" s="72"/>
      <c r="D24" s="72"/>
      <c r="E24" s="187" t="s">
        <v>335</v>
      </c>
      <c r="F24" s="186">
        <v>2412</v>
      </c>
      <c r="G24" s="72"/>
      <c r="H24" s="72"/>
      <c r="I24" s="186" t="s">
        <v>336</v>
      </c>
      <c r="J24" s="186">
        <v>29060</v>
      </c>
      <c r="K24" s="72"/>
      <c r="L24" s="72"/>
      <c r="M24" s="186" t="s">
        <v>337</v>
      </c>
      <c r="N24" s="186">
        <v>123</v>
      </c>
      <c r="O24" s="72"/>
      <c r="P24" s="72"/>
      <c r="Q24" s="72"/>
      <c r="R24" s="72"/>
      <c r="S24" s="72"/>
      <c r="T24" s="72"/>
      <c r="U24" s="72"/>
    </row>
    <row r="25" spans="1:21" x14ac:dyDescent="0.3">
      <c r="A25" s="186" t="s">
        <v>23</v>
      </c>
      <c r="B25" s="186">
        <v>38818</v>
      </c>
      <c r="C25" s="72"/>
      <c r="D25" s="72"/>
      <c r="E25" s="73"/>
      <c r="F25" s="72"/>
      <c r="G25" s="72"/>
      <c r="H25" s="72"/>
      <c r="I25" s="72" t="s">
        <v>338</v>
      </c>
      <c r="J25" s="72">
        <f>SUM(J7:J24)</f>
        <v>365027</v>
      </c>
      <c r="K25" s="72"/>
      <c r="L25" s="72"/>
      <c r="M25" s="186" t="s">
        <v>339</v>
      </c>
      <c r="N25" s="186">
        <v>36498</v>
      </c>
      <c r="O25" s="72"/>
      <c r="P25" s="72"/>
      <c r="Q25" s="72"/>
      <c r="R25" s="72"/>
      <c r="S25" s="72"/>
      <c r="T25" s="72"/>
      <c r="U25" s="72"/>
    </row>
    <row r="26" spans="1:21" x14ac:dyDescent="0.3">
      <c r="A26" s="186" t="s">
        <v>340</v>
      </c>
      <c r="B26" s="186">
        <f>SUM(B7:B25)</f>
        <v>651622</v>
      </c>
      <c r="C26" s="72"/>
      <c r="D26" s="72"/>
      <c r="E26" s="73" t="s">
        <v>341</v>
      </c>
      <c r="F26" s="72">
        <f>SUM(F7:F25)</f>
        <v>383264</v>
      </c>
      <c r="G26" s="72"/>
      <c r="H26" s="72"/>
      <c r="I26" s="72" t="s">
        <v>342</v>
      </c>
      <c r="J26" s="72">
        <v>1664921</v>
      </c>
      <c r="K26" s="72"/>
      <c r="L26" s="72"/>
      <c r="M26" s="72" t="s">
        <v>343</v>
      </c>
      <c r="N26" s="72">
        <f>SUM(N7:N25)</f>
        <v>118491</v>
      </c>
      <c r="O26" s="72"/>
      <c r="P26" s="72"/>
      <c r="Q26" s="72"/>
      <c r="R26" s="72"/>
      <c r="S26" s="72"/>
      <c r="T26" s="72"/>
      <c r="U26" s="72"/>
    </row>
    <row r="27" spans="1:21" x14ac:dyDescent="0.3">
      <c r="A27" s="186" t="s">
        <v>344</v>
      </c>
      <c r="B27" s="186">
        <v>3398266</v>
      </c>
      <c r="C27" s="72"/>
      <c r="D27" s="72"/>
      <c r="E27" s="73" t="s">
        <v>345</v>
      </c>
      <c r="F27" s="72">
        <v>2061236</v>
      </c>
      <c r="G27" s="72"/>
      <c r="H27" s="72"/>
      <c r="I27" s="74" t="s">
        <v>346</v>
      </c>
      <c r="J27" s="75">
        <f>J25/J26</f>
        <v>0.21924583809081633</v>
      </c>
      <c r="K27" s="72"/>
      <c r="L27" s="72"/>
      <c r="M27" s="72" t="s">
        <v>347</v>
      </c>
      <c r="N27" s="72">
        <v>1689377</v>
      </c>
      <c r="O27" s="72"/>
      <c r="P27" s="72"/>
      <c r="Q27" s="72"/>
      <c r="R27" s="72"/>
      <c r="S27" s="72"/>
      <c r="T27" s="72"/>
      <c r="U27" s="72"/>
    </row>
    <row r="28" spans="1:21" x14ac:dyDescent="0.3">
      <c r="A28" s="74" t="s">
        <v>348</v>
      </c>
      <c r="B28" s="75">
        <f>B26/B27</f>
        <v>0.19175132258628372</v>
      </c>
      <c r="C28" s="72"/>
      <c r="D28" s="72"/>
      <c r="E28" s="76" t="s">
        <v>349</v>
      </c>
      <c r="F28" s="75">
        <f>F26/F27</f>
        <v>0.18593892208364302</v>
      </c>
      <c r="G28" s="72"/>
      <c r="H28" s="72"/>
      <c r="I28" s="72"/>
      <c r="J28" s="72"/>
      <c r="K28" s="72"/>
      <c r="L28" s="72"/>
      <c r="M28" s="74" t="s">
        <v>350</v>
      </c>
      <c r="N28" s="75">
        <f>N26/N27</f>
        <v>7.0138873679468819E-2</v>
      </c>
      <c r="O28" s="72"/>
      <c r="P28" s="72"/>
      <c r="Q28" s="72"/>
      <c r="R28" s="72"/>
      <c r="S28" s="72"/>
      <c r="T28" s="72"/>
      <c r="U28" s="72"/>
    </row>
    <row r="29" spans="1:21" x14ac:dyDescent="0.3">
      <c r="A29" s="72"/>
      <c r="B29" s="72"/>
      <c r="C29" s="72"/>
      <c r="D29" s="72"/>
      <c r="E29" s="72"/>
      <c r="F29" s="72"/>
      <c r="G29" s="72"/>
      <c r="H29" s="72"/>
      <c r="I29" s="72"/>
      <c r="J29" s="72"/>
      <c r="K29" s="72"/>
      <c r="L29" s="72"/>
      <c r="M29" s="72"/>
      <c r="N29" s="72"/>
      <c r="O29" s="72"/>
      <c r="P29" s="72"/>
      <c r="Q29" s="72"/>
      <c r="R29" s="72"/>
      <c r="S29" s="72"/>
      <c r="T29" s="72"/>
      <c r="U29" s="72"/>
    </row>
    <row r="30" spans="1:21" x14ac:dyDescent="0.3">
      <c r="A30" s="72"/>
      <c r="B30" s="72"/>
      <c r="C30" s="72"/>
      <c r="D30" s="72"/>
      <c r="E30" s="72"/>
      <c r="F30" s="72"/>
      <c r="G30" s="72"/>
      <c r="H30" s="72"/>
      <c r="I30" s="72"/>
      <c r="J30" s="72"/>
      <c r="K30" s="72"/>
      <c r="L30" s="72"/>
      <c r="M30" s="72"/>
      <c r="N30" s="72"/>
      <c r="O30" s="72"/>
      <c r="P30" s="72"/>
      <c r="Q30" s="72"/>
      <c r="R30" s="72"/>
      <c r="S30" s="72"/>
      <c r="T30" s="72"/>
      <c r="U30" s="72"/>
    </row>
    <row r="31" spans="1:21" x14ac:dyDescent="0.3">
      <c r="A31" s="72"/>
      <c r="B31" s="72"/>
      <c r="C31" s="72"/>
      <c r="D31" s="72"/>
      <c r="E31" s="72"/>
      <c r="F31" s="72"/>
      <c r="G31" s="72"/>
      <c r="H31" s="72"/>
      <c r="I31" s="72"/>
      <c r="J31" s="72"/>
      <c r="K31" s="72"/>
      <c r="L31" s="72"/>
      <c r="M31" s="72"/>
      <c r="N31" s="72"/>
      <c r="O31" s="72"/>
      <c r="P31" s="72"/>
      <c r="Q31" s="72"/>
      <c r="R31" s="72"/>
      <c r="S31" s="72"/>
      <c r="T31" s="72"/>
      <c r="U31" s="72"/>
    </row>
    <row r="32" spans="1:21" x14ac:dyDescent="0.3">
      <c r="A32" s="72"/>
      <c r="B32" s="72"/>
      <c r="C32" s="72"/>
      <c r="D32" s="72"/>
      <c r="E32" s="72"/>
      <c r="F32" s="72"/>
      <c r="G32" s="72"/>
      <c r="H32" s="72"/>
      <c r="I32" s="72"/>
      <c r="J32" s="72"/>
      <c r="K32" s="72"/>
      <c r="L32" s="72"/>
      <c r="M32" s="72"/>
      <c r="N32" s="72"/>
      <c r="O32" s="72"/>
      <c r="P32" s="72"/>
      <c r="Q32" s="72"/>
      <c r="R32" s="72"/>
      <c r="S32" s="72"/>
      <c r="T32" s="72"/>
      <c r="U32" s="72"/>
    </row>
    <row r="33" spans="1:21" x14ac:dyDescent="0.3">
      <c r="A33" s="192" t="s">
        <v>244</v>
      </c>
      <c r="B33" s="193"/>
      <c r="C33" s="77"/>
      <c r="D33" s="72"/>
      <c r="E33" s="72"/>
      <c r="F33" s="72"/>
      <c r="G33" s="72"/>
      <c r="H33" s="72"/>
      <c r="I33" s="72"/>
      <c r="J33" s="72"/>
      <c r="K33" s="72"/>
      <c r="L33" s="72"/>
      <c r="M33" s="72"/>
      <c r="N33" s="72"/>
      <c r="O33" s="72"/>
      <c r="P33" s="72"/>
      <c r="Q33" s="72"/>
      <c r="R33" s="72"/>
      <c r="S33" s="72"/>
      <c r="T33" s="72"/>
      <c r="U33" s="72"/>
    </row>
    <row r="34" spans="1:21" x14ac:dyDescent="0.3">
      <c r="A34" s="194" t="s">
        <v>351</v>
      </c>
      <c r="B34" s="195">
        <f>ROUND('W vs E'!B28,1)</f>
        <v>0.2</v>
      </c>
      <c r="C34" s="77"/>
      <c r="D34" s="72"/>
      <c r="E34" s="72"/>
      <c r="F34" s="72"/>
      <c r="G34" s="72"/>
      <c r="H34" s="72"/>
      <c r="I34" s="72"/>
      <c r="J34" s="72"/>
      <c r="K34" s="72"/>
      <c r="L34" s="72"/>
      <c r="M34" s="72"/>
      <c r="N34" s="72"/>
      <c r="O34" s="72"/>
      <c r="P34" s="72"/>
      <c r="Q34" s="72"/>
      <c r="R34" s="72"/>
      <c r="S34" s="72"/>
      <c r="T34" s="72"/>
      <c r="U34" s="72"/>
    </row>
    <row r="35" spans="1:21" x14ac:dyDescent="0.3">
      <c r="A35" s="196" t="s">
        <v>352</v>
      </c>
      <c r="B35" s="197">
        <f>1-B34</f>
        <v>0.8</v>
      </c>
      <c r="C35" s="77"/>
      <c r="D35" s="72"/>
      <c r="E35" s="72"/>
      <c r="F35" s="72"/>
      <c r="G35" s="72"/>
      <c r="H35" s="72"/>
      <c r="I35" s="72"/>
      <c r="J35" s="72"/>
      <c r="K35" s="72"/>
      <c r="L35" s="72"/>
      <c r="M35" s="72"/>
      <c r="N35" s="72"/>
      <c r="O35" s="72"/>
      <c r="P35" s="72"/>
      <c r="Q35" s="72"/>
      <c r="R35" s="72"/>
      <c r="S35" s="72"/>
      <c r="T35" s="72"/>
      <c r="U35" s="72"/>
    </row>
    <row r="36" spans="1:21" x14ac:dyDescent="0.3">
      <c r="A36" s="194"/>
      <c r="B36" s="198"/>
      <c r="C36" s="77"/>
      <c r="D36" s="72"/>
      <c r="E36" s="72"/>
      <c r="F36" s="72"/>
      <c r="G36" s="72"/>
      <c r="H36" s="72"/>
      <c r="I36" s="72"/>
      <c r="J36" s="72"/>
      <c r="K36" s="72"/>
      <c r="L36" s="72"/>
      <c r="M36" s="72"/>
      <c r="N36" s="72"/>
      <c r="O36" s="72"/>
      <c r="P36" s="72"/>
      <c r="Q36" s="72"/>
      <c r="R36" s="72"/>
      <c r="S36" s="72"/>
      <c r="T36" s="72"/>
      <c r="U36" s="72"/>
    </row>
    <row r="37" spans="1:21" x14ac:dyDescent="0.3">
      <c r="A37" s="192" t="s">
        <v>246</v>
      </c>
      <c r="B37" s="199"/>
      <c r="C37" s="77"/>
      <c r="D37" s="72"/>
      <c r="E37" s="72"/>
      <c r="F37" s="72"/>
      <c r="G37" s="72"/>
      <c r="H37" s="72"/>
      <c r="I37" s="72"/>
      <c r="J37" s="72"/>
      <c r="K37" s="72"/>
      <c r="L37" s="72"/>
      <c r="M37" s="72"/>
      <c r="N37" s="72"/>
      <c r="O37" s="72"/>
      <c r="P37" s="72"/>
      <c r="Q37" s="72"/>
      <c r="R37" s="72"/>
      <c r="S37" s="72"/>
      <c r="T37" s="72"/>
      <c r="U37" s="72"/>
    </row>
    <row r="38" spans="1:21" x14ac:dyDescent="0.3">
      <c r="A38" s="200" t="s">
        <v>353</v>
      </c>
      <c r="B38" s="198">
        <f>1-B39</f>
        <v>0.9</v>
      </c>
      <c r="C38" s="77"/>
      <c r="D38" s="72"/>
      <c r="E38" s="72"/>
      <c r="F38" s="72"/>
      <c r="G38" s="72"/>
      <c r="H38" s="72"/>
      <c r="I38" s="72"/>
      <c r="J38" s="72"/>
      <c r="K38" s="72"/>
      <c r="L38" s="72"/>
      <c r="M38" s="72"/>
      <c r="N38" s="72"/>
      <c r="O38" s="72"/>
      <c r="P38" s="72"/>
      <c r="Q38" s="72"/>
      <c r="R38" s="72"/>
      <c r="S38" s="72"/>
      <c r="T38" s="72"/>
      <c r="U38" s="72"/>
    </row>
    <row r="39" spans="1:21" x14ac:dyDescent="0.3">
      <c r="A39" s="201" t="s">
        <v>354</v>
      </c>
      <c r="B39" s="202">
        <f>ROUND('W vs E'!N28,1)</f>
        <v>0.1</v>
      </c>
      <c r="C39" s="77"/>
      <c r="D39" s="72"/>
      <c r="E39" s="72"/>
      <c r="F39" s="72"/>
      <c r="G39" s="72"/>
      <c r="H39" s="72"/>
      <c r="I39" s="72"/>
      <c r="J39" s="72"/>
      <c r="K39" s="72"/>
      <c r="L39" s="72"/>
      <c r="M39" s="72"/>
      <c r="N39" s="72"/>
      <c r="O39" s="72"/>
      <c r="P39" s="72"/>
      <c r="Q39" s="72"/>
      <c r="R39" s="72"/>
      <c r="S39" s="72"/>
      <c r="T39" s="72"/>
      <c r="U39" s="72"/>
    </row>
    <row r="40" spans="1:21" x14ac:dyDescent="0.3">
      <c r="A40" s="200"/>
      <c r="B40" s="195"/>
      <c r="C40" s="77"/>
      <c r="D40" s="72"/>
      <c r="E40" s="72"/>
      <c r="F40" s="72"/>
      <c r="G40" s="72"/>
      <c r="H40" s="72"/>
      <c r="I40" s="72"/>
      <c r="J40" s="72"/>
      <c r="K40" s="72"/>
      <c r="L40" s="72"/>
      <c r="M40" s="72"/>
      <c r="N40" s="72"/>
      <c r="O40" s="72"/>
      <c r="P40" s="72"/>
      <c r="Q40" s="72"/>
      <c r="R40" s="72"/>
      <c r="S40" s="72"/>
      <c r="T40" s="72"/>
      <c r="U40" s="72"/>
    </row>
    <row r="41" spans="1:21" x14ac:dyDescent="0.3">
      <c r="A41" s="192" t="s">
        <v>245</v>
      </c>
      <c r="B41" s="199"/>
      <c r="C41" s="77"/>
      <c r="D41" s="72"/>
      <c r="E41" s="72"/>
      <c r="F41" s="72"/>
      <c r="G41" s="72"/>
      <c r="H41" s="72"/>
      <c r="I41" s="72"/>
      <c r="J41" s="72"/>
      <c r="K41" s="72"/>
      <c r="L41" s="72"/>
      <c r="M41" s="72"/>
      <c r="N41" s="72"/>
      <c r="O41" s="72"/>
      <c r="P41" s="72"/>
      <c r="Q41" s="72"/>
      <c r="R41" s="72"/>
      <c r="S41" s="72"/>
      <c r="T41" s="72"/>
      <c r="U41" s="72"/>
    </row>
    <row r="42" spans="1:21" x14ac:dyDescent="0.3">
      <c r="A42" s="200" t="s">
        <v>353</v>
      </c>
      <c r="B42" s="198">
        <f>1-B43</f>
        <v>0.78</v>
      </c>
      <c r="C42" s="77"/>
      <c r="D42" s="72"/>
      <c r="E42" s="72"/>
      <c r="F42" s="72"/>
      <c r="G42" s="72"/>
      <c r="H42" s="72"/>
      <c r="I42" s="72"/>
      <c r="J42" s="72"/>
      <c r="K42" s="72"/>
      <c r="L42" s="72"/>
      <c r="M42" s="72"/>
      <c r="N42" s="72"/>
      <c r="O42" s="72"/>
      <c r="P42" s="72"/>
      <c r="Q42" s="72"/>
      <c r="R42" s="72"/>
      <c r="S42" s="72"/>
      <c r="T42" s="72"/>
      <c r="U42" s="72"/>
    </row>
    <row r="43" spans="1:21" x14ac:dyDescent="0.3">
      <c r="A43" s="201" t="s">
        <v>354</v>
      </c>
      <c r="B43" s="202">
        <f>ROUND('W vs E'!J27,2)</f>
        <v>0.22</v>
      </c>
      <c r="C43" s="77"/>
      <c r="D43" s="72"/>
      <c r="E43" s="72"/>
      <c r="F43" s="72"/>
      <c r="G43" s="72"/>
      <c r="H43" s="72"/>
      <c r="I43" s="72"/>
      <c r="J43" s="72"/>
      <c r="K43" s="72"/>
      <c r="L43" s="72"/>
      <c r="M43" s="72"/>
      <c r="N43" s="72"/>
      <c r="O43" s="72"/>
      <c r="P43" s="72"/>
      <c r="Q43" s="72"/>
      <c r="R43" s="72"/>
      <c r="S43" s="72"/>
      <c r="T43" s="72"/>
      <c r="U43" s="72"/>
    </row>
    <row r="44" spans="1:21" x14ac:dyDescent="0.3">
      <c r="A44" s="200"/>
      <c r="B44" s="195"/>
      <c r="C44" s="77"/>
      <c r="D44" s="72"/>
      <c r="E44" s="72"/>
      <c r="F44" s="72"/>
      <c r="G44" s="72"/>
      <c r="H44" s="72"/>
      <c r="I44" s="72"/>
      <c r="J44" s="72"/>
      <c r="K44" s="72"/>
      <c r="L44" s="72"/>
      <c r="M44" s="72"/>
      <c r="N44" s="72"/>
      <c r="O44" s="72"/>
      <c r="P44" s="72"/>
      <c r="Q44" s="72"/>
      <c r="R44" s="72"/>
      <c r="S44" s="72"/>
      <c r="T44" s="72"/>
      <c r="U44" s="72"/>
    </row>
    <row r="45" spans="1:21" x14ac:dyDescent="0.3">
      <c r="A45" s="192" t="s">
        <v>247</v>
      </c>
      <c r="B45" s="199"/>
      <c r="C45" s="77"/>
      <c r="D45" s="72"/>
      <c r="E45" s="72"/>
      <c r="F45" s="72"/>
      <c r="G45" s="72"/>
      <c r="H45" s="72"/>
      <c r="I45" s="72"/>
      <c r="J45" s="72"/>
      <c r="K45" s="72"/>
      <c r="L45" s="72"/>
      <c r="M45" s="72"/>
      <c r="N45" s="72"/>
      <c r="O45" s="72"/>
      <c r="P45" s="72"/>
      <c r="Q45" s="72"/>
      <c r="R45" s="72"/>
      <c r="S45" s="72"/>
      <c r="T45" s="72"/>
      <c r="U45" s="72"/>
    </row>
    <row r="46" spans="1:21" x14ac:dyDescent="0.3">
      <c r="A46" s="201" t="s">
        <v>25</v>
      </c>
      <c r="B46" s="202">
        <f>ROUND('W vs E'!$F$28,1)</f>
        <v>0.2</v>
      </c>
      <c r="C46" s="77" t="s">
        <v>355</v>
      </c>
      <c r="D46" s="72"/>
      <c r="E46" s="72"/>
      <c r="F46" s="72"/>
      <c r="G46" s="72"/>
      <c r="H46" s="72"/>
      <c r="I46" s="72"/>
      <c r="J46" s="72"/>
      <c r="K46" s="72"/>
      <c r="L46" s="72"/>
      <c r="M46" s="72"/>
      <c r="N46" s="72"/>
      <c r="O46" s="72"/>
      <c r="P46" s="72"/>
      <c r="Q46" s="72"/>
      <c r="R46" s="72"/>
      <c r="S46" s="72"/>
      <c r="T46" s="72"/>
      <c r="U46" s="7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00D23-9A35-475F-A91E-DDB7535CA165}">
  <dimension ref="A1:B3"/>
  <sheetViews>
    <sheetView workbookViewId="0">
      <selection activeCell="F14" sqref="A14:F19"/>
    </sheetView>
  </sheetViews>
  <sheetFormatPr defaultRowHeight="14.4" customHeight="1" x14ac:dyDescent="0.3"/>
  <cols>
    <col min="1" max="1" width="106.33203125" customWidth="1"/>
    <col min="2" max="2" width="9.5546875" bestFit="1" customWidth="1"/>
  </cols>
  <sheetData>
    <row r="1" spans="1:2" ht="14.4" customHeight="1" x14ac:dyDescent="0.3">
      <c r="A1" t="s">
        <v>536</v>
      </c>
    </row>
    <row r="2" spans="1:2" ht="14.4" customHeight="1" x14ac:dyDescent="0.3">
      <c r="A2" t="s">
        <v>534</v>
      </c>
      <c r="B2" t="s">
        <v>535</v>
      </c>
    </row>
    <row r="3" spans="1:2" ht="14.4" customHeight="1" x14ac:dyDescent="0.3">
      <c r="A3" t="s">
        <v>538</v>
      </c>
      <c r="B3" s="204">
        <v>43571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AT933"/>
  <sheetViews>
    <sheetView tabSelected="1" zoomScale="85" zoomScaleNormal="85" workbookViewId="0">
      <pane xSplit="6" ySplit="3" topLeftCell="R72" activePane="bottomRight" state="frozen"/>
      <selection activeCell="E15" sqref="E15"/>
      <selection pane="topRight" activeCell="E15" sqref="E15"/>
      <selection pane="bottomLeft" activeCell="E15" sqref="E15"/>
      <selection pane="bottomRight" activeCell="U84" sqref="U84"/>
    </sheetView>
  </sheetViews>
  <sheetFormatPr defaultColWidth="9.109375" defaultRowHeight="14.4" customHeight="1" outlineLevelCol="1" x14ac:dyDescent="0.3"/>
  <cols>
    <col min="1" max="1" width="9.5546875" customWidth="1"/>
    <col min="4" max="4" width="17.5546875" customWidth="1"/>
    <col min="5" max="5" width="23" bestFit="1" customWidth="1"/>
    <col min="6" max="6" width="57.33203125" customWidth="1"/>
    <col min="7" max="8" width="15.6640625" bestFit="1" customWidth="1"/>
    <col min="9" max="9" width="7.33203125" bestFit="1" customWidth="1"/>
    <col min="10" max="10" width="19.109375" bestFit="1" customWidth="1"/>
    <col min="11" max="11" width="17.33203125" bestFit="1" customWidth="1"/>
    <col min="12" max="12" width="12" bestFit="1" customWidth="1"/>
    <col min="13" max="13" width="12.5546875" customWidth="1"/>
    <col min="14" max="14" width="13.6640625" customWidth="1"/>
    <col min="15" max="15" width="23.5546875" customWidth="1"/>
    <col min="16" max="16" width="15.5546875" bestFit="1" customWidth="1"/>
    <col min="17" max="17" width="17.44140625" customWidth="1"/>
    <col min="18" max="18" width="15.5546875" customWidth="1"/>
    <col min="19" max="19" width="12.88671875" customWidth="1"/>
    <col min="20" max="20" width="15.5546875" customWidth="1"/>
    <col min="21" max="21" width="14.5546875" customWidth="1"/>
    <col min="22" max="22" width="9.109375" customWidth="1"/>
    <col min="23" max="23" width="11" bestFit="1" customWidth="1"/>
    <col min="24" max="24" width="15.33203125" customWidth="1" outlineLevel="1"/>
    <col min="25" max="26" width="14.33203125" customWidth="1" outlineLevel="1"/>
    <col min="27" max="27" width="12.5546875" customWidth="1" outlineLevel="1"/>
    <col min="28" max="28" width="10.33203125" customWidth="1" outlineLevel="1"/>
    <col min="29" max="30" width="10.88671875" customWidth="1" outlineLevel="1"/>
    <col min="31" max="31" width="13.44140625" customWidth="1" outlineLevel="1"/>
    <col min="32" max="32" width="11.88671875" customWidth="1" outlineLevel="1"/>
    <col min="33" max="33" width="11" customWidth="1" outlineLevel="1"/>
    <col min="34" max="34" width="14.33203125" customWidth="1" outlineLevel="1"/>
    <col min="35" max="36" width="57.88671875" customWidth="1"/>
    <col min="37" max="37" width="35.109375" customWidth="1"/>
    <col min="38" max="38" width="19.33203125" customWidth="1"/>
  </cols>
  <sheetData>
    <row r="1" spans="1:46" x14ac:dyDescent="0.3">
      <c r="A1" s="46" t="s">
        <v>477</v>
      </c>
      <c r="B1" s="45"/>
      <c r="C1" s="45"/>
      <c r="D1" s="45"/>
      <c r="E1" s="45"/>
      <c r="F1" s="45"/>
      <c r="G1" s="45" t="s">
        <v>181</v>
      </c>
      <c r="H1" s="36" t="s">
        <v>180</v>
      </c>
      <c r="I1" s="44"/>
      <c r="J1" s="45"/>
      <c r="K1" s="45"/>
      <c r="L1" s="44"/>
      <c r="M1" s="45"/>
      <c r="N1" s="45"/>
      <c r="O1" s="45"/>
      <c r="P1" s="45"/>
      <c r="Q1" s="45"/>
      <c r="R1" s="45"/>
      <c r="S1" s="45"/>
      <c r="T1" s="45"/>
      <c r="U1" s="45"/>
      <c r="V1" s="45"/>
      <c r="W1" s="173"/>
      <c r="X1" s="45"/>
      <c r="Y1" s="45"/>
      <c r="Z1" s="45"/>
      <c r="AA1" s="45"/>
      <c r="AB1" s="45"/>
      <c r="AC1" s="45"/>
      <c r="AD1" s="45"/>
      <c r="AE1" s="45"/>
      <c r="AF1" s="45"/>
      <c r="AG1" s="45"/>
      <c r="AH1" s="45"/>
      <c r="AI1" s="45"/>
      <c r="AJ1" s="45"/>
      <c r="AK1" s="45"/>
      <c r="AL1" s="45"/>
      <c r="AM1" s="45"/>
      <c r="AN1" s="45"/>
      <c r="AO1" s="45"/>
      <c r="AP1" s="45"/>
      <c r="AQ1" s="45"/>
      <c r="AR1" s="45"/>
      <c r="AS1" s="45"/>
      <c r="AT1" s="45"/>
    </row>
    <row r="2" spans="1:46" x14ac:dyDescent="0.3">
      <c r="A2" s="47" t="s">
        <v>178</v>
      </c>
      <c r="B2" s="45"/>
      <c r="C2" s="45" t="s">
        <v>533</v>
      </c>
      <c r="D2" s="45"/>
      <c r="E2" s="45"/>
      <c r="F2" s="45"/>
      <c r="G2" s="45"/>
      <c r="H2" s="35" t="s">
        <v>179</v>
      </c>
      <c r="I2" s="44"/>
      <c r="J2" s="45"/>
      <c r="K2" s="45"/>
      <c r="L2" s="44"/>
      <c r="M2" s="45"/>
      <c r="N2" s="45"/>
      <c r="O2" s="45"/>
      <c r="P2" s="45"/>
      <c r="Q2" s="45"/>
      <c r="R2" s="45"/>
      <c r="S2" s="45"/>
      <c r="T2" s="45"/>
      <c r="U2" s="45"/>
      <c r="V2" s="45"/>
      <c r="W2" s="173"/>
      <c r="X2" s="45"/>
      <c r="Y2" s="45"/>
      <c r="Z2" s="45"/>
      <c r="AA2" s="45"/>
      <c r="AB2" s="45"/>
      <c r="AC2" s="45"/>
      <c r="AD2" s="45"/>
      <c r="AE2" s="45"/>
      <c r="AF2" s="45"/>
      <c r="AG2" s="45"/>
      <c r="AH2" s="45"/>
      <c r="AI2" s="45"/>
      <c r="AJ2" s="45"/>
      <c r="AK2" s="45"/>
      <c r="AL2" s="45"/>
      <c r="AM2" s="45"/>
      <c r="AN2" s="45"/>
      <c r="AO2" s="45"/>
      <c r="AP2" s="45"/>
      <c r="AQ2" s="45"/>
      <c r="AR2" s="45"/>
      <c r="AS2" s="45"/>
      <c r="AT2" s="45"/>
    </row>
    <row r="3" spans="1:46" ht="39.6" x14ac:dyDescent="0.3">
      <c r="A3" s="169" t="s">
        <v>486</v>
      </c>
      <c r="B3" s="3" t="s">
        <v>472</v>
      </c>
      <c r="C3" s="3" t="s">
        <v>0</v>
      </c>
      <c r="D3" s="3" t="s">
        <v>1</v>
      </c>
      <c r="E3" s="3" t="s">
        <v>484</v>
      </c>
      <c r="F3" s="1" t="s">
        <v>2</v>
      </c>
      <c r="G3" s="3" t="s">
        <v>19</v>
      </c>
      <c r="H3" s="3" t="s">
        <v>20</v>
      </c>
      <c r="I3" s="3" t="s">
        <v>80</v>
      </c>
      <c r="J3" s="1" t="s">
        <v>3</v>
      </c>
      <c r="K3" s="1" t="s">
        <v>4</v>
      </c>
      <c r="L3" s="1" t="s">
        <v>5</v>
      </c>
      <c r="M3" s="1" t="s">
        <v>454</v>
      </c>
      <c r="N3" s="1" t="s">
        <v>6</v>
      </c>
      <c r="O3" s="1" t="s">
        <v>7</v>
      </c>
      <c r="P3" s="1" t="s">
        <v>8</v>
      </c>
      <c r="Q3" s="110" t="s">
        <v>541</v>
      </c>
      <c r="R3" s="110" t="s">
        <v>432</v>
      </c>
      <c r="S3" s="110" t="s">
        <v>430</v>
      </c>
      <c r="T3" s="110" t="s">
        <v>431</v>
      </c>
      <c r="U3" s="110" t="s">
        <v>433</v>
      </c>
      <c r="V3" s="110" t="s">
        <v>460</v>
      </c>
      <c r="W3" s="175" t="s">
        <v>510</v>
      </c>
      <c r="X3" s="1" t="s">
        <v>9</v>
      </c>
      <c r="Y3" s="1" t="s">
        <v>10</v>
      </c>
      <c r="Z3" s="1" t="s">
        <v>11</v>
      </c>
      <c r="AA3" s="1" t="s">
        <v>12</v>
      </c>
      <c r="AB3" s="1" t="s">
        <v>13</v>
      </c>
      <c r="AC3" s="1" t="s">
        <v>14</v>
      </c>
      <c r="AD3" s="4" t="s">
        <v>15</v>
      </c>
      <c r="AE3" s="1" t="s">
        <v>7</v>
      </c>
      <c r="AF3" s="5" t="s">
        <v>16</v>
      </c>
      <c r="AG3" s="5" t="s">
        <v>17</v>
      </c>
      <c r="AH3" s="5" t="s">
        <v>18</v>
      </c>
      <c r="AI3" s="3" t="s">
        <v>39</v>
      </c>
      <c r="AJ3" s="3" t="s">
        <v>38</v>
      </c>
      <c r="AK3" s="3" t="s">
        <v>61</v>
      </c>
      <c r="AL3" s="3" t="s">
        <v>64</v>
      </c>
      <c r="AM3" s="45"/>
      <c r="AN3" s="45"/>
      <c r="AO3" s="45"/>
      <c r="AP3" s="45"/>
      <c r="AQ3" s="45"/>
      <c r="AR3" s="45"/>
      <c r="AS3" s="45"/>
      <c r="AT3" s="45"/>
    </row>
    <row r="4" spans="1:46" s="45" customFormat="1" ht="13.2" x14ac:dyDescent="0.25">
      <c r="A4" s="158" t="str">
        <f>"AG_"&amp;VLOOKUP($E4,MeasureTypeCode,2,0)&amp;"_"&amp;VLOOKUP($G4,State,2,0)&amp;COUNTIFS($E$3:$E4,$E4,$G$3:$G4,$G4)</f>
        <v>AG_IrrSprnklr_ID1</v>
      </c>
      <c r="B4" s="7" t="s">
        <v>479</v>
      </c>
      <c r="C4" s="8" t="s">
        <v>34</v>
      </c>
      <c r="D4" s="8" t="s">
        <v>33</v>
      </c>
      <c r="E4" s="8" t="s">
        <v>26</v>
      </c>
      <c r="F4" s="8" t="str">
        <f>[3]M_Input!A8</f>
        <v>Wheel and Hand_Rebuilt or new impact sprinkler - Idaho</v>
      </c>
      <c r="G4" s="8" t="s">
        <v>22</v>
      </c>
      <c r="H4" s="7" t="s">
        <v>21</v>
      </c>
      <c r="I4" s="7" t="s">
        <v>171</v>
      </c>
      <c r="J4" s="8" t="str">
        <f>[3]M_Input!B8</f>
        <v>Pump</v>
      </c>
      <c r="K4" s="12">
        <f>INDEX([3]M_Input!C$8:C$87,MATCH($F4,[3]M_Input!$A$8:$A$87,0),1)</f>
        <v>5.2692688124895968</v>
      </c>
      <c r="L4" s="14">
        <f>INDEX([3]M_Input!D$8:D$87,MATCH($F4,[3]M_Input!$A$8:$A$87,0),1)</f>
        <v>4</v>
      </c>
      <c r="M4" s="9">
        <f>INDEX([3]M_Input!E$8:E$87,MATCH($F4,[3]M_Input!$A$8:$A$87,0),1)</f>
        <v>25.065699750603557</v>
      </c>
      <c r="N4" s="10">
        <f>INDEX([3]M_Input!F$8:F$87,MATCH($F4,[3]M_Input!$A$8:$A$87,0),1)</f>
        <v>-3.7229540426909793</v>
      </c>
      <c r="O4" s="8" t="str">
        <f>[3]M_Input!G8</f>
        <v>A-Irr-Irr-Irrigation-All-All-E</v>
      </c>
      <c r="P4" s="11"/>
      <c r="Q4" s="121">
        <f>INDEX([3]!MeasureOutput,MATCH($F4,[3]M_Input_Out!$A$4:$A$83,0),14)</f>
        <v>0</v>
      </c>
      <c r="R4" s="178">
        <f>INDEX([3]!MeasureOutput,MATCH($F4,[3]M_Input_Out!$A$4:$A$83,0),3)</f>
        <v>5.8118768757056722</v>
      </c>
      <c r="S4" s="178">
        <f>INDEX([3]!MeasureOutput,MATCH($F4,[3]M_Input_Out!$A$4:$A$83,0),11)</f>
        <v>745.48852880499089</v>
      </c>
      <c r="T4" s="121">
        <f>SUM([3]forRPM!$L3:$AE3)</f>
        <v>7.6054160452765016E-2</v>
      </c>
      <c r="U4" s="121">
        <f>[3]forRPM!AF3</f>
        <v>6.9487293875544975E-2</v>
      </c>
      <c r="V4" s="178">
        <f>INDEX([3]!MeasureOutput,MATCH($F4,[3]M_Input_Out!$A$4:$A$83,0),12)</f>
        <v>0.4764357019277155</v>
      </c>
      <c r="W4" s="178" t="str">
        <f>[3]forRPM!A3</f>
        <v>RetroEven20</v>
      </c>
      <c r="X4" s="11">
        <f>INDEX([3]M_Input!I$8:I$87,MATCH($F4,[3]M_Input!$A$8:$A$87,0),1)</f>
        <v>0</v>
      </c>
      <c r="Y4" s="11">
        <f>INDEX([3]M_Input!J$8:J$87,MATCH($F4,[3]M_Input!$A$8:$A$87,0),1)</f>
        <v>0</v>
      </c>
      <c r="Z4" s="11"/>
      <c r="AA4" s="11"/>
      <c r="AB4" s="11"/>
      <c r="AC4" s="11"/>
      <c r="AD4" s="11"/>
      <c r="AE4" s="2"/>
      <c r="AF4" s="2"/>
      <c r="AG4" s="2"/>
      <c r="AH4" s="2"/>
      <c r="AI4" s="8" t="s">
        <v>40</v>
      </c>
      <c r="AJ4" s="8" t="s">
        <v>445</v>
      </c>
      <c r="AK4" s="15" t="s">
        <v>187</v>
      </c>
      <c r="AL4" s="7" t="s">
        <v>66</v>
      </c>
    </row>
    <row r="5" spans="1:46" s="45" customFormat="1" ht="13.2" x14ac:dyDescent="0.25">
      <c r="A5" s="158" t="str">
        <f>"AG_"&amp;VLOOKUP($E5,MeasureTypeCode,2,0)&amp;"_"&amp;VLOOKUP($G5,State,2,0)&amp;COUNTIFS($E$3:$E5,$E5,$G$3:$G5,$G5)</f>
        <v>AG_IrrGskt_ID1</v>
      </c>
      <c r="B5" s="7" t="s">
        <v>479</v>
      </c>
      <c r="C5" s="8" t="s">
        <v>34</v>
      </c>
      <c r="D5" s="8" t="s">
        <v>33</v>
      </c>
      <c r="E5" s="8" t="s">
        <v>27</v>
      </c>
      <c r="F5" s="8" t="str">
        <f>[3]M_Input!A9</f>
        <v>Wheel and Hand_Gaskets - Idaho</v>
      </c>
      <c r="G5" s="8" t="s">
        <v>22</v>
      </c>
      <c r="H5" s="7" t="s">
        <v>21</v>
      </c>
      <c r="I5" s="7" t="s">
        <v>171</v>
      </c>
      <c r="J5" s="8" t="str">
        <f>[3]M_Input!B9</f>
        <v>Pump</v>
      </c>
      <c r="K5" s="12">
        <f>INDEX([3]M_Input!C$8:C$87,MATCH($F5,[3]M_Input!$A$8:$A$87,0),1)</f>
        <v>25.816463044483005</v>
      </c>
      <c r="L5" s="14">
        <f>INDEX([3]M_Input!D$8:D$87,MATCH($F5,[3]M_Input!$A$8:$A$87,0),1)</f>
        <v>5</v>
      </c>
      <c r="M5" s="9">
        <f>INDEX([3]M_Input!E$8:E$87,MATCH($F5,[3]M_Input!$A$8:$A$87,0),1)</f>
        <v>6.9373406404505005</v>
      </c>
      <c r="N5" s="10">
        <f>INDEX([3]M_Input!F$8:F$87,MATCH($F5,[3]M_Input!$A$8:$A$87,0),1)</f>
        <v>-0.85531127870097634</v>
      </c>
      <c r="O5" s="8" t="str">
        <f>[3]M_Input!G9</f>
        <v>A-Irr-Irr-Irrigation-All-All-E</v>
      </c>
      <c r="P5" s="8"/>
      <c r="Q5" s="178">
        <f>INDEX([3]!MeasureOutput,MATCH($F5,[3]M_Input_Out!$A$4:$A$83,0),14)</f>
        <v>0</v>
      </c>
      <c r="R5" s="178">
        <f>INDEX([3]!MeasureOutput,MATCH($F5,[3]M_Input_Out!$A$4:$A$83,0),3)</f>
        <v>28.474938349150136</v>
      </c>
      <c r="S5" s="178">
        <f>INDEX([3]!MeasureOutput,MATCH($F5,[3]M_Input_Out!$A$4:$A$83,0),11)</f>
        <v>30.928134493295598</v>
      </c>
      <c r="T5" s="13">
        <f>SUM([3]forRPM!$L4:$AE4)</f>
        <v>0.37262274759148378</v>
      </c>
      <c r="U5" s="13">
        <f>[3]forRPM!AF4</f>
        <v>0.34044878297859266</v>
      </c>
      <c r="V5" s="178">
        <f>INDEX([3]!MeasureOutput,MATCH($F5,[3]M_Input_Out!$A$4:$A$83,0),12)</f>
        <v>0.83352842955148221</v>
      </c>
      <c r="W5" s="170" t="str">
        <f>[3]forRPM!A4</f>
        <v>RetroEven20</v>
      </c>
      <c r="X5" s="8">
        <f>INDEX([3]M_Input!I$8:I$87,MATCH($F5,[3]M_Input!$A$8:$A$87,0),1)</f>
        <v>0</v>
      </c>
      <c r="Y5" s="8">
        <f>INDEX([3]M_Input!J$8:J$87,MATCH($F5,[3]M_Input!$A$8:$A$87,0),1)</f>
        <v>0</v>
      </c>
      <c r="Z5" s="8"/>
      <c r="AA5" s="8"/>
      <c r="AB5" s="8"/>
      <c r="AC5" s="8"/>
      <c r="AD5" s="8"/>
      <c r="AE5" s="8"/>
      <c r="AF5" s="8"/>
      <c r="AG5" s="8"/>
      <c r="AH5" s="8"/>
      <c r="AI5" s="8" t="s">
        <v>44</v>
      </c>
      <c r="AJ5" s="8" t="s">
        <v>445</v>
      </c>
      <c r="AK5" s="15" t="s">
        <v>187</v>
      </c>
      <c r="AL5" s="7" t="s">
        <v>66</v>
      </c>
    </row>
    <row r="6" spans="1:46" s="45" customFormat="1" ht="13.2" x14ac:dyDescent="0.25">
      <c r="A6" s="158" t="str">
        <f>"AG_"&amp;VLOOKUP($E6,MeasureTypeCode,2,0)&amp;"_"&amp;VLOOKUP($G6,State,2,0)&amp;COUNTIFS($E$3:$E6,$E6,$G$3:$G6,$G6)</f>
        <v>AG_IrrDrn_ID1</v>
      </c>
      <c r="B6" s="7" t="s">
        <v>479</v>
      </c>
      <c r="C6" s="8" t="s">
        <v>34</v>
      </c>
      <c r="D6" s="8" t="s">
        <v>33</v>
      </c>
      <c r="E6" s="8" t="s">
        <v>28</v>
      </c>
      <c r="F6" s="8" t="str">
        <f>[3]M_Input!A10</f>
        <v>Wheel and Hand_Drains - Idaho</v>
      </c>
      <c r="G6" s="8" t="s">
        <v>22</v>
      </c>
      <c r="H6" s="7" t="s">
        <v>21</v>
      </c>
      <c r="I6" s="7" t="s">
        <v>171</v>
      </c>
      <c r="J6" s="8" t="str">
        <f>[3]M_Input!B10</f>
        <v>Pump</v>
      </c>
      <c r="K6" s="12">
        <f>INDEX([3]M_Input!C$8:C$87,MATCH($F6,[3]M_Input!$A$8:$A$87,0),1)</f>
        <v>16.785232306371459</v>
      </c>
      <c r="L6" s="14">
        <f>INDEX([3]M_Input!D$8:D$87,MATCH($F6,[3]M_Input!$A$8:$A$87,0),1)</f>
        <v>5</v>
      </c>
      <c r="M6" s="9">
        <f>INDEX([3]M_Input!E$8:E$87,MATCH($F6,[3]M_Input!$A$8:$A$87,0),1)</f>
        <v>9.9983998095375899</v>
      </c>
      <c r="N6" s="10">
        <f>INDEX([3]M_Input!F$8:F$87,MATCH($F6,[3]M_Input!$A$8:$A$87,0),1)</f>
        <v>-1.232712154308147</v>
      </c>
      <c r="O6" s="8" t="str">
        <f>[3]M_Input!G10</f>
        <v>A-Irr-Irr-Irrigation-All-All-E</v>
      </c>
      <c r="P6" s="8"/>
      <c r="Q6" s="178">
        <f>INDEX([3]!MeasureOutput,MATCH($F6,[3]M_Input_Out!$A$4:$A$83,0),14)</f>
        <v>0</v>
      </c>
      <c r="R6" s="178">
        <f>INDEX([3]!MeasureOutput,MATCH($F6,[3]M_Input_Out!$A$4:$A$83,0),3)</f>
        <v>18.51370787224203</v>
      </c>
      <c r="S6" s="178">
        <f>INDEX([3]!MeasureOutput,MATCH($F6,[3]M_Input_Out!$A$4:$A$83,0),11)</f>
        <v>72.134757615534753</v>
      </c>
      <c r="T6" s="13">
        <f>SUM([3]forRPM!$L5:$AE5)</f>
        <v>0.2422701889946956</v>
      </c>
      <c r="U6" s="13">
        <f>[3]forRPM!AF5</f>
        <v>0.22135146479479934</v>
      </c>
      <c r="V6" s="178">
        <f>INDEX([3]!MeasureOutput,MATCH($F6,[3]M_Input_Out!$A$4:$A$83,0),12)</f>
        <v>0.63401290946095423</v>
      </c>
      <c r="W6" s="170" t="str">
        <f>[3]forRPM!A5</f>
        <v>RetroEven20</v>
      </c>
      <c r="X6" s="8">
        <f>INDEX([3]M_Input!I$8:I$87,MATCH($F6,[3]M_Input!$A$8:$A$87,0),1)</f>
        <v>0</v>
      </c>
      <c r="Y6" s="8">
        <f>INDEX([3]M_Input!J$8:J$87,MATCH($F6,[3]M_Input!$A$8:$A$87,0),1)</f>
        <v>0</v>
      </c>
      <c r="Z6" s="8"/>
      <c r="AA6" s="8"/>
      <c r="AB6" s="8"/>
      <c r="AC6" s="8"/>
      <c r="AD6" s="8"/>
      <c r="AE6" s="8"/>
      <c r="AF6" s="8"/>
      <c r="AG6" s="8"/>
      <c r="AH6" s="8"/>
      <c r="AI6" s="8" t="s">
        <v>45</v>
      </c>
      <c r="AJ6" s="8" t="s">
        <v>445</v>
      </c>
      <c r="AK6" s="15" t="s">
        <v>187</v>
      </c>
      <c r="AL6" s="7" t="s">
        <v>66</v>
      </c>
    </row>
    <row r="7" spans="1:46" s="45" customFormat="1" ht="13.2" x14ac:dyDescent="0.25">
      <c r="A7" s="158" t="str">
        <f>"AG_"&amp;VLOOKUP($E7,MeasureTypeCode,2,0)&amp;"_"&amp;VLOOKUP($G7,State,2,0)&amp;COUNTIFS($E$3:$E7,$E7,$G$3:$G7,$G7)</f>
        <v>AG_IrrRpr_ID1</v>
      </c>
      <c r="B7" s="7" t="s">
        <v>479</v>
      </c>
      <c r="C7" s="8" t="s">
        <v>34</v>
      </c>
      <c r="D7" s="8" t="s">
        <v>33</v>
      </c>
      <c r="E7" s="8" t="s">
        <v>29</v>
      </c>
      <c r="F7" s="8" t="str">
        <f>[3]M_Input!A11</f>
        <v>Wheel and Hand_Cut and press repair - Idaho</v>
      </c>
      <c r="G7" s="8" t="s">
        <v>22</v>
      </c>
      <c r="H7" s="7" t="s">
        <v>21</v>
      </c>
      <c r="I7" s="7" t="s">
        <v>171</v>
      </c>
      <c r="J7" s="8" t="str">
        <f>[3]M_Input!B11</f>
        <v>Pump</v>
      </c>
      <c r="K7" s="12">
        <f>INDEX([3]M_Input!C$8:C$87,MATCH($F7,[3]M_Input!$A$8:$A$87,0),1)</f>
        <v>74.219281680141904</v>
      </c>
      <c r="L7" s="14">
        <f>INDEX([3]M_Input!D$8:D$87,MATCH($F7,[3]M_Input!$A$8:$A$87,0),1)</f>
        <v>8</v>
      </c>
      <c r="M7" s="9">
        <f>INDEX([3]M_Input!E$8:E$87,MATCH($F7,[3]M_Input!$A$8:$A$87,0),1)</f>
        <v>30.388468755978995</v>
      </c>
      <c r="N7" s="10">
        <f>INDEX([3]M_Input!F$8:F$87,MATCH($F7,[3]M_Input!$A$8:$A$87,0),1)</f>
        <v>-2.6079383649944781</v>
      </c>
      <c r="O7" s="8" t="str">
        <f>[3]M_Input!G11</f>
        <v>A-Irr-Irr-Irrigation-All-All-E</v>
      </c>
      <c r="P7" s="8"/>
      <c r="Q7" s="178">
        <f>INDEX([3]!MeasureOutput,MATCH($F7,[3]M_Input_Out!$A$4:$A$83,0),14)</f>
        <v>0</v>
      </c>
      <c r="R7" s="178">
        <f>INDEX([3]!MeasureOutput,MATCH($F7,[3]M_Input_Out!$A$4:$A$83,0),3)</f>
        <v>81.862084148350505</v>
      </c>
      <c r="S7" s="178">
        <f>INDEX([3]!MeasureOutput,MATCH($F7,[3]M_Input_Out!$A$4:$A$83,0),11)</f>
        <v>29.373541168903749</v>
      </c>
      <c r="T7" s="13">
        <f>SUM([3]forRPM!$L6:$AE6)</f>
        <v>1.0712463832194401</v>
      </c>
      <c r="U7" s="13">
        <f>[3]forRPM!AF6</f>
        <v>0.97875003551074846</v>
      </c>
      <c r="V7" s="178">
        <f>INDEX([3]!MeasureOutput,MATCH($F7,[3]M_Input_Out!$A$4:$A$83,0),12)</f>
        <v>0.9147492735001157</v>
      </c>
      <c r="W7" s="170" t="str">
        <f>[3]forRPM!A6</f>
        <v>RetroEven20</v>
      </c>
      <c r="X7" s="8">
        <f>INDEX([3]M_Input!I$8:I$87,MATCH($F7,[3]M_Input!$A$8:$A$87,0),1)</f>
        <v>0</v>
      </c>
      <c r="Y7" s="8">
        <f>INDEX([3]M_Input!J$8:J$87,MATCH($F7,[3]M_Input!$A$8:$A$87,0),1)</f>
        <v>0</v>
      </c>
      <c r="Z7" s="8"/>
      <c r="AA7" s="8"/>
      <c r="AB7" s="8"/>
      <c r="AC7" s="8"/>
      <c r="AD7" s="8"/>
      <c r="AE7" s="8"/>
      <c r="AF7" s="8"/>
      <c r="AG7" s="8"/>
      <c r="AH7" s="8"/>
      <c r="AI7" s="8" t="s">
        <v>41</v>
      </c>
      <c r="AJ7" s="8" t="s">
        <v>445</v>
      </c>
      <c r="AK7" s="15" t="s">
        <v>187</v>
      </c>
      <c r="AL7" s="7" t="s">
        <v>66</v>
      </c>
    </row>
    <row r="8" spans="1:46" s="45" customFormat="1" ht="13.2" x14ac:dyDescent="0.25">
      <c r="A8" s="158" t="str">
        <f>"AG_"&amp;VLOOKUP($E8,MeasureTypeCode,2,0)&amp;"_"&amp;VLOOKUP($G8,State,2,0)&amp;COUNTIFS($E$3:$E8,$E8,$G$3:$G8,$G8)</f>
        <v>AG_IrrHub_ID1</v>
      </c>
      <c r="B8" s="7" t="s">
        <v>479</v>
      </c>
      <c r="C8" s="8" t="s">
        <v>34</v>
      </c>
      <c r="D8" s="8" t="s">
        <v>33</v>
      </c>
      <c r="E8" s="8" t="s">
        <v>30</v>
      </c>
      <c r="F8" s="8" t="str">
        <f>[3]M_Input!A12</f>
        <v>Wheel and Hand_Hub gasket - Idaho</v>
      </c>
      <c r="G8" s="8" t="s">
        <v>22</v>
      </c>
      <c r="H8" s="7" t="s">
        <v>21</v>
      </c>
      <c r="I8" s="7" t="s">
        <v>171</v>
      </c>
      <c r="J8" s="8" t="str">
        <f>[3]M_Input!B12</f>
        <v>Pump</v>
      </c>
      <c r="K8" s="12">
        <f>INDEX([3]M_Input!C$8:C$87,MATCH($F8,[3]M_Input!$A$8:$A$87,0),1)</f>
        <v>84.945906067609471</v>
      </c>
      <c r="L8" s="14">
        <f>INDEX([3]M_Input!D$8:D$87,MATCH($F8,[3]M_Input!$A$8:$A$87,0),1)</f>
        <v>10</v>
      </c>
      <c r="M8" s="9">
        <f>INDEX([3]M_Input!E$8:E$87,MATCH($F8,[3]M_Input!$A$8:$A$87,0),1)</f>
        <v>28.461673476483401</v>
      </c>
      <c r="N8" s="10">
        <f>INDEX([3]M_Input!F$8:F$87,MATCH($F8,[3]M_Input!$A$8:$A$87,0),1)</f>
        <v>-2.0942597516815611</v>
      </c>
      <c r="O8" s="8" t="str">
        <f>[3]M_Input!G12</f>
        <v>A-Irr-Irr-Irrigation-All-All-E</v>
      </c>
      <c r="P8" s="8"/>
      <c r="Q8" s="178">
        <f>INDEX([3]!MeasureOutput,MATCH($F8,[3]M_Input_Out!$A$4:$A$83,0),14)</f>
        <v>0</v>
      </c>
      <c r="R8" s="178">
        <f>INDEX([3]!MeasureOutput,MATCH($F8,[3]M_Input_Out!$A$4:$A$83,0),3)</f>
        <v>93.693293078920959</v>
      </c>
      <c r="S8" s="178">
        <f>INDEX([3]!MeasureOutput,MATCH($F8,[3]M_Input_Out!$A$4:$A$83,0),11)</f>
        <v>18.205296106396005</v>
      </c>
      <c r="T8" s="13">
        <f>SUM([3]forRPM!$L7:$AE7)</f>
        <v>0.3065173651113775</v>
      </c>
      <c r="U8" s="13">
        <f>[3]forRPM!AF7</f>
        <v>0.28005124375385398</v>
      </c>
      <c r="V8" s="178">
        <f>INDEX([3]!MeasureOutput,MATCH($F8,[3]M_Input_Out!$A$4:$A$83,0),12)</f>
        <v>1.1665627568681076</v>
      </c>
      <c r="W8" s="170" t="str">
        <f>[3]forRPM!A7</f>
        <v>RetroEven20</v>
      </c>
      <c r="X8" s="8">
        <f>INDEX([3]M_Input!I$8:I$87,MATCH($F8,[3]M_Input!$A$8:$A$87,0),1)</f>
        <v>0</v>
      </c>
      <c r="Y8" s="8">
        <f>INDEX([3]M_Input!J$8:J$87,MATCH($F8,[3]M_Input!$A$8:$A$87,0),1)</f>
        <v>0</v>
      </c>
      <c r="Z8" s="8"/>
      <c r="AA8" s="8"/>
      <c r="AB8" s="8"/>
      <c r="AC8" s="8"/>
      <c r="AD8" s="8"/>
      <c r="AE8" s="8"/>
      <c r="AF8" s="8"/>
      <c r="AG8" s="8"/>
      <c r="AH8" s="8"/>
      <c r="AI8" s="8" t="s">
        <v>410</v>
      </c>
      <c r="AJ8" s="8" t="s">
        <v>445</v>
      </c>
      <c r="AK8" s="15" t="s">
        <v>187</v>
      </c>
      <c r="AL8" s="7" t="s">
        <v>66</v>
      </c>
    </row>
    <row r="9" spans="1:46" s="45" customFormat="1" ht="13.2" x14ac:dyDescent="0.25">
      <c r="A9" s="158" t="str">
        <f>"AG_"&amp;VLOOKUP($E9,MeasureTypeCode,2,0)&amp;"_"&amp;VLOOKUP($G9,State,2,0)&amp;COUNTIFS($E$3:$E9,$E9,$G$3:$G9,$G9)</f>
        <v>AG_IrrLvlr_ID1</v>
      </c>
      <c r="B9" s="7" t="s">
        <v>479</v>
      </c>
      <c r="C9" s="8" t="s">
        <v>34</v>
      </c>
      <c r="D9" s="8" t="s">
        <v>33</v>
      </c>
      <c r="E9" s="8" t="s">
        <v>31</v>
      </c>
      <c r="F9" s="8" t="str">
        <f>[3]M_Input!A13</f>
        <v>Wheel and Hand_Levelers - Idaho</v>
      </c>
      <c r="G9" s="8" t="s">
        <v>22</v>
      </c>
      <c r="H9" s="7" t="s">
        <v>21</v>
      </c>
      <c r="I9" s="7" t="s">
        <v>171</v>
      </c>
      <c r="J9" s="8" t="str">
        <f>[3]M_Input!B13</f>
        <v>Pump</v>
      </c>
      <c r="K9" s="12">
        <f>INDEX([3]M_Input!C$8:C$87,MATCH($F9,[3]M_Input!$A$8:$A$87,0),1)</f>
        <v>7.2581206499856705</v>
      </c>
      <c r="L9" s="14">
        <f>INDEX([3]M_Input!D$8:D$87,MATCH($F9,[3]M_Input!$A$8:$A$87,0),1)</f>
        <v>5</v>
      </c>
      <c r="M9" s="9">
        <f>INDEX([3]M_Input!E$8:E$87,MATCH($F9,[3]M_Input!$A$8:$A$87,0),1)</f>
        <v>12.845511625508943</v>
      </c>
      <c r="N9" s="10">
        <f>INDEX([3]M_Input!F$8:F$87,MATCH($F9,[3]M_Input!$A$8:$A$87,0),1)</f>
        <v>-1.5837352587127447</v>
      </c>
      <c r="O9" s="8" t="str">
        <f>[3]M_Input!G13</f>
        <v>A-Irr-Irr-Irrigation-All-All-E</v>
      </c>
      <c r="P9" s="8"/>
      <c r="Q9" s="178">
        <f>INDEX([3]!MeasureOutput,MATCH($F9,[3]M_Input_Out!$A$4:$A$83,0),14)</f>
        <v>0</v>
      </c>
      <c r="R9" s="178">
        <f>INDEX([3]!MeasureOutput,MATCH($F9,[3]M_Input_Out!$A$4:$A$83,0),3)</f>
        <v>8.0055326588667608</v>
      </c>
      <c r="S9" s="178">
        <f>INDEX([3]!MeasureOutput,MATCH($F9,[3]M_Input_Out!$A$4:$A$83,0),11)</f>
        <v>220.11693389269195</v>
      </c>
      <c r="T9" s="13">
        <f>SUM([3]forRPM!$L8:$AE8)</f>
        <v>0.10476031725523724</v>
      </c>
      <c r="U9" s="13">
        <f>[3]forRPM!AF8</f>
        <v>9.5714828857141665E-2</v>
      </c>
      <c r="V9" s="178">
        <f>INDEX([3]!MeasureOutput,MATCH($F9,[3]M_Input_Out!$A$4:$A$83,0),12)</f>
        <v>0.52522312320310049</v>
      </c>
      <c r="W9" s="170" t="str">
        <f>[3]forRPM!A8</f>
        <v>RetroEven20</v>
      </c>
      <c r="X9" s="8">
        <f>INDEX([3]M_Input!I$8:I$87,MATCH($F9,[3]M_Input!$A$8:$A$87,0),1)</f>
        <v>0</v>
      </c>
      <c r="Y9" s="8">
        <f>INDEX([3]M_Input!J$8:J$87,MATCH($F9,[3]M_Input!$A$8:$A$87,0),1)</f>
        <v>0</v>
      </c>
      <c r="Z9" s="8"/>
      <c r="AA9" s="8"/>
      <c r="AB9" s="8"/>
      <c r="AC9" s="8"/>
      <c r="AD9" s="8"/>
      <c r="AE9" s="8"/>
      <c r="AF9" s="8"/>
      <c r="AG9" s="8"/>
      <c r="AH9" s="8"/>
      <c r="AI9" s="8" t="s">
        <v>42</v>
      </c>
      <c r="AJ9" s="8" t="s">
        <v>445</v>
      </c>
      <c r="AK9" s="15" t="s">
        <v>187</v>
      </c>
      <c r="AL9" s="7" t="s">
        <v>66</v>
      </c>
    </row>
    <row r="10" spans="1:46" s="45" customFormat="1" ht="13.2" x14ac:dyDescent="0.25">
      <c r="A10" s="158" t="str">
        <f>"AG_"&amp;VLOOKUP($E10,MeasureTypeCode,2,0)&amp;"_"&amp;VLOOKUP($G10,State,2,0)&amp;COUNTIFS($E$3:$E10,$E10,$G$3:$G10,$G10)</f>
        <v>AG_IrrGskt_ID2</v>
      </c>
      <c r="B10" s="7" t="s">
        <v>479</v>
      </c>
      <c r="C10" s="8" t="s">
        <v>34</v>
      </c>
      <c r="D10" s="8" t="s">
        <v>33</v>
      </c>
      <c r="E10" s="8" t="s">
        <v>27</v>
      </c>
      <c r="F10" s="8" t="str">
        <f>[3]M_Input!A14</f>
        <v>Pivot and Linear_Base boot gasket - Idaho</v>
      </c>
      <c r="G10" s="8" t="s">
        <v>22</v>
      </c>
      <c r="H10" s="7" t="s">
        <v>21</v>
      </c>
      <c r="I10" s="7" t="s">
        <v>171</v>
      </c>
      <c r="J10" s="8" t="str">
        <f>[3]M_Input!B14</f>
        <v>Pump</v>
      </c>
      <c r="K10" s="12">
        <f>INDEX([3]M_Input!C$8:C$87,MATCH($F10,[3]M_Input!$A$8:$A$87,0),1)</f>
        <v>15.996205555697001</v>
      </c>
      <c r="L10" s="14">
        <f>INDEX([3]M_Input!D$8:D$87,MATCH($F10,[3]M_Input!$A$8:$A$87,0),1)</f>
        <v>8</v>
      </c>
      <c r="M10" s="9">
        <f>INDEX([3]M_Input!E$8:E$87,MATCH($F10,[3]M_Input!$A$8:$A$87,0),1)</f>
        <v>2.4405750787636542</v>
      </c>
      <c r="N10" s="10">
        <f>INDEX([3]M_Input!F$8:F$87,MATCH($F10,[3]M_Input!$A$8:$A$87,0),1)</f>
        <v>0</v>
      </c>
      <c r="O10" s="8" t="str">
        <f>[3]M_Input!G14</f>
        <v>A-Irr-Irr-Irrigation-All-All-E</v>
      </c>
      <c r="P10" s="8"/>
      <c r="Q10" s="178">
        <f>INDEX([3]!MeasureOutput,MATCH($F10,[3]M_Input_Out!$A$4:$A$83,0),14)</f>
        <v>0</v>
      </c>
      <c r="R10" s="178">
        <f>INDEX([3]!MeasureOutput,MATCH($F10,[3]M_Input_Out!$A$4:$A$83,0),3)</f>
        <v>17.64343032715102</v>
      </c>
      <c r="S10" s="178">
        <f>INDEX([3]!MeasureOutput,MATCH($F10,[3]M_Input_Out!$A$4:$A$83,0),11)</f>
        <v>20.972799403510773</v>
      </c>
      <c r="T10" s="13">
        <f>SUM([3]forRPM!$L9:$AE9)</f>
        <v>0.9230539414788409</v>
      </c>
      <c r="U10" s="13">
        <f>[3]forRPM!AF9</f>
        <v>0.84335321187794976</v>
      </c>
      <c r="V10" s="178">
        <f>INDEX([3]!MeasureOutput,MATCH($F10,[3]M_Input_Out!$A$4:$A$83,0),12)</f>
        <v>1.1225377322238974</v>
      </c>
      <c r="W10" s="170" t="str">
        <f>[3]forRPM!A9</f>
        <v>RetroEven20</v>
      </c>
      <c r="X10" s="8">
        <f>INDEX([3]M_Input!I$8:I$87,MATCH($F10,[3]M_Input!$A$8:$A$87,0),1)</f>
        <v>0</v>
      </c>
      <c r="Y10" s="8">
        <f>INDEX([3]M_Input!J$8:J$87,MATCH($F10,[3]M_Input!$A$8:$A$87,0),1)</f>
        <v>0</v>
      </c>
      <c r="Z10" s="8"/>
      <c r="AA10" s="8"/>
      <c r="AB10" s="8"/>
      <c r="AC10" s="8"/>
      <c r="AD10" s="8"/>
      <c r="AE10" s="8"/>
      <c r="AF10" s="8"/>
      <c r="AG10" s="8"/>
      <c r="AH10" s="8"/>
      <c r="AI10" s="8" t="s">
        <v>47</v>
      </c>
      <c r="AJ10" s="8" t="s">
        <v>445</v>
      </c>
      <c r="AK10" s="15" t="s">
        <v>187</v>
      </c>
      <c r="AL10" s="7" t="s">
        <v>66</v>
      </c>
      <c r="AO10" s="45" t="s">
        <v>54</v>
      </c>
    </row>
    <row r="11" spans="1:46" s="45" customFormat="1" ht="13.2" x14ac:dyDescent="0.25">
      <c r="A11" s="158" t="str">
        <f>"AG_"&amp;VLOOKUP($E11,MeasureTypeCode,2,0)&amp;"_"&amp;VLOOKUP($G11,State,2,0)&amp;COUNTIFS($E$3:$E11,$E11,$G$3:$G11,$G11)</f>
        <v>AG_IrrGskt_ID3</v>
      </c>
      <c r="B11" s="7" t="s">
        <v>479</v>
      </c>
      <c r="C11" s="8" t="s">
        <v>34</v>
      </c>
      <c r="D11" s="8" t="s">
        <v>33</v>
      </c>
      <c r="E11" s="8" t="s">
        <v>27</v>
      </c>
      <c r="F11" s="8" t="str">
        <f>[3]M_Input!A15</f>
        <v>Pivot and Linear_Tower gasket - Idaho</v>
      </c>
      <c r="G11" s="8" t="s">
        <v>22</v>
      </c>
      <c r="H11" s="7" t="s">
        <v>21</v>
      </c>
      <c r="I11" s="7" t="s">
        <v>171</v>
      </c>
      <c r="J11" s="8" t="str">
        <f>[3]M_Input!B15</f>
        <v>Pump</v>
      </c>
      <c r="K11" s="12">
        <f>INDEX([3]M_Input!C$8:C$87,MATCH($F11,[3]M_Input!$A$8:$A$87,0),1)</f>
        <v>0.48877294753518602</v>
      </c>
      <c r="L11" s="14">
        <f>INDEX([3]M_Input!D$8:D$87,MATCH($F11,[3]M_Input!$A$8:$A$87,0),1)</f>
        <v>8</v>
      </c>
      <c r="M11" s="9">
        <f>INDEX([3]M_Input!E$8:E$87,MATCH($F11,[3]M_Input!$A$8:$A$87,0),1)</f>
        <v>5.2419313748037162</v>
      </c>
      <c r="N11" s="10">
        <f>INDEX([3]M_Input!F$8:F$87,MATCH($F11,[3]M_Input!$A$8:$A$87,0),1)</f>
        <v>-0.44986254650718882</v>
      </c>
      <c r="O11" s="8" t="str">
        <f>[3]M_Input!G15</f>
        <v>A-Irr-Irr-Irrigation-All-All-E</v>
      </c>
      <c r="P11" s="8"/>
      <c r="Q11" s="178">
        <f>INDEX([3]!MeasureOutput,MATCH($F11,[3]M_Input_Out!$A$4:$A$83,0),14)</f>
        <v>0</v>
      </c>
      <c r="R11" s="178">
        <f>INDEX([3]!MeasureOutput,MATCH($F11,[3]M_Input_Out!$A$4:$A$83,0),3)</f>
        <v>0.53910481555183665</v>
      </c>
      <c r="S11" s="178">
        <f>INDEX([3]!MeasureOutput,MATCH($F11,[3]M_Input_Out!$A$4:$A$83,0),11)</f>
        <v>843.44690755474187</v>
      </c>
      <c r="T11" s="13">
        <f>SUM([3]forRPM!$L10:$AE10)</f>
        <v>2.8204425989631247E-2</v>
      </c>
      <c r="U11" s="13">
        <f>[3]forRPM!AF10</f>
        <v>2.5769125918492904E-2</v>
      </c>
      <c r="V11" s="178">
        <f>INDEX([3]!MeasureOutput,MATCH($F11,[3]M_Input_Out!$A$4:$A$83,0),12)</f>
        <v>0.51242244874668941</v>
      </c>
      <c r="W11" s="170" t="str">
        <f>[3]forRPM!A10</f>
        <v>RetroEven20</v>
      </c>
      <c r="X11" s="8">
        <f>INDEX([3]M_Input!I$8:I$87,MATCH($F11,[3]M_Input!$A$8:$A$87,0),1)</f>
        <v>0</v>
      </c>
      <c r="Y11" s="8">
        <f>INDEX([3]M_Input!J$8:J$87,MATCH($F11,[3]M_Input!$A$8:$A$87,0),1)</f>
        <v>0</v>
      </c>
      <c r="Z11" s="8"/>
      <c r="AA11" s="8"/>
      <c r="AB11" s="8"/>
      <c r="AC11" s="8"/>
      <c r="AD11" s="8"/>
      <c r="AE11" s="8"/>
      <c r="AF11" s="8"/>
      <c r="AG11" s="8"/>
      <c r="AH11" s="8"/>
      <c r="AI11" s="8" t="s">
        <v>48</v>
      </c>
      <c r="AJ11" s="8" t="s">
        <v>445</v>
      </c>
      <c r="AK11" s="15" t="s">
        <v>187</v>
      </c>
      <c r="AL11" s="7" t="s">
        <v>66</v>
      </c>
    </row>
    <row r="12" spans="1:46" s="45" customFormat="1" ht="13.2" x14ac:dyDescent="0.25">
      <c r="A12" s="158" t="str">
        <f>"AG_"&amp;VLOOKUP($E12,MeasureTypeCode,2,0)&amp;"_"&amp;VLOOKUP($G12,State,2,0)&amp;COUNTIFS($E$3:$E12,$E12,$G$3:$G12,$G12)</f>
        <v>AG_IrrNzzl_ID1</v>
      </c>
      <c r="B12" s="7" t="s">
        <v>479</v>
      </c>
      <c r="C12" s="8" t="s">
        <v>34</v>
      </c>
      <c r="D12" s="8" t="s">
        <v>33</v>
      </c>
      <c r="E12" s="8" t="s">
        <v>32</v>
      </c>
      <c r="F12" s="8" t="str">
        <f>[3]M_Input!A16</f>
        <v>Wheel and Hand_Nozzle replacement - Idaho</v>
      </c>
      <c r="G12" s="8" t="s">
        <v>22</v>
      </c>
      <c r="H12" s="7" t="s">
        <v>21</v>
      </c>
      <c r="I12" s="7" t="s">
        <v>171</v>
      </c>
      <c r="J12" s="8" t="str">
        <f>[3]M_Input!B16</f>
        <v>Pump</v>
      </c>
      <c r="K12" s="12">
        <f>INDEX([3]M_Input!C$8:C$87,MATCH($F12,[3]M_Input!$A$8:$A$87,0),1)</f>
        <v>41.333112884858252</v>
      </c>
      <c r="L12" s="14">
        <f>INDEX([3]M_Input!D$8:D$87,MATCH($F12,[3]M_Input!$A$8:$A$87,0),1)</f>
        <v>4</v>
      </c>
      <c r="M12" s="9">
        <f>INDEX([3]M_Input!E$8:E$87,MATCH($F12,[3]M_Input!$A$8:$A$87,0),1)</f>
        <v>4.9428547606377924</v>
      </c>
      <c r="N12" s="10">
        <f>INDEX([3]M_Input!F$8:F$87,MATCH($F12,[3]M_Input!$A$8:$A$87,0),1)</f>
        <v>-0.73415150171930543</v>
      </c>
      <c r="O12" s="8" t="str">
        <f>[3]M_Input!G16</f>
        <v>A-Irr-Irr-Irrigation-All-All-E</v>
      </c>
      <c r="P12" s="8"/>
      <c r="Q12" s="178">
        <f>INDEX([3]!MeasureOutput,MATCH($F12,[3]M_Input_Out!$A$4:$A$83,0),14)</f>
        <v>0</v>
      </c>
      <c r="R12" s="178">
        <f>INDEX([3]!MeasureOutput,MATCH($F12,[3]M_Input_Out!$A$4:$A$83,0),3)</f>
        <v>45.589430246383756</v>
      </c>
      <c r="S12" s="178">
        <f>INDEX([3]!MeasureOutput,MATCH($F12,[3]M_Input_Out!$A$4:$A$83,0),11)</f>
        <v>15.875424632779584</v>
      </c>
      <c r="T12" s="13">
        <f>SUM([3]forRPM!$L11:$AE11)</f>
        <v>0.59658281086479781</v>
      </c>
      <c r="U12" s="13">
        <f>[3]forRPM!AF11</f>
        <v>0.545071102657261</v>
      </c>
      <c r="V12" s="178">
        <f>INDEX([3]!MeasureOutput,MATCH($F12,[3]M_Input_Out!$A$4:$A$83,0),12)</f>
        <v>1.0681522870608939</v>
      </c>
      <c r="W12" s="170" t="str">
        <f>[3]forRPM!A11</f>
        <v>RetroEven20</v>
      </c>
      <c r="X12" s="8">
        <f>INDEX([3]M_Input!I$8:I$87,MATCH($F12,[3]M_Input!$A$8:$A$87,0),1)</f>
        <v>0</v>
      </c>
      <c r="Y12" s="8">
        <f>INDEX([3]M_Input!J$8:J$87,MATCH($F12,[3]M_Input!$A$8:$A$87,0),1)</f>
        <v>0</v>
      </c>
      <c r="Z12" s="8"/>
      <c r="AA12" s="8"/>
      <c r="AB12" s="8"/>
      <c r="AC12" s="8"/>
      <c r="AD12" s="8"/>
      <c r="AE12" s="8"/>
      <c r="AF12" s="8"/>
      <c r="AG12" s="8"/>
      <c r="AH12" s="8"/>
      <c r="AI12" s="8" t="s">
        <v>43</v>
      </c>
      <c r="AJ12" s="8" t="s">
        <v>445</v>
      </c>
      <c r="AK12" s="15" t="s">
        <v>187</v>
      </c>
      <c r="AL12" s="7" t="s">
        <v>66</v>
      </c>
    </row>
    <row r="13" spans="1:46" s="216" customFormat="1" ht="13.2" x14ac:dyDescent="0.25">
      <c r="A13" s="206" t="str">
        <f>"AG_"&amp;VLOOKUP($E13,MeasureTypeCode,2,0)&amp;"_"&amp;VLOOKUP($G13,State,2,0)&amp;COUNTIFS($E$3:$E13,$E13,$G$3:$G13,$G13)</f>
        <v>AG_IrrRepl_ID1</v>
      </c>
      <c r="B13" s="207" t="s">
        <v>37</v>
      </c>
      <c r="C13" s="208" t="s">
        <v>34</v>
      </c>
      <c r="D13" s="208" t="s">
        <v>33</v>
      </c>
      <c r="E13" s="208" t="s">
        <v>35</v>
      </c>
      <c r="F13" s="208" t="str">
        <f>[3]M_Input!A17</f>
        <v>Pivot and Linear_Sprinkler package replacement, high pressure - Idaho</v>
      </c>
      <c r="G13" s="208" t="s">
        <v>22</v>
      </c>
      <c r="H13" s="207" t="s">
        <v>21</v>
      </c>
      <c r="I13" s="207" t="s">
        <v>171</v>
      </c>
      <c r="J13" s="208" t="str">
        <f>[3]M_Input!B17</f>
        <v>Pump</v>
      </c>
      <c r="K13" s="209">
        <f>INDEX([3]M_Input!C$8:C$87,MATCH($F13,[3]M_Input!$A$8:$A$87,0),1)</f>
        <v>25.784358026058701</v>
      </c>
      <c r="L13" s="210">
        <f>INDEX([3]M_Input!D$8:D$87,MATCH($F13,[3]M_Input!$A$8:$A$87,0),1)</f>
        <v>4</v>
      </c>
      <c r="M13" s="211">
        <f>INDEX([3]M_Input!E$8:E$87,MATCH($F13,[3]M_Input!$A$8:$A$87,0),1)</f>
        <v>8.4091036407101392</v>
      </c>
      <c r="N13" s="212">
        <f>INDEX([3]M_Input!F$8:F$87,MATCH($F13,[3]M_Input!$A$8:$A$87,0),1)</f>
        <v>-1.2489859332107978</v>
      </c>
      <c r="O13" s="208" t="str">
        <f>[3]M_Input!G17</f>
        <v>A-Irr-Irr-Irrigation-All-All-E</v>
      </c>
      <c r="P13" s="208"/>
      <c r="Q13" s="213">
        <f>INDEX([3]!MeasureOutput,MATCH($F13,[3]M_Input_Out!$A$4:$A$83,0),14)</f>
        <v>0</v>
      </c>
      <c r="R13" s="213">
        <f>INDEX([3]!MeasureOutput,MATCH($F13,[3]M_Input_Out!$A$4:$A$83,0),3)</f>
        <v>28.439527285335735</v>
      </c>
      <c r="S13" s="213">
        <f>INDEX([3]!MeasureOutput,MATCH($F13,[3]M_Input_Out!$A$4:$A$83,0),11)</f>
        <v>48.37200015777475</v>
      </c>
      <c r="T13" s="214">
        <f>SUM([3]forRPM!$L12:$AE12)</f>
        <v>0.61419133073173782</v>
      </c>
      <c r="U13" s="214">
        <f>[3]forRPM!AF12</f>
        <v>0.56115922180055688</v>
      </c>
      <c r="V13" s="213">
        <f>INDEX([3]!MeasureOutput,MATCH($F13,[3]M_Input_Out!$A$4:$A$83,0),12)</f>
        <v>0.68374216869714155</v>
      </c>
      <c r="W13" s="214" t="str">
        <f>[3]forRPM!A12</f>
        <v>RetroEven20</v>
      </c>
      <c r="X13" s="208">
        <f>INDEX([3]M_Input!I$8:I$87,MATCH($F13,[3]M_Input!$A$8:$A$87,0),1)</f>
        <v>0</v>
      </c>
      <c r="Y13" s="208">
        <f>INDEX([3]M_Input!J$8:J$87,MATCH($F13,[3]M_Input!$A$8:$A$87,0),1)</f>
        <v>0</v>
      </c>
      <c r="Z13" s="208"/>
      <c r="AA13" s="208"/>
      <c r="AB13" s="208"/>
      <c r="AC13" s="208"/>
      <c r="AD13" s="208"/>
      <c r="AE13" s="208"/>
      <c r="AF13" s="208"/>
      <c r="AG13" s="208"/>
      <c r="AH13" s="208"/>
      <c r="AI13" s="208" t="s">
        <v>49</v>
      </c>
      <c r="AJ13" s="208" t="s">
        <v>445</v>
      </c>
      <c r="AK13" s="215" t="s">
        <v>187</v>
      </c>
      <c r="AL13" s="207" t="s">
        <v>76</v>
      </c>
    </row>
    <row r="14" spans="1:46" s="216" customFormat="1" ht="13.2" x14ac:dyDescent="0.25">
      <c r="A14" s="206" t="str">
        <f>"AG_"&amp;VLOOKUP($E14,MeasureTypeCode,2,0)&amp;"_"&amp;VLOOKUP($G14,State,2,0)&amp;COUNTIFS($E$3:$E14,$E14,$G$3:$G14,$G14)</f>
        <v>AG_IrrRepl_ID2</v>
      </c>
      <c r="B14" s="207" t="s">
        <v>37</v>
      </c>
      <c r="C14" s="208" t="s">
        <v>34</v>
      </c>
      <c r="D14" s="208" t="s">
        <v>33</v>
      </c>
      <c r="E14" s="208" t="s">
        <v>35</v>
      </c>
      <c r="F14" s="208" t="str">
        <f>[3]M_Input!A18</f>
        <v>Pivot and Linear_Sprinkler package replacement, MESA - Idaho</v>
      </c>
      <c r="G14" s="208" t="s">
        <v>22</v>
      </c>
      <c r="H14" s="207" t="s">
        <v>21</v>
      </c>
      <c r="I14" s="207" t="s">
        <v>171</v>
      </c>
      <c r="J14" s="208" t="str">
        <f>[3]M_Input!B18</f>
        <v>Pump</v>
      </c>
      <c r="K14" s="209">
        <f>INDEX([3]M_Input!C$8:C$87,MATCH($F14,[3]M_Input!$A$8:$A$87,0),1)</f>
        <v>25.784358026058701</v>
      </c>
      <c r="L14" s="210">
        <f>INDEX([3]M_Input!D$8:D$87,MATCH($F14,[3]M_Input!$A$8:$A$87,0),1)</f>
        <v>5</v>
      </c>
      <c r="M14" s="211">
        <f>INDEX([3]M_Input!E$8:E$87,MATCH($F14,[3]M_Input!$A$8:$A$87,0),1)</f>
        <v>27.554783113802578</v>
      </c>
      <c r="N14" s="212">
        <f>INDEX([3]M_Input!F$8:F$87,MATCH($F14,[3]M_Input!$A$8:$A$87,0),1)</f>
        <v>-3.3972552309128208</v>
      </c>
      <c r="O14" s="208" t="str">
        <f>[3]M_Input!G18</f>
        <v>A-Irr-Irr-Irrigation-All-All-E</v>
      </c>
      <c r="P14" s="208"/>
      <c r="Q14" s="213">
        <f>INDEX([3]!MeasureOutput,MATCH($F14,[3]M_Input_Out!$A$4:$A$83,0),14)</f>
        <v>0</v>
      </c>
      <c r="R14" s="213">
        <f>INDEX([3]!MeasureOutput,MATCH($F14,[3]M_Input_Out!$A$4:$A$83,0),3)</f>
        <v>28.439527285335735</v>
      </c>
      <c r="S14" s="213">
        <f>INDEX([3]!MeasureOutput,MATCH($F14,[3]M_Input_Out!$A$4:$A$83,0),11)</f>
        <v>131.74832172841332</v>
      </c>
      <c r="T14" s="214">
        <f>SUM([3]forRPM!$L13:$AE13)</f>
        <v>2.1111653449889802</v>
      </c>
      <c r="U14" s="214">
        <f>[3]forRPM!AF13</f>
        <v>1.9288776034576847</v>
      </c>
      <c r="V14" s="213">
        <f>INDEX([3]!MeasureOutput,MATCH($F14,[3]M_Input_Out!$A$4:$A$83,0),12)</f>
        <v>0.56143401466727194</v>
      </c>
      <c r="W14" s="214" t="str">
        <f>[3]forRPM!A13</f>
        <v>RetroEven20</v>
      </c>
      <c r="X14" s="208">
        <f>INDEX([3]M_Input!I$8:I$87,MATCH($F14,[3]M_Input!$A$8:$A$87,0),1)</f>
        <v>0</v>
      </c>
      <c r="Y14" s="208">
        <f>INDEX([3]M_Input!J$8:J$87,MATCH($F14,[3]M_Input!$A$8:$A$87,0),1)</f>
        <v>0</v>
      </c>
      <c r="Z14" s="208"/>
      <c r="AA14" s="208"/>
      <c r="AB14" s="208"/>
      <c r="AC14" s="208"/>
      <c r="AD14" s="208"/>
      <c r="AE14" s="208"/>
      <c r="AF14" s="208"/>
      <c r="AG14" s="208"/>
      <c r="AH14" s="208"/>
      <c r="AI14" s="208" t="s">
        <v>51</v>
      </c>
      <c r="AJ14" s="208" t="s">
        <v>445</v>
      </c>
      <c r="AK14" s="215" t="s">
        <v>187</v>
      </c>
      <c r="AL14" s="207" t="s">
        <v>76</v>
      </c>
    </row>
    <row r="15" spans="1:46" s="216" customFormat="1" ht="13.2" x14ac:dyDescent="0.25">
      <c r="A15" s="206" t="str">
        <f>"AG_"&amp;VLOOKUP($E15,MeasureTypeCode,2,0)&amp;"_"&amp;VLOOKUP($G15,State,2,0)&amp;COUNTIFS($E$3:$E15,$E15,$G$3:$G15,$G15)</f>
        <v>AG_IrrRepl_ID3</v>
      </c>
      <c r="B15" s="207" t="s">
        <v>37</v>
      </c>
      <c r="C15" s="208" t="s">
        <v>34</v>
      </c>
      <c r="D15" s="208" t="s">
        <v>33</v>
      </c>
      <c r="E15" s="208" t="s">
        <v>35</v>
      </c>
      <c r="F15" s="208" t="str">
        <f>[3]M_Input!A19</f>
        <v>Pivot and Linear_Sprinkler package replacement, LESA/LEPA/MDI - Idaho</v>
      </c>
      <c r="G15" s="208" t="s">
        <v>22</v>
      </c>
      <c r="H15" s="207" t="s">
        <v>21</v>
      </c>
      <c r="I15" s="207" t="s">
        <v>171</v>
      </c>
      <c r="J15" s="208" t="str">
        <f>[3]M_Input!B19</f>
        <v>Pump</v>
      </c>
      <c r="K15" s="209">
        <f>INDEX([3]M_Input!C$8:C$87,MATCH($F15,[3]M_Input!$A$8:$A$87,0),1)</f>
        <v>25.784358026058701</v>
      </c>
      <c r="L15" s="210">
        <f>INDEX([3]M_Input!D$8:D$87,MATCH($F15,[3]M_Input!$A$8:$A$87,0),1)</f>
        <v>5</v>
      </c>
      <c r="M15" s="211">
        <f>INDEX([3]M_Input!E$8:E$87,MATCH($F15,[3]M_Input!$A$8:$A$87,0),1)</f>
        <v>37.921401277472171</v>
      </c>
      <c r="N15" s="212">
        <f>INDEX([3]M_Input!F$8:F$87,MATCH($F15,[3]M_Input!$A$8:$A$87,0),1)</f>
        <v>-4.675365373821589</v>
      </c>
      <c r="O15" s="208" t="str">
        <f>[3]M_Input!G19</f>
        <v>A-Irr-Irr-Irrigation-All-All-E</v>
      </c>
      <c r="P15" s="208"/>
      <c r="Q15" s="213">
        <f>INDEX([3]!MeasureOutput,MATCH($F15,[3]M_Input_Out!$A$4:$A$83,0),14)</f>
        <v>0</v>
      </c>
      <c r="R15" s="213">
        <f>INDEX([3]!MeasureOutput,MATCH($F15,[3]M_Input_Out!$A$4:$A$83,0),3)</f>
        <v>28.439527285335735</v>
      </c>
      <c r="S15" s="213">
        <f>INDEX([3]!MeasureOutput,MATCH($F15,[3]M_Input_Out!$A$4:$A$83,0),11)</f>
        <v>182.42033057339253</v>
      </c>
      <c r="T15" s="214">
        <f>SUM([3]forRPM!$L14:$AE14)</f>
        <v>1.1478784949351024</v>
      </c>
      <c r="U15" s="214">
        <f>[3]forRPM!AF14</f>
        <v>1.0487653776746662</v>
      </c>
      <c r="V15" s="213">
        <f>INDEX([3]!MeasureOutput,MATCH($F15,[3]M_Input_Out!$A$4:$A$83,0),12)</f>
        <v>0.53644733935913913</v>
      </c>
      <c r="W15" s="214" t="str">
        <f>[3]forRPM!A14</f>
        <v>RetroEven20</v>
      </c>
      <c r="X15" s="208">
        <f>INDEX([3]M_Input!I$8:I$87,MATCH($F15,[3]M_Input!$A$8:$A$87,0),1)</f>
        <v>0</v>
      </c>
      <c r="Y15" s="208">
        <f>INDEX([3]M_Input!J$8:J$87,MATCH($F15,[3]M_Input!$A$8:$A$87,0),1)</f>
        <v>0</v>
      </c>
      <c r="Z15" s="208"/>
      <c r="AA15" s="208"/>
      <c r="AB15" s="208"/>
      <c r="AC15" s="208"/>
      <c r="AD15" s="208"/>
      <c r="AE15" s="208"/>
      <c r="AF15" s="208"/>
      <c r="AG15" s="208"/>
      <c r="AH15" s="208"/>
      <c r="AI15" s="208" t="s">
        <v>50</v>
      </c>
      <c r="AJ15" s="208" t="s">
        <v>445</v>
      </c>
      <c r="AK15" s="215" t="s">
        <v>187</v>
      </c>
      <c r="AL15" s="207" t="s">
        <v>76</v>
      </c>
    </row>
    <row r="16" spans="1:46" s="216" customFormat="1" ht="13.2" x14ac:dyDescent="0.25">
      <c r="A16" s="206" t="str">
        <f>"AG_"&amp;VLOOKUP($E16,MeasureTypeCode,2,0)&amp;"_"&amp;VLOOKUP($G16,State,2,0)&amp;COUNTIFS($E$3:$E16,$E16,$G$3:$G16,$G16)</f>
        <v>AG_IrrUpg_ID1</v>
      </c>
      <c r="B16" s="207" t="s">
        <v>37</v>
      </c>
      <c r="C16" s="208" t="s">
        <v>34</v>
      </c>
      <c r="D16" s="208" t="s">
        <v>33</v>
      </c>
      <c r="E16" s="208" t="s">
        <v>36</v>
      </c>
      <c r="F16" s="208" t="str">
        <f>[3]M_Input!A20</f>
        <v>Pivot and Linear_Upgrade from high pressure to MESA - Idaho</v>
      </c>
      <c r="G16" s="208" t="s">
        <v>22</v>
      </c>
      <c r="H16" s="207" t="s">
        <v>21</v>
      </c>
      <c r="I16" s="207" t="s">
        <v>171</v>
      </c>
      <c r="J16" s="208" t="str">
        <f>[3]M_Input!B20</f>
        <v>Pump</v>
      </c>
      <c r="K16" s="209">
        <f>INDEX([3]M_Input!C$8:C$87,MATCH($F16,[3]M_Input!$A$8:$A$87,0),1)</f>
        <v>37.327168620205875</v>
      </c>
      <c r="L16" s="210">
        <f>INDEX([3]M_Input!D$8:D$87,MATCH($F16,[3]M_Input!$A$8:$A$87,0),1)</f>
        <v>10</v>
      </c>
      <c r="M16" s="211">
        <f>INDEX([3]M_Input!E$8:E$87,MATCH($F16,[3]M_Input!$A$8:$A$87,0),1)</f>
        <v>29.948384458157712</v>
      </c>
      <c r="N16" s="212">
        <f>INDEX([3]M_Input!F$8:F$87,MATCH($F16,[3]M_Input!$A$8:$A$87,0),1)</f>
        <v>0</v>
      </c>
      <c r="O16" s="208" t="str">
        <f>[3]M_Input!G20</f>
        <v>A-Irr-Irr-Irrigation-All-All-E</v>
      </c>
      <c r="P16" s="208"/>
      <c r="Q16" s="213">
        <f>INDEX([3]!MeasureOutput,MATCH($F16,[3]M_Input_Out!$A$4:$A$83,0),14)</f>
        <v>0</v>
      </c>
      <c r="R16" s="213">
        <f>INDEX([3]!MeasureOutput,MATCH($F16,[3]M_Input_Out!$A$4:$A$83,0),3)</f>
        <v>41.170969988308833</v>
      </c>
      <c r="S16" s="213">
        <f>INDEX([3]!MeasureOutput,MATCH($F16,[3]M_Input_Out!$A$4:$A$83,0),11)</f>
        <v>105.15008098827502</v>
      </c>
      <c r="T16" s="214">
        <f>SUM([3]forRPM!$L15:$AE15)</f>
        <v>0.92574992616048113</v>
      </c>
      <c r="U16" s="214">
        <f>[3]forRPM!AF15</f>
        <v>0.81237178268171506</v>
      </c>
      <c r="V16" s="213">
        <f>INDEX([3]!MeasureOutput,MATCH($F16,[3]M_Input_Out!$A$4:$A$83,0),12)</f>
        <v>0.2626497662189583</v>
      </c>
      <c r="W16" s="214" t="str">
        <f>[3]forRPM!A15</f>
        <v>Retro5Med</v>
      </c>
      <c r="X16" s="208">
        <f>INDEX([3]M_Input!I$8:I$87,MATCH($F16,[3]M_Input!$A$8:$A$87,0),1)</f>
        <v>1.6582412769936674</v>
      </c>
      <c r="Y16" s="208">
        <f>INDEX([3]M_Input!J$8:J$87,MATCH($F16,[3]M_Input!$A$8:$A$87,0),1)</f>
        <v>5</v>
      </c>
      <c r="Z16" s="208"/>
      <c r="AA16" s="208"/>
      <c r="AB16" s="208"/>
      <c r="AC16" s="208"/>
      <c r="AD16" s="208"/>
      <c r="AE16" s="208"/>
      <c r="AF16" s="208"/>
      <c r="AG16" s="208"/>
      <c r="AH16" s="208"/>
      <c r="AI16" s="208" t="s">
        <v>52</v>
      </c>
      <c r="AJ16" s="208" t="s">
        <v>445</v>
      </c>
      <c r="AK16" s="215" t="s">
        <v>187</v>
      </c>
      <c r="AL16" s="207" t="s">
        <v>76</v>
      </c>
    </row>
    <row r="17" spans="1:38" s="216" customFormat="1" ht="13.2" x14ac:dyDescent="0.25">
      <c r="A17" s="206" t="str">
        <f>"AG_"&amp;VLOOKUP($E17,MeasureTypeCode,2,0)&amp;"_"&amp;VLOOKUP($G17,State,2,0)&amp;COUNTIFS($E$3:$E17,$E17,$G$3:$G17,$G17)</f>
        <v>AG_IrrUpg_ID2</v>
      </c>
      <c r="B17" s="207" t="s">
        <v>37</v>
      </c>
      <c r="C17" s="208" t="s">
        <v>34</v>
      </c>
      <c r="D17" s="208" t="s">
        <v>33</v>
      </c>
      <c r="E17" s="208" t="s">
        <v>36</v>
      </c>
      <c r="F17" s="208" t="str">
        <f>[3]M_Input!A21</f>
        <v>Pivot and Linear_Upgrade from MESA to LESA/LEPA/MDI - Idaho</v>
      </c>
      <c r="G17" s="208" t="s">
        <v>22</v>
      </c>
      <c r="H17" s="207" t="s">
        <v>21</v>
      </c>
      <c r="I17" s="207" t="s">
        <v>171</v>
      </c>
      <c r="J17" s="208" t="str">
        <f>[3]M_Input!B21</f>
        <v>Pump</v>
      </c>
      <c r="K17" s="209">
        <f>INDEX([3]M_Input!C$8:C$87,MATCH($F17,[3]M_Input!$A$8:$A$87,0),1)</f>
        <v>63.456186654349871</v>
      </c>
      <c r="L17" s="210">
        <f>INDEX([3]M_Input!D$8:D$87,MATCH($F17,[3]M_Input!$A$8:$A$87,0),1)</f>
        <v>10</v>
      </c>
      <c r="M17" s="211">
        <f>INDEX([3]M_Input!E$8:E$87,MATCH($F17,[3]M_Input!$A$8:$A$87,0),1)</f>
        <v>36.438280264834965</v>
      </c>
      <c r="N17" s="212">
        <f>INDEX([3]M_Input!F$8:F$87,MATCH($F17,[3]M_Input!$A$8:$A$87,0),1)</f>
        <v>0</v>
      </c>
      <c r="O17" s="208" t="str">
        <f>[3]M_Input!G21</f>
        <v>A-Irr-Irr-Irrigation-All-All-E</v>
      </c>
      <c r="P17" s="208"/>
      <c r="Q17" s="213">
        <f>INDEX([3]!MeasureOutput,MATCH($F17,[3]M_Input_Out!$A$4:$A$83,0),14)</f>
        <v>0</v>
      </c>
      <c r="R17" s="213">
        <f>INDEX([3]!MeasureOutput,MATCH($F17,[3]M_Input_Out!$A$4:$A$83,0),3)</f>
        <v>69.990648980124888</v>
      </c>
      <c r="S17" s="213">
        <f>INDEX([3]!MeasureOutput,MATCH($F17,[3]M_Input_Out!$A$4:$A$83,0),11)</f>
        <v>76.232919454924826</v>
      </c>
      <c r="T17" s="214">
        <f>SUM([3]forRPM!$L16:$AE16)</f>
        <v>2.3733753149789276</v>
      </c>
      <c r="U17" s="214">
        <f>[3]forRPM!AF16</f>
        <v>1.8988134917255548</v>
      </c>
      <c r="V17" s="213">
        <f>INDEX([3]!MeasureOutput,MATCH($F17,[3]M_Input_Out!$A$4:$A$83,0),12)</f>
        <v>0.35858083758693127</v>
      </c>
      <c r="W17" s="214" t="str">
        <f>[3]forRPM!A16</f>
        <v>Retro1Slow</v>
      </c>
      <c r="X17" s="208">
        <f>INDEX([3]M_Input!I$8:I$87,MATCH($F17,[3]M_Input!$A$8:$A$87,0),1)</f>
        <v>3.3164825539873348</v>
      </c>
      <c r="Y17" s="208">
        <f>INDEX([3]M_Input!J$8:J$87,MATCH($F17,[3]M_Input!$A$8:$A$87,0),1)</f>
        <v>5</v>
      </c>
      <c r="Z17" s="208"/>
      <c r="AA17" s="208"/>
      <c r="AB17" s="208"/>
      <c r="AC17" s="208"/>
      <c r="AD17" s="208"/>
      <c r="AE17" s="208"/>
      <c r="AF17" s="208"/>
      <c r="AG17" s="208"/>
      <c r="AH17" s="208"/>
      <c r="AI17" s="208" t="s">
        <v>53</v>
      </c>
      <c r="AJ17" s="208" t="s">
        <v>445</v>
      </c>
      <c r="AK17" s="215" t="s">
        <v>187</v>
      </c>
      <c r="AL17" s="207" t="s">
        <v>76</v>
      </c>
    </row>
    <row r="18" spans="1:38" s="45" customFormat="1" ht="13.2" x14ac:dyDescent="0.25">
      <c r="A18" s="158" t="str">
        <f>"AG_"&amp;VLOOKUP($E18,MeasureTypeCode,2,0)&amp;"_"&amp;VLOOKUP($G18,State,2,0)&amp;COUNTIFS($E$3:$E18,$E18,$G$3:$G18,$G18)</f>
        <v>AG_IrrSprnklr_WA1</v>
      </c>
      <c r="B18" s="7" t="s">
        <v>479</v>
      </c>
      <c r="C18" s="8" t="s">
        <v>34</v>
      </c>
      <c r="D18" s="8" t="s">
        <v>33</v>
      </c>
      <c r="E18" s="8" t="s">
        <v>26</v>
      </c>
      <c r="F18" s="8" t="str">
        <f>[3]M_Input!A22</f>
        <v>Wheel and Hand_Rebuilt or new impact sprinkler - Washington</v>
      </c>
      <c r="G18" s="8" t="s">
        <v>23</v>
      </c>
      <c r="H18" s="7" t="s">
        <v>21</v>
      </c>
      <c r="I18" s="7" t="s">
        <v>171</v>
      </c>
      <c r="J18" s="8" t="str">
        <f>[3]M_Input!B22</f>
        <v>Pump</v>
      </c>
      <c r="K18" s="12">
        <f>INDEX([3]M_Input!C$8:C$87,MATCH($F18,[3]M_Input!$A$8:$A$87,0),1)</f>
        <v>7.229410182049377</v>
      </c>
      <c r="L18" s="14">
        <f>INDEX([3]M_Input!D$8:D$87,MATCH($F18,[3]M_Input!$A$8:$A$87,0),1)</f>
        <v>4</v>
      </c>
      <c r="M18" s="9">
        <f>INDEX([3]M_Input!E$8:E$87,MATCH($F18,[3]M_Input!$A$8:$A$87,0),1)</f>
        <v>25.065699750603557</v>
      </c>
      <c r="N18" s="10">
        <f>INDEX([3]M_Input!F$8:F$87,MATCH($F18,[3]M_Input!$A$8:$A$87,0),1)</f>
        <v>-3.7229540426909793</v>
      </c>
      <c r="O18" s="8" t="str">
        <f>[3]M_Input!G22</f>
        <v>A-Irr-Irr-Irrigation-All-All-E</v>
      </c>
      <c r="P18" s="8"/>
      <c r="Q18" s="178">
        <f>INDEX([3]!MeasureOutput,MATCH($F18,[3]M_Input_Out!$A$4:$A$83,0),14)</f>
        <v>0</v>
      </c>
      <c r="R18" s="178">
        <f>INDEX([3]!MeasureOutput,MATCH($F18,[3]M_Input_Out!$A$4:$A$83,0),3)</f>
        <v>7.9738657026670454</v>
      </c>
      <c r="S18" s="178">
        <f>INDEX([3]!MeasureOutput,MATCH($F18,[3]M_Input_Out!$A$4:$A$83,0),11)</f>
        <v>542.56053406664694</v>
      </c>
      <c r="T18" s="13">
        <f>SUM([3]forRPM!$L17:$AE17)</f>
        <v>4.3756808634384303E-2</v>
      </c>
      <c r="U18" s="13">
        <f>[3]forRPM!AF17</f>
        <v>4.6949383928239094E-2</v>
      </c>
      <c r="V18" s="178">
        <f>INDEX([3]!MeasureOutput,MATCH($F18,[3]M_Input_Out!$A$4:$A$83,0),12)</f>
        <v>0.48211534885093427</v>
      </c>
      <c r="W18" s="170" t="str">
        <f>[3]forRPM!A17</f>
        <v>RetroEven20</v>
      </c>
      <c r="X18" s="8">
        <f>INDEX([3]M_Input!I$8:I$87,MATCH($F18,[3]M_Input!$A$8:$A$87,0),1)</f>
        <v>0</v>
      </c>
      <c r="Y18" s="8">
        <f>INDEX([3]M_Input!J$8:J$87,MATCH($F18,[3]M_Input!$A$8:$A$87,0),1)</f>
        <v>0</v>
      </c>
      <c r="Z18" s="8"/>
      <c r="AA18" s="8"/>
      <c r="AB18" s="8"/>
      <c r="AC18" s="8"/>
      <c r="AD18" s="8"/>
      <c r="AE18" s="8"/>
      <c r="AF18" s="8"/>
      <c r="AG18" s="8"/>
      <c r="AH18" s="8"/>
      <c r="AI18" s="8" t="s">
        <v>40</v>
      </c>
      <c r="AJ18" s="8" t="s">
        <v>445</v>
      </c>
      <c r="AK18" s="15" t="s">
        <v>187</v>
      </c>
      <c r="AL18" s="7" t="s">
        <v>66</v>
      </c>
    </row>
    <row r="19" spans="1:38" s="45" customFormat="1" ht="13.2" x14ac:dyDescent="0.25">
      <c r="A19" s="158" t="str">
        <f>"AG_"&amp;VLOOKUP($E19,MeasureTypeCode,2,0)&amp;"_"&amp;VLOOKUP($G19,State,2,0)&amp;COUNTIFS($E$3:$E19,$E19,$G$3:$G19,$G19)</f>
        <v>AG_IrrGskt_WA1</v>
      </c>
      <c r="B19" s="7" t="s">
        <v>479</v>
      </c>
      <c r="C19" s="8" t="s">
        <v>34</v>
      </c>
      <c r="D19" s="8" t="s">
        <v>33</v>
      </c>
      <c r="E19" s="8" t="s">
        <v>27</v>
      </c>
      <c r="F19" s="8" t="str">
        <f>[3]M_Input!A23</f>
        <v>Wheel and Hand_Gaskets - Washington</v>
      </c>
      <c r="G19" s="8" t="s">
        <v>23</v>
      </c>
      <c r="H19" s="7" t="s">
        <v>21</v>
      </c>
      <c r="I19" s="7" t="s">
        <v>171</v>
      </c>
      <c r="J19" s="8" t="str">
        <f>[3]M_Input!B23</f>
        <v>Pump</v>
      </c>
      <c r="K19" s="12">
        <f>INDEX([3]M_Input!C$8:C$87,MATCH($F19,[3]M_Input!$A$8:$A$87,0),1)</f>
        <v>35.420056831396536</v>
      </c>
      <c r="L19" s="14">
        <f>INDEX([3]M_Input!D$8:D$87,MATCH($F19,[3]M_Input!$A$8:$A$87,0),1)</f>
        <v>5</v>
      </c>
      <c r="M19" s="9">
        <f>INDEX([3]M_Input!E$8:E$87,MATCH($F19,[3]M_Input!$A$8:$A$87,0),1)</f>
        <v>6.9373406404505005</v>
      </c>
      <c r="N19" s="10">
        <f>INDEX([3]M_Input!F$8:F$87,MATCH($F19,[3]M_Input!$A$8:$A$87,0),1)</f>
        <v>-0.85531127870097634</v>
      </c>
      <c r="O19" s="8" t="str">
        <f>[3]M_Input!G23</f>
        <v>A-Irr-Irr-Irrigation-All-All-E</v>
      </c>
      <c r="P19" s="8"/>
      <c r="Q19" s="178">
        <f>INDEX([3]!MeasureOutput,MATCH($F19,[3]M_Input_Out!$A$4:$A$83,0),14)</f>
        <v>0</v>
      </c>
      <c r="R19" s="178">
        <f>INDEX([3]!MeasureOutput,MATCH($F19,[3]M_Input_Out!$A$4:$A$83,0),3)</f>
        <v>39.067471514574713</v>
      </c>
      <c r="S19" s="178">
        <f>INDEX([3]!MeasureOutput,MATCH($F19,[3]M_Input_Out!$A$4:$A$83,0),11)</f>
        <v>21.745308477934003</v>
      </c>
      <c r="T19" s="13">
        <f>SUM([3]forRPM!$L18:$AE18)</f>
        <v>0.21438383070845227</v>
      </c>
      <c r="U19" s="13">
        <f>[3]forRPM!AF18</f>
        <v>0.23002565977877251</v>
      </c>
      <c r="V19" s="178">
        <f>INDEX([3]!MeasureOutput,MATCH($F19,[3]M_Input_Out!$A$4:$A$83,0),12)</f>
        <v>0.96875098847084884</v>
      </c>
      <c r="W19" s="170" t="str">
        <f>[3]forRPM!A18</f>
        <v>RetroEven20</v>
      </c>
      <c r="X19" s="8">
        <f>INDEX([3]M_Input!I$8:I$87,MATCH($F19,[3]M_Input!$A$8:$A$87,0),1)</f>
        <v>0</v>
      </c>
      <c r="Y19" s="8">
        <f>INDEX([3]M_Input!J$8:J$87,MATCH($F19,[3]M_Input!$A$8:$A$87,0),1)</f>
        <v>0</v>
      </c>
      <c r="Z19" s="8"/>
      <c r="AA19" s="8"/>
      <c r="AB19" s="8"/>
      <c r="AC19" s="8"/>
      <c r="AD19" s="8"/>
      <c r="AE19" s="8"/>
      <c r="AF19" s="8"/>
      <c r="AG19" s="8"/>
      <c r="AH19" s="8"/>
      <c r="AI19" s="8" t="s">
        <v>44</v>
      </c>
      <c r="AJ19" s="8" t="s">
        <v>445</v>
      </c>
      <c r="AK19" s="15" t="s">
        <v>187</v>
      </c>
      <c r="AL19" s="7" t="s">
        <v>66</v>
      </c>
    </row>
    <row r="20" spans="1:38" s="45" customFormat="1" ht="13.2" x14ac:dyDescent="0.25">
      <c r="A20" s="158" t="str">
        <f>"AG_"&amp;VLOOKUP($E20,MeasureTypeCode,2,0)&amp;"_"&amp;VLOOKUP($G20,State,2,0)&amp;COUNTIFS($E$3:$E20,$E20,$G$3:$G20,$G20)</f>
        <v>AG_IrrDrn_WA1</v>
      </c>
      <c r="B20" s="7" t="s">
        <v>479</v>
      </c>
      <c r="C20" s="8" t="s">
        <v>34</v>
      </c>
      <c r="D20" s="8" t="s">
        <v>33</v>
      </c>
      <c r="E20" s="8" t="s">
        <v>28</v>
      </c>
      <c r="F20" s="8" t="str">
        <f>[3]M_Input!A24</f>
        <v>Wheel and Hand_Drains - Washington</v>
      </c>
      <c r="G20" s="8" t="s">
        <v>23</v>
      </c>
      <c r="H20" s="7" t="s">
        <v>21</v>
      </c>
      <c r="I20" s="7" t="s">
        <v>171</v>
      </c>
      <c r="J20" s="8" t="str">
        <f>[3]M_Input!B24</f>
        <v>Pump</v>
      </c>
      <c r="K20" s="12">
        <f>INDEX([3]M_Input!C$8:C$87,MATCH($F20,[3]M_Input!$A$8:$A$87,0),1)</f>
        <v>23.029253898780006</v>
      </c>
      <c r="L20" s="14">
        <f>INDEX([3]M_Input!D$8:D$87,MATCH($F20,[3]M_Input!$A$8:$A$87,0),1)</f>
        <v>5</v>
      </c>
      <c r="M20" s="9">
        <f>INDEX([3]M_Input!E$8:E$87,MATCH($F20,[3]M_Input!$A$8:$A$87,0),1)</f>
        <v>9.9983998095375899</v>
      </c>
      <c r="N20" s="10">
        <f>INDEX([3]M_Input!F$8:F$87,MATCH($F20,[3]M_Input!$A$8:$A$87,0),1)</f>
        <v>-1.2327121543081467</v>
      </c>
      <c r="O20" s="8" t="str">
        <f>[3]M_Input!G24</f>
        <v>A-Irr-Irr-Irrigation-All-All-E</v>
      </c>
      <c r="P20" s="8"/>
      <c r="Q20" s="178">
        <f>INDEX([3]!MeasureOutput,MATCH($F20,[3]M_Input_Out!$A$4:$A$83,0),14)</f>
        <v>0</v>
      </c>
      <c r="R20" s="178">
        <f>INDEX([3]!MeasureOutput,MATCH($F20,[3]M_Input_Out!$A$4:$A$83,0),3)</f>
        <v>25.400713640160003</v>
      </c>
      <c r="S20" s="178">
        <f>INDEX([3]!MeasureOutput,MATCH($F20,[3]M_Input_Out!$A$4:$A$83,0),11)</f>
        <v>51.779189832033595</v>
      </c>
      <c r="T20" s="13">
        <f>SUM([3]forRPM!$L19:$AE19)</f>
        <v>0.1393871187920214</v>
      </c>
      <c r="U20" s="13">
        <f>[3]forRPM!AF19</f>
        <v>0.14955705315481502</v>
      </c>
      <c r="V20" s="178">
        <f>INDEX([3]!MeasureOutput,MATCH($F20,[3]M_Input_Out!$A$4:$A$83,0),12)</f>
        <v>0.69501670317484909</v>
      </c>
      <c r="W20" s="170" t="str">
        <f>[3]forRPM!A19</f>
        <v>RetroEven20</v>
      </c>
      <c r="X20" s="8">
        <f>INDEX([3]M_Input!I$8:I$87,MATCH($F20,[3]M_Input!$A$8:$A$87,0),1)</f>
        <v>0</v>
      </c>
      <c r="Y20" s="8">
        <f>INDEX([3]M_Input!J$8:J$87,MATCH($F20,[3]M_Input!$A$8:$A$87,0),1)</f>
        <v>0</v>
      </c>
      <c r="Z20" s="8"/>
      <c r="AA20" s="8"/>
      <c r="AB20" s="8"/>
      <c r="AC20" s="8"/>
      <c r="AD20" s="8"/>
      <c r="AE20" s="8"/>
      <c r="AF20" s="8"/>
      <c r="AG20" s="8"/>
      <c r="AH20" s="8"/>
      <c r="AI20" s="8" t="s">
        <v>45</v>
      </c>
      <c r="AJ20" s="8" t="s">
        <v>445</v>
      </c>
      <c r="AK20" s="15" t="s">
        <v>187</v>
      </c>
      <c r="AL20" s="7" t="s">
        <v>66</v>
      </c>
    </row>
    <row r="21" spans="1:38" s="45" customFormat="1" ht="13.2" x14ac:dyDescent="0.25">
      <c r="A21" s="158" t="str">
        <f>"AG_"&amp;VLOOKUP($E21,MeasureTypeCode,2,0)&amp;"_"&amp;VLOOKUP($G21,State,2,0)&amp;COUNTIFS($E$3:$E21,$E21,$G$3:$G21,$G21)</f>
        <v>AG_IrrRpr_WA1</v>
      </c>
      <c r="B21" s="7" t="s">
        <v>479</v>
      </c>
      <c r="C21" s="8" t="s">
        <v>34</v>
      </c>
      <c r="D21" s="8" t="s">
        <v>33</v>
      </c>
      <c r="E21" s="8" t="s">
        <v>29</v>
      </c>
      <c r="F21" s="8" t="str">
        <f>[3]M_Input!A25</f>
        <v>Wheel and Hand_Cut and press repair - Washington</v>
      </c>
      <c r="G21" s="8" t="s">
        <v>23</v>
      </c>
      <c r="H21" s="7" t="s">
        <v>21</v>
      </c>
      <c r="I21" s="7" t="s">
        <v>171</v>
      </c>
      <c r="J21" s="8" t="str">
        <f>[3]M_Input!B25</f>
        <v>Pump</v>
      </c>
      <c r="K21" s="12">
        <f>INDEX([3]M_Input!C$8:C$87,MATCH($F21,[3]M_Input!$A$8:$A$87,0),1)</f>
        <v>101.8284793918678</v>
      </c>
      <c r="L21" s="14">
        <f>INDEX([3]M_Input!D$8:D$87,MATCH($F21,[3]M_Input!$A$8:$A$87,0),1)</f>
        <v>8</v>
      </c>
      <c r="M21" s="9">
        <f>INDEX([3]M_Input!E$8:E$87,MATCH($F21,[3]M_Input!$A$8:$A$87,0),1)</f>
        <v>30.388468755978995</v>
      </c>
      <c r="N21" s="10">
        <f>INDEX([3]M_Input!F$8:F$87,MATCH($F21,[3]M_Input!$A$8:$A$87,0),1)</f>
        <v>-2.6079383649944781</v>
      </c>
      <c r="O21" s="8" t="str">
        <f>[3]M_Input!G25</f>
        <v>A-Irr-Irr-Irrigation-All-All-E</v>
      </c>
      <c r="P21" s="8"/>
      <c r="Q21" s="178">
        <f>INDEX([3]!MeasureOutput,MATCH($F21,[3]M_Input_Out!$A$4:$A$83,0),14)</f>
        <v>0</v>
      </c>
      <c r="R21" s="178">
        <f>INDEX([3]!MeasureOutput,MATCH($F21,[3]M_Input_Out!$A$4:$A$83,0),3)</f>
        <v>112.31436575471476</v>
      </c>
      <c r="S21" s="178">
        <f>INDEX([3]!MeasureOutput,MATCH($F21,[3]M_Input_Out!$A$4:$A$83,0),11)</f>
        <v>20.612176216392399</v>
      </c>
      <c r="T21" s="13">
        <f>SUM([3]forRPM!$L20:$AE20)</f>
        <v>0.61632818917147369</v>
      </c>
      <c r="U21" s="13">
        <f>[3]forRPM!AF20</f>
        <v>0.66129660005573765</v>
      </c>
      <c r="V21" s="178">
        <f>INDEX([3]!MeasureOutput,MATCH($F21,[3]M_Input_Out!$A$4:$A$83,0),12)</f>
        <v>1.0703580218842299</v>
      </c>
      <c r="W21" s="170" t="str">
        <f>[3]forRPM!A20</f>
        <v>RetroEven20</v>
      </c>
      <c r="X21" s="8">
        <f>INDEX([3]M_Input!I$8:I$87,MATCH($F21,[3]M_Input!$A$8:$A$87,0),1)</f>
        <v>0</v>
      </c>
      <c r="Y21" s="8">
        <f>INDEX([3]M_Input!J$8:J$87,MATCH($F21,[3]M_Input!$A$8:$A$87,0),1)</f>
        <v>0</v>
      </c>
      <c r="Z21" s="8"/>
      <c r="AA21" s="8"/>
      <c r="AB21" s="8"/>
      <c r="AC21" s="8"/>
      <c r="AD21" s="8"/>
      <c r="AE21" s="8"/>
      <c r="AF21" s="8"/>
      <c r="AG21" s="8"/>
      <c r="AH21" s="8"/>
      <c r="AI21" s="8" t="s">
        <v>41</v>
      </c>
      <c r="AJ21" s="8" t="s">
        <v>445</v>
      </c>
      <c r="AK21" s="15" t="s">
        <v>187</v>
      </c>
      <c r="AL21" s="7" t="s">
        <v>66</v>
      </c>
    </row>
    <row r="22" spans="1:38" s="45" customFormat="1" ht="13.2" x14ac:dyDescent="0.25">
      <c r="A22" s="158" t="str">
        <f>"AG_"&amp;VLOOKUP($E22,MeasureTypeCode,2,0)&amp;"_"&amp;VLOOKUP($G22,State,2,0)&amp;COUNTIFS($E$3:$E22,$E22,$G$3:$G22,$G22)</f>
        <v>AG_IrrHub_WA1</v>
      </c>
      <c r="B22" s="7" t="s">
        <v>479</v>
      </c>
      <c r="C22" s="8" t="s">
        <v>34</v>
      </c>
      <c r="D22" s="8" t="s">
        <v>33</v>
      </c>
      <c r="E22" s="8" t="s">
        <v>30</v>
      </c>
      <c r="F22" s="8" t="str">
        <f>[3]M_Input!A26</f>
        <v>Wheel and Hand_Hub gasket - Washington</v>
      </c>
      <c r="G22" s="8" t="s">
        <v>23</v>
      </c>
      <c r="H22" s="7" t="s">
        <v>21</v>
      </c>
      <c r="I22" s="7" t="s">
        <v>171</v>
      </c>
      <c r="J22" s="8" t="str">
        <f>[3]M_Input!B26</f>
        <v>Pump</v>
      </c>
      <c r="K22" s="12">
        <f>INDEX([3]M_Input!C$8:C$87,MATCH($F22,[3]M_Input!$A$8:$A$87,0),1)</f>
        <v>116.54535384358856</v>
      </c>
      <c r="L22" s="14">
        <f>INDEX([3]M_Input!D$8:D$87,MATCH($F22,[3]M_Input!$A$8:$A$87,0),1)</f>
        <v>10</v>
      </c>
      <c r="M22" s="9">
        <f>INDEX([3]M_Input!E$8:E$87,MATCH($F22,[3]M_Input!$A$8:$A$87,0),1)</f>
        <v>28.461673476483401</v>
      </c>
      <c r="N22" s="10">
        <f>INDEX([3]M_Input!F$8:F$87,MATCH($F22,[3]M_Input!$A$8:$A$87,0),1)</f>
        <v>-2.0942597516815615</v>
      </c>
      <c r="O22" s="8" t="str">
        <f>[3]M_Input!G26</f>
        <v>A-Irr-Irr-Irrigation-All-All-E</v>
      </c>
      <c r="P22" s="8"/>
      <c r="Q22" s="178">
        <f>INDEX([3]!MeasureOutput,MATCH($F22,[3]M_Input_Out!$A$4:$A$83,0),14)</f>
        <v>0</v>
      </c>
      <c r="R22" s="178">
        <f>INDEX([3]!MeasureOutput,MATCH($F22,[3]M_Input_Out!$A$4:$A$83,0),3)</f>
        <v>128.54672461746318</v>
      </c>
      <c r="S22" s="178">
        <f>INDEX([3]!MeasureOutput,MATCH($F22,[3]M_Input_Out!$A$4:$A$83,0),11)</f>
        <v>12.472075906797334</v>
      </c>
      <c r="T22" s="13">
        <f>SUM([3]forRPM!$L21:$AE21)</f>
        <v>0.17635092687170201</v>
      </c>
      <c r="U22" s="13">
        <f>[3]forRPM!AF21</f>
        <v>0.18921780701562019</v>
      </c>
      <c r="V22" s="178">
        <f>INDEX([3]!MeasureOutput,MATCH($F22,[3]M_Input_Out!$A$4:$A$83,0),12)</f>
        <v>1.409362190458574</v>
      </c>
      <c r="W22" s="170" t="str">
        <f>[3]forRPM!A21</f>
        <v>RetroEven20</v>
      </c>
      <c r="X22" s="8">
        <f>INDEX([3]M_Input!I$8:I$87,MATCH($F22,[3]M_Input!$A$8:$A$87,0),1)</f>
        <v>0</v>
      </c>
      <c r="Y22" s="8">
        <f>INDEX([3]M_Input!J$8:J$87,MATCH($F22,[3]M_Input!$A$8:$A$87,0),1)</f>
        <v>0</v>
      </c>
      <c r="Z22" s="8"/>
      <c r="AA22" s="8"/>
      <c r="AB22" s="8"/>
      <c r="AC22" s="8"/>
      <c r="AD22" s="8"/>
      <c r="AE22" s="8"/>
      <c r="AF22" s="8"/>
      <c r="AG22" s="8"/>
      <c r="AH22" s="8"/>
      <c r="AI22" s="8" t="s">
        <v>46</v>
      </c>
      <c r="AJ22" s="8" t="s">
        <v>445</v>
      </c>
      <c r="AK22" s="15" t="s">
        <v>187</v>
      </c>
      <c r="AL22" s="7" t="s">
        <v>66</v>
      </c>
    </row>
    <row r="23" spans="1:38" s="45" customFormat="1" ht="13.2" x14ac:dyDescent="0.25">
      <c r="A23" s="158" t="str">
        <f>"AG_"&amp;VLOOKUP($E23,MeasureTypeCode,2,0)&amp;"_"&amp;VLOOKUP($G23,State,2,0)&amp;COUNTIFS($E$3:$E23,$E23,$G$3:$G23,$G23)</f>
        <v>AG_IrrLvlr_WA1</v>
      </c>
      <c r="B23" s="7" t="s">
        <v>479</v>
      </c>
      <c r="C23" s="8" t="s">
        <v>34</v>
      </c>
      <c r="D23" s="8" t="s">
        <v>33</v>
      </c>
      <c r="E23" s="8" t="s">
        <v>31</v>
      </c>
      <c r="F23" s="8" t="str">
        <f>[3]M_Input!A27</f>
        <v>Wheel and Hand_Levelers - Washington</v>
      </c>
      <c r="G23" s="8" t="s">
        <v>23</v>
      </c>
      <c r="H23" s="7" t="s">
        <v>21</v>
      </c>
      <c r="I23" s="7" t="s">
        <v>171</v>
      </c>
      <c r="J23" s="8" t="str">
        <f>[3]M_Input!B27</f>
        <v>Pump</v>
      </c>
      <c r="K23" s="12">
        <f>INDEX([3]M_Input!C$8:C$87,MATCH($F23,[3]M_Input!$A$8:$A$87,0),1)</f>
        <v>9.9581048522665085</v>
      </c>
      <c r="L23" s="14">
        <f>INDEX([3]M_Input!D$8:D$87,MATCH($F23,[3]M_Input!$A$8:$A$87,0),1)</f>
        <v>5</v>
      </c>
      <c r="M23" s="9">
        <f>INDEX([3]M_Input!E$8:E$87,MATCH($F23,[3]M_Input!$A$8:$A$87,0),1)</f>
        <v>12.845511625508943</v>
      </c>
      <c r="N23" s="10">
        <f>INDEX([3]M_Input!F$8:F$87,MATCH($F23,[3]M_Input!$A$8:$A$87,0),1)</f>
        <v>-1.5837352587127447</v>
      </c>
      <c r="O23" s="8" t="str">
        <f>[3]M_Input!G27</f>
        <v>A-Irr-Irr-Irrigation-All-All-E</v>
      </c>
      <c r="P23" s="8"/>
      <c r="Q23" s="178">
        <f>INDEX([3]!MeasureOutput,MATCH($F23,[3]M_Input_Out!$A$4:$A$83,0),14)</f>
        <v>0</v>
      </c>
      <c r="R23" s="178">
        <f>INDEX([3]!MeasureOutput,MATCH($F23,[3]M_Input_Out!$A$4:$A$83,0),3)</f>
        <v>10.983550351342876</v>
      </c>
      <c r="S23" s="178">
        <f>INDEX([3]!MeasureOutput,MATCH($F23,[3]M_Input_Out!$A$4:$A$83,0),11)</f>
        <v>159.63755793089663</v>
      </c>
      <c r="T23" s="13">
        <f>SUM([3]forRPM!$L22:$AE22)</f>
        <v>6.0272536404655658E-2</v>
      </c>
      <c r="U23" s="13">
        <f>[3]forRPM!AF22</f>
        <v>6.4670128839499255E-2</v>
      </c>
      <c r="V23" s="178">
        <f>INDEX([3]!MeasureOutput,MATCH($F23,[3]M_Input_Out!$A$4:$A$83,0),12)</f>
        <v>0.54575766620726895</v>
      </c>
      <c r="W23" s="170" t="str">
        <f>[3]forRPM!A22</f>
        <v>RetroEven20</v>
      </c>
      <c r="X23" s="8">
        <f>INDEX([3]M_Input!I$8:I$87,MATCH($F23,[3]M_Input!$A$8:$A$87,0),1)</f>
        <v>0</v>
      </c>
      <c r="Y23" s="8">
        <f>INDEX([3]M_Input!J$8:J$87,MATCH($F23,[3]M_Input!$A$8:$A$87,0),1)</f>
        <v>0</v>
      </c>
      <c r="Z23" s="8"/>
      <c r="AA23" s="8"/>
      <c r="AB23" s="8"/>
      <c r="AC23" s="8"/>
      <c r="AD23" s="8"/>
      <c r="AE23" s="8"/>
      <c r="AF23" s="8"/>
      <c r="AG23" s="8"/>
      <c r="AH23" s="8"/>
      <c r="AI23" s="8" t="s">
        <v>42</v>
      </c>
      <c r="AJ23" s="8" t="s">
        <v>445</v>
      </c>
      <c r="AK23" s="15" t="s">
        <v>187</v>
      </c>
      <c r="AL23" s="7" t="s">
        <v>66</v>
      </c>
    </row>
    <row r="24" spans="1:38" s="45" customFormat="1" ht="13.2" x14ac:dyDescent="0.25">
      <c r="A24" s="158" t="str">
        <f>"AG_"&amp;VLOOKUP($E24,MeasureTypeCode,2,0)&amp;"_"&amp;VLOOKUP($G24,State,2,0)&amp;COUNTIFS($E$3:$E24,$E24,$G$3:$G24,$G24)</f>
        <v>AG_IrrGskt_WA2</v>
      </c>
      <c r="B24" s="7" t="s">
        <v>479</v>
      </c>
      <c r="C24" s="8" t="s">
        <v>34</v>
      </c>
      <c r="D24" s="8" t="s">
        <v>33</v>
      </c>
      <c r="E24" s="8" t="s">
        <v>27</v>
      </c>
      <c r="F24" s="8" t="str">
        <f>[3]M_Input!A28</f>
        <v>Pivot and Linear_Base boot gasket - Washington</v>
      </c>
      <c r="G24" s="8" t="s">
        <v>23</v>
      </c>
      <c r="H24" s="7" t="s">
        <v>21</v>
      </c>
      <c r="I24" s="7" t="s">
        <v>171</v>
      </c>
      <c r="J24" s="8" t="str">
        <f>[3]M_Input!B28</f>
        <v>Pump</v>
      </c>
      <c r="K24" s="12">
        <f>INDEX([3]M_Input!C$8:C$87,MATCH($F24,[3]M_Input!$A$8:$A$87,0),1)</f>
        <v>20.730741370533092</v>
      </c>
      <c r="L24" s="14">
        <f>INDEX([3]M_Input!D$8:D$87,MATCH($F24,[3]M_Input!$A$8:$A$87,0),1)</f>
        <v>8</v>
      </c>
      <c r="M24" s="9">
        <f>INDEX([3]M_Input!E$8:E$87,MATCH($F24,[3]M_Input!$A$8:$A$87,0),1)</f>
        <v>2.4405750787636538</v>
      </c>
      <c r="N24" s="10">
        <f>INDEX([3]M_Input!F$8:F$87,MATCH($F24,[3]M_Input!$A$8:$A$87,0),1)</f>
        <v>0</v>
      </c>
      <c r="O24" s="8" t="str">
        <f>[3]M_Input!G28</f>
        <v>A-Irr-Irr-Irrigation-All-All-E</v>
      </c>
      <c r="P24" s="8"/>
      <c r="Q24" s="178">
        <f>INDEX([3]!MeasureOutput,MATCH($F24,[3]M_Input_Out!$A$4:$A$83,0),14)</f>
        <v>0</v>
      </c>
      <c r="R24" s="178">
        <f>INDEX([3]!MeasureOutput,MATCH($F24,[3]M_Input_Out!$A$4:$A$83,0),3)</f>
        <v>22.865509556478727</v>
      </c>
      <c r="S24" s="178">
        <f>INDEX([3]!MeasureOutput,MATCH($F24,[3]M_Input_Out!$A$4:$A$83,0),11)</f>
        <v>15.511673981124044</v>
      </c>
      <c r="T24" s="13">
        <f>SUM([3]forRPM!$L23:$AE23)</f>
        <v>0.75187870413061353</v>
      </c>
      <c r="U24" s="13">
        <f>[3]forRPM!AF23</f>
        <v>0.80673712387598506</v>
      </c>
      <c r="V24" s="178">
        <f>INDEX([3]!MeasureOutput,MATCH($F24,[3]M_Input_Out!$A$4:$A$83,0),12)</f>
        <v>1.4547849691210333</v>
      </c>
      <c r="W24" s="170" t="str">
        <f>[3]forRPM!A23</f>
        <v>RetroEven20</v>
      </c>
      <c r="X24" s="8">
        <f>INDEX([3]M_Input!I$8:I$87,MATCH($F24,[3]M_Input!$A$8:$A$87,0),1)</f>
        <v>0</v>
      </c>
      <c r="Y24" s="8">
        <f>INDEX([3]M_Input!J$8:J$87,MATCH($F24,[3]M_Input!$A$8:$A$87,0),1)</f>
        <v>0</v>
      </c>
      <c r="Z24" s="8"/>
      <c r="AA24" s="8"/>
      <c r="AB24" s="8"/>
      <c r="AC24" s="8"/>
      <c r="AD24" s="8"/>
      <c r="AE24" s="8"/>
      <c r="AF24" s="8"/>
      <c r="AG24" s="8"/>
      <c r="AH24" s="8"/>
      <c r="AI24" s="8" t="s">
        <v>47</v>
      </c>
      <c r="AJ24" s="8" t="s">
        <v>445</v>
      </c>
      <c r="AK24" s="15" t="s">
        <v>187</v>
      </c>
      <c r="AL24" s="7" t="s">
        <v>66</v>
      </c>
    </row>
    <row r="25" spans="1:38" s="45" customFormat="1" ht="13.2" x14ac:dyDescent="0.25">
      <c r="A25" s="158" t="str">
        <f>"AG_"&amp;VLOOKUP($E25,MeasureTypeCode,2,0)&amp;"_"&amp;VLOOKUP($G25,State,2,0)&amp;COUNTIFS($E$3:$E25,$E25,$G$3:$G25,$G25)</f>
        <v>AG_IrrGskt_WA3</v>
      </c>
      <c r="B25" s="7" t="s">
        <v>479</v>
      </c>
      <c r="C25" s="8" t="s">
        <v>34</v>
      </c>
      <c r="D25" s="8" t="s">
        <v>33</v>
      </c>
      <c r="E25" s="8" t="s">
        <v>27</v>
      </c>
      <c r="F25" s="8" t="str">
        <f>[3]M_Input!A29</f>
        <v>Pivot and Linear_Tower gasket - Washington</v>
      </c>
      <c r="G25" s="8" t="s">
        <v>23</v>
      </c>
      <c r="H25" s="7" t="s">
        <v>21</v>
      </c>
      <c r="I25" s="7" t="s">
        <v>171</v>
      </c>
      <c r="J25" s="8" t="str">
        <f>[3]M_Input!B29</f>
        <v>Pump</v>
      </c>
      <c r="K25" s="12">
        <f>INDEX([3]M_Input!C$8:C$87,MATCH($F25,[3]M_Input!$A$8:$A$87,0),1)</f>
        <v>0.63343931965517764</v>
      </c>
      <c r="L25" s="14">
        <f>INDEX([3]M_Input!D$8:D$87,MATCH($F25,[3]M_Input!$A$8:$A$87,0),1)</f>
        <v>8</v>
      </c>
      <c r="M25" s="9">
        <f>INDEX([3]M_Input!E$8:E$87,MATCH($F25,[3]M_Input!$A$8:$A$87,0),1)</f>
        <v>5.2419313748037162</v>
      </c>
      <c r="N25" s="10">
        <f>INDEX([3]M_Input!F$8:F$87,MATCH($F25,[3]M_Input!$A$8:$A$87,0),1)</f>
        <v>-0.44986254650718882</v>
      </c>
      <c r="O25" s="8" t="str">
        <f>[3]M_Input!G29</f>
        <v>A-Irr-Irr-Irrigation-All-All-E</v>
      </c>
      <c r="P25" s="8"/>
      <c r="Q25" s="178">
        <f>INDEX([3]!MeasureOutput,MATCH($F25,[3]M_Input_Out!$A$4:$A$83,0),14)</f>
        <v>0</v>
      </c>
      <c r="R25" s="178">
        <f>INDEX([3]!MeasureOutput,MATCH($F25,[3]M_Input_Out!$A$4:$A$83,0),3)</f>
        <v>0.69866834755907203</v>
      </c>
      <c r="S25" s="178">
        <f>INDEX([3]!MeasureOutput,MATCH($F25,[3]M_Input_Out!$A$4:$A$83,0),11)</f>
        <v>650.14120461094467</v>
      </c>
      <c r="T25" s="13">
        <f>SUM([3]forRPM!$L24:$AE24)</f>
        <v>2.2974071515102078E-2</v>
      </c>
      <c r="U25" s="13">
        <f>[3]forRPM!AF24</f>
        <v>2.4650301007321757E-2</v>
      </c>
      <c r="V25" s="178">
        <f>INDEX([3]!MeasureOutput,MATCH($F25,[3]M_Input_Out!$A$4:$A$83,0),12)</f>
        <v>0.51715370792675464</v>
      </c>
      <c r="W25" s="170" t="str">
        <f>[3]forRPM!A24</f>
        <v>RetroEven20</v>
      </c>
      <c r="X25" s="8">
        <f>INDEX([3]M_Input!I$8:I$87,MATCH($F25,[3]M_Input!$A$8:$A$87,0),1)</f>
        <v>0</v>
      </c>
      <c r="Y25" s="8">
        <f>INDEX([3]M_Input!J$8:J$87,MATCH($F25,[3]M_Input!$A$8:$A$87,0),1)</f>
        <v>0</v>
      </c>
      <c r="Z25" s="8"/>
      <c r="AA25" s="8"/>
      <c r="AB25" s="8"/>
      <c r="AC25" s="8"/>
      <c r="AD25" s="8"/>
      <c r="AE25" s="8"/>
      <c r="AF25" s="8"/>
      <c r="AG25" s="8"/>
      <c r="AH25" s="8"/>
      <c r="AI25" s="8" t="s">
        <v>48</v>
      </c>
      <c r="AJ25" s="8" t="s">
        <v>445</v>
      </c>
      <c r="AK25" s="15" t="s">
        <v>187</v>
      </c>
      <c r="AL25" s="7" t="s">
        <v>66</v>
      </c>
    </row>
    <row r="26" spans="1:38" s="45" customFormat="1" ht="13.2" x14ac:dyDescent="0.25">
      <c r="A26" s="158" t="str">
        <f>"AG_"&amp;VLOOKUP($E26,MeasureTypeCode,2,0)&amp;"_"&amp;VLOOKUP($G26,State,2,0)&amp;COUNTIFS($E$3:$E26,$E26,$G$3:$G26,$G26)</f>
        <v>AG_IrrNzzl_WA1</v>
      </c>
      <c r="B26" s="7" t="s">
        <v>479</v>
      </c>
      <c r="C26" s="8" t="s">
        <v>34</v>
      </c>
      <c r="D26" s="8" t="s">
        <v>33</v>
      </c>
      <c r="E26" s="8" t="s">
        <v>32</v>
      </c>
      <c r="F26" s="8" t="str">
        <f>[3]M_Input!A30</f>
        <v>Wheel and Hand_Nozzle replacement - Washington</v>
      </c>
      <c r="G26" s="8" t="s">
        <v>23</v>
      </c>
      <c r="H26" s="7" t="s">
        <v>21</v>
      </c>
      <c r="I26" s="7" t="s">
        <v>171</v>
      </c>
      <c r="J26" s="8" t="str">
        <f>[3]M_Input!B30</f>
        <v>Pump</v>
      </c>
      <c r="K26" s="12">
        <f>INDEX([3]M_Input!C$8:C$87,MATCH($F26,[3]M_Input!$A$8:$A$87,0),1)</f>
        <v>56.708821997716306</v>
      </c>
      <c r="L26" s="14">
        <f>INDEX([3]M_Input!D$8:D$87,MATCH($F26,[3]M_Input!$A$8:$A$87,0),1)</f>
        <v>4</v>
      </c>
      <c r="M26" s="9">
        <f>INDEX([3]M_Input!E$8:E$87,MATCH($F26,[3]M_Input!$A$8:$A$87,0),1)</f>
        <v>4.9428547606377915</v>
      </c>
      <c r="N26" s="10">
        <f>INDEX([3]M_Input!F$8:F$87,MATCH($F26,[3]M_Input!$A$8:$A$87,0),1)</f>
        <v>-0.73415150171930543</v>
      </c>
      <c r="O26" s="8" t="str">
        <f>[3]M_Input!G30</f>
        <v>A-Irr-Irr-Irrigation-All-All-E</v>
      </c>
      <c r="P26" s="8"/>
      <c r="Q26" s="178">
        <f>INDEX([3]!MeasureOutput,MATCH($F26,[3]M_Input_Out!$A$4:$A$83,0),14)</f>
        <v>0</v>
      </c>
      <c r="R26" s="178">
        <f>INDEX([3]!MeasureOutput,MATCH($F26,[3]M_Input_Out!$A$4:$A$83,0),3)</f>
        <v>62.548467908076994</v>
      </c>
      <c r="S26" s="178">
        <f>INDEX([3]!MeasureOutput,MATCH($F26,[3]M_Input_Out!$A$4:$A$83,0),11)</f>
        <v>10.773991238894952</v>
      </c>
      <c r="T26" s="13">
        <f>SUM([3]forRPM!$L25:$AE25)</f>
        <v>0.34323644800190523</v>
      </c>
      <c r="U26" s="13">
        <f>[3]forRPM!AF25</f>
        <v>0.36827959529807863</v>
      </c>
      <c r="V26" s="178">
        <f>INDEX([3]!MeasureOutput,MATCH($F26,[3]M_Input_Out!$A$4:$A$83,0),12)</f>
        <v>1.2939475133648854</v>
      </c>
      <c r="W26" s="170" t="str">
        <f>[3]forRPM!A25</f>
        <v>RetroEven20</v>
      </c>
      <c r="X26" s="8">
        <f>INDEX([3]M_Input!I$8:I$87,MATCH($F26,[3]M_Input!$A$8:$A$87,0),1)</f>
        <v>0</v>
      </c>
      <c r="Y26" s="8">
        <f>INDEX([3]M_Input!J$8:J$87,MATCH($F26,[3]M_Input!$A$8:$A$87,0),1)</f>
        <v>0</v>
      </c>
      <c r="Z26" s="8"/>
      <c r="AA26" s="8"/>
      <c r="AB26" s="8"/>
      <c r="AC26" s="8"/>
      <c r="AD26" s="8"/>
      <c r="AE26" s="8"/>
      <c r="AF26" s="8"/>
      <c r="AG26" s="8"/>
      <c r="AH26" s="8"/>
      <c r="AI26" s="8" t="s">
        <v>43</v>
      </c>
      <c r="AJ26" s="8" t="s">
        <v>445</v>
      </c>
      <c r="AK26" s="15" t="s">
        <v>187</v>
      </c>
      <c r="AL26" s="7" t="s">
        <v>66</v>
      </c>
    </row>
    <row r="27" spans="1:38" s="216" customFormat="1" ht="13.2" x14ac:dyDescent="0.25">
      <c r="A27" s="206" t="str">
        <f>"AG_"&amp;VLOOKUP($E27,MeasureTypeCode,2,0)&amp;"_"&amp;VLOOKUP($G27,State,2,0)&amp;COUNTIFS($E$3:$E27,$E27,$G$3:$G27,$G27)</f>
        <v>AG_IrrRepl_WA1</v>
      </c>
      <c r="B27" s="207" t="s">
        <v>37</v>
      </c>
      <c r="C27" s="208" t="s">
        <v>34</v>
      </c>
      <c r="D27" s="208" t="s">
        <v>33</v>
      </c>
      <c r="E27" s="208" t="s">
        <v>35</v>
      </c>
      <c r="F27" s="208" t="str">
        <f>[3]M_Input!A31</f>
        <v>Pivot and Linear_Sprinkler package replacement, high pressure - Washington</v>
      </c>
      <c r="G27" s="208" t="s">
        <v>23</v>
      </c>
      <c r="H27" s="207" t="s">
        <v>21</v>
      </c>
      <c r="I27" s="207" t="s">
        <v>171</v>
      </c>
      <c r="J27" s="208" t="str">
        <f>[3]M_Input!B31</f>
        <v>Pump</v>
      </c>
      <c r="K27" s="209">
        <f>INDEX([3]M_Input!C$8:C$87,MATCH($F27,[3]M_Input!$A$8:$A$87,0),1)</f>
        <v>33.415978294495041</v>
      </c>
      <c r="L27" s="210">
        <f>INDEX([3]M_Input!D$8:D$87,MATCH($F27,[3]M_Input!$A$8:$A$87,0),1)</f>
        <v>4</v>
      </c>
      <c r="M27" s="211">
        <f>INDEX([3]M_Input!E$8:E$87,MATCH($F27,[3]M_Input!$A$8:$A$87,0),1)</f>
        <v>8.4091036407101392</v>
      </c>
      <c r="N27" s="212">
        <f>INDEX([3]M_Input!F$8:F$87,MATCH($F27,[3]M_Input!$A$8:$A$87,0),1)</f>
        <v>-1.2489859332107978</v>
      </c>
      <c r="O27" s="208" t="str">
        <f>[3]M_Input!G31</f>
        <v>A-Irr-Irr-Irrigation-All-All-E</v>
      </c>
      <c r="P27" s="208"/>
      <c r="Q27" s="213">
        <f>INDEX([3]!MeasureOutput,MATCH($F27,[3]M_Input_Out!$A$4:$A$83,0),14)</f>
        <v>0</v>
      </c>
      <c r="R27" s="213">
        <f>INDEX([3]!MeasureOutput,MATCH($F27,[3]M_Input_Out!$A$4:$A$83,0),3)</f>
        <v>36.857021047878419</v>
      </c>
      <c r="S27" s="213">
        <f>INDEX([3]!MeasureOutput,MATCH($F27,[3]M_Input_Out!$A$4:$A$83,0),11)</f>
        <v>36.653127775310246</v>
      </c>
      <c r="T27" s="214">
        <f>SUM([3]forRPM!$L26:$AE26)</f>
        <v>0.35043774897728586</v>
      </c>
      <c r="U27" s="214">
        <f>[3]forRPM!AF26</f>
        <v>0.37600631611771068</v>
      </c>
      <c r="V27" s="213">
        <f>INDEX([3]!MeasureOutput,MATCH($F27,[3]M_Input_Out!$A$4:$A$83,0),12)</f>
        <v>0.74962019051785278</v>
      </c>
      <c r="W27" s="214" t="str">
        <f>[3]forRPM!A26</f>
        <v>RetroEven20</v>
      </c>
      <c r="X27" s="208">
        <f>INDEX([3]M_Input!I$8:I$87,MATCH($F27,[3]M_Input!$A$8:$A$87,0),1)</f>
        <v>0</v>
      </c>
      <c r="Y27" s="208">
        <f>INDEX([3]M_Input!J$8:J$87,MATCH($F27,[3]M_Input!$A$8:$A$87,0),1)</f>
        <v>0</v>
      </c>
      <c r="Z27" s="208"/>
      <c r="AA27" s="208"/>
      <c r="AB27" s="208"/>
      <c r="AC27" s="208"/>
      <c r="AD27" s="208"/>
      <c r="AE27" s="208"/>
      <c r="AF27" s="208"/>
      <c r="AG27" s="208"/>
      <c r="AH27" s="208"/>
      <c r="AI27" s="208" t="s">
        <v>49</v>
      </c>
      <c r="AJ27" s="208" t="s">
        <v>445</v>
      </c>
      <c r="AK27" s="215" t="s">
        <v>187</v>
      </c>
      <c r="AL27" s="207" t="s">
        <v>76</v>
      </c>
    </row>
    <row r="28" spans="1:38" s="216" customFormat="1" ht="13.2" x14ac:dyDescent="0.25">
      <c r="A28" s="206" t="str">
        <f>"AG_"&amp;VLOOKUP($E28,MeasureTypeCode,2,0)&amp;"_"&amp;VLOOKUP($G28,State,2,0)&amp;COUNTIFS($E$3:$E28,$E28,$G$3:$G28,$G28)</f>
        <v>AG_IrrRepl_WA2</v>
      </c>
      <c r="B28" s="207" t="s">
        <v>37</v>
      </c>
      <c r="C28" s="208" t="s">
        <v>34</v>
      </c>
      <c r="D28" s="208" t="s">
        <v>33</v>
      </c>
      <c r="E28" s="208" t="s">
        <v>35</v>
      </c>
      <c r="F28" s="208" t="str">
        <f>[3]M_Input!A32</f>
        <v>Pivot and Linear_Sprinkler package replacement, MESA - Washington</v>
      </c>
      <c r="G28" s="208" t="s">
        <v>23</v>
      </c>
      <c r="H28" s="207" t="s">
        <v>21</v>
      </c>
      <c r="I28" s="207" t="s">
        <v>171</v>
      </c>
      <c r="J28" s="208" t="str">
        <f>[3]M_Input!B32</f>
        <v>Pump</v>
      </c>
      <c r="K28" s="209">
        <f>INDEX([3]M_Input!C$8:C$87,MATCH($F28,[3]M_Input!$A$8:$A$87,0),1)</f>
        <v>33.415978294495041</v>
      </c>
      <c r="L28" s="210">
        <f>INDEX([3]M_Input!D$8:D$87,MATCH($F28,[3]M_Input!$A$8:$A$87,0),1)</f>
        <v>5</v>
      </c>
      <c r="M28" s="211">
        <f>INDEX([3]M_Input!E$8:E$87,MATCH($F28,[3]M_Input!$A$8:$A$87,0),1)</f>
        <v>27.554783113802586</v>
      </c>
      <c r="N28" s="212">
        <f>INDEX([3]M_Input!F$8:F$87,MATCH($F28,[3]M_Input!$A$8:$A$87,0),1)</f>
        <v>-3.3972552309128203</v>
      </c>
      <c r="O28" s="208" t="str">
        <f>[3]M_Input!G32</f>
        <v>A-Irr-Irr-Irrigation-All-All-E</v>
      </c>
      <c r="P28" s="208"/>
      <c r="Q28" s="213">
        <f>INDEX([3]!MeasureOutput,MATCH($F28,[3]M_Input_Out!$A$4:$A$83,0),14)</f>
        <v>0</v>
      </c>
      <c r="R28" s="213">
        <f>INDEX([3]!MeasureOutput,MATCH($F28,[3]M_Input_Out!$A$4:$A$83,0),3)</f>
        <v>36.857021047878419</v>
      </c>
      <c r="S28" s="213">
        <f>INDEX([3]!MeasureOutput,MATCH($F28,[3]M_Input_Out!$A$4:$A$83,0),11)</f>
        <v>100.98728953512128</v>
      </c>
      <c r="T28" s="214">
        <f>SUM([3]forRPM!$L27:$AE27)</f>
        <v>1.6314373007174117</v>
      </c>
      <c r="U28" s="214">
        <f>[3]forRPM!AF27</f>
        <v>1.750469894325043</v>
      </c>
      <c r="V28" s="213">
        <f>INDEX([3]!MeasureOutput,MATCH($F28,[3]M_Input_Out!$A$4:$A$83,0),12)</f>
        <v>0.5884907867836493</v>
      </c>
      <c r="W28" s="214" t="str">
        <f>[3]forRPM!A27</f>
        <v>RetroEven20</v>
      </c>
      <c r="X28" s="208">
        <f>INDEX([3]M_Input!I$8:I$87,MATCH($F28,[3]M_Input!$A$8:$A$87,0),1)</f>
        <v>0</v>
      </c>
      <c r="Y28" s="208">
        <f>INDEX([3]M_Input!J$8:J$87,MATCH($F28,[3]M_Input!$A$8:$A$87,0),1)</f>
        <v>0</v>
      </c>
      <c r="Z28" s="208"/>
      <c r="AA28" s="208"/>
      <c r="AB28" s="208"/>
      <c r="AC28" s="208"/>
      <c r="AD28" s="208"/>
      <c r="AE28" s="208"/>
      <c r="AF28" s="208"/>
      <c r="AG28" s="208"/>
      <c r="AH28" s="208"/>
      <c r="AI28" s="208" t="s">
        <v>51</v>
      </c>
      <c r="AJ28" s="208" t="s">
        <v>445</v>
      </c>
      <c r="AK28" s="215" t="s">
        <v>187</v>
      </c>
      <c r="AL28" s="207" t="s">
        <v>76</v>
      </c>
    </row>
    <row r="29" spans="1:38" s="216" customFormat="1" ht="13.2" x14ac:dyDescent="0.25">
      <c r="A29" s="206" t="str">
        <f>"AG_"&amp;VLOOKUP($E29,MeasureTypeCode,2,0)&amp;"_"&amp;VLOOKUP($G29,State,2,0)&amp;COUNTIFS($E$3:$E29,$E29,$G$3:$G29,$G29)</f>
        <v>AG_IrrRepl_WA3</v>
      </c>
      <c r="B29" s="207" t="s">
        <v>37</v>
      </c>
      <c r="C29" s="208" t="s">
        <v>34</v>
      </c>
      <c r="D29" s="208" t="s">
        <v>33</v>
      </c>
      <c r="E29" s="208" t="s">
        <v>35</v>
      </c>
      <c r="F29" s="208" t="str">
        <f>[3]M_Input!A33</f>
        <v>Pivot and Linear_Sprinkler package replacement, LESA/LEPA/MDI - Washington</v>
      </c>
      <c r="G29" s="208" t="s">
        <v>23</v>
      </c>
      <c r="H29" s="207" t="s">
        <v>21</v>
      </c>
      <c r="I29" s="207" t="s">
        <v>171</v>
      </c>
      <c r="J29" s="208" t="str">
        <f>[3]M_Input!B33</f>
        <v>Pump</v>
      </c>
      <c r="K29" s="209">
        <f>INDEX([3]M_Input!C$8:C$87,MATCH($F29,[3]M_Input!$A$8:$A$87,0),1)</f>
        <v>33.415978294495041</v>
      </c>
      <c r="L29" s="210">
        <f>INDEX([3]M_Input!D$8:D$87,MATCH($F29,[3]M_Input!$A$8:$A$87,0),1)</f>
        <v>5</v>
      </c>
      <c r="M29" s="211">
        <f>INDEX([3]M_Input!E$8:E$87,MATCH($F29,[3]M_Input!$A$8:$A$87,0),1)</f>
        <v>37.921401277472171</v>
      </c>
      <c r="N29" s="212">
        <f>INDEX([3]M_Input!F$8:F$87,MATCH($F29,[3]M_Input!$A$8:$A$87,0),1)</f>
        <v>-4.675365373821589</v>
      </c>
      <c r="O29" s="208" t="str">
        <f>[3]M_Input!G33</f>
        <v>A-Irr-Irr-Irrigation-All-All-E</v>
      </c>
      <c r="P29" s="208"/>
      <c r="Q29" s="213">
        <f>INDEX([3]!MeasureOutput,MATCH($F29,[3]M_Input_Out!$A$4:$A$83,0),14)</f>
        <v>0</v>
      </c>
      <c r="R29" s="213">
        <f>INDEX([3]!MeasureOutput,MATCH($F29,[3]M_Input_Out!$A$4:$A$83,0),3)</f>
        <v>36.857021047878419</v>
      </c>
      <c r="S29" s="213">
        <f>INDEX([3]!MeasureOutput,MATCH($F29,[3]M_Input_Out!$A$4:$A$83,0),11)</f>
        <v>140.08643011431926</v>
      </c>
      <c r="T29" s="214">
        <f>SUM([3]forRPM!$L28:$AE28)</f>
        <v>1.1356263253548802</v>
      </c>
      <c r="U29" s="214">
        <f>[3]forRPM!AF28</f>
        <v>1.2184836603052653</v>
      </c>
      <c r="V29" s="213">
        <f>INDEX([3]!MeasureOutput,MATCH($F29,[3]M_Input_Out!$A$4:$A$83,0),12)</f>
        <v>0.55610858828546228</v>
      </c>
      <c r="W29" s="214" t="str">
        <f>[3]forRPM!A28</f>
        <v>RetroEven20</v>
      </c>
      <c r="X29" s="208">
        <f>INDEX([3]M_Input!I$8:I$87,MATCH($F29,[3]M_Input!$A$8:$A$87,0),1)</f>
        <v>0</v>
      </c>
      <c r="Y29" s="208">
        <f>INDEX([3]M_Input!J$8:J$87,MATCH($F29,[3]M_Input!$A$8:$A$87,0),1)</f>
        <v>0</v>
      </c>
      <c r="Z29" s="208"/>
      <c r="AA29" s="208"/>
      <c r="AB29" s="208"/>
      <c r="AC29" s="208"/>
      <c r="AD29" s="208"/>
      <c r="AE29" s="208"/>
      <c r="AF29" s="208"/>
      <c r="AG29" s="208"/>
      <c r="AH29" s="208"/>
      <c r="AI29" s="208" t="s">
        <v>50</v>
      </c>
      <c r="AJ29" s="208" t="s">
        <v>445</v>
      </c>
      <c r="AK29" s="215" t="s">
        <v>187</v>
      </c>
      <c r="AL29" s="207" t="s">
        <v>76</v>
      </c>
    </row>
    <row r="30" spans="1:38" s="216" customFormat="1" ht="13.2" x14ac:dyDescent="0.25">
      <c r="A30" s="206" t="str">
        <f>"AG_"&amp;VLOOKUP($E30,MeasureTypeCode,2,0)&amp;"_"&amp;VLOOKUP($G30,State,2,0)&amp;COUNTIFS($E$3:$E30,$E30,$G$3:$G30,$G30)</f>
        <v>AG_IrrUpg_WA1</v>
      </c>
      <c r="B30" s="207" t="s">
        <v>37</v>
      </c>
      <c r="C30" s="208" t="s">
        <v>34</v>
      </c>
      <c r="D30" s="208" t="s">
        <v>33</v>
      </c>
      <c r="E30" s="208" t="s">
        <v>36</v>
      </c>
      <c r="F30" s="208" t="str">
        <f>[3]M_Input!A34</f>
        <v>Pivot and Linear_Upgrade from high pressure to MESA - Washington</v>
      </c>
      <c r="G30" s="208" t="s">
        <v>23</v>
      </c>
      <c r="H30" s="207" t="s">
        <v>21</v>
      </c>
      <c r="I30" s="207" t="s">
        <v>171</v>
      </c>
      <c r="J30" s="208" t="str">
        <f>[3]M_Input!B34</f>
        <v>Pump</v>
      </c>
      <c r="K30" s="209">
        <f>INDEX([3]M_Input!C$8:C$87,MATCH($F30,[3]M_Input!$A$8:$A$87,0),1)</f>
        <v>48.375214738608591</v>
      </c>
      <c r="L30" s="210">
        <f>INDEX([3]M_Input!D$8:D$87,MATCH($F30,[3]M_Input!$A$8:$A$87,0),1)</f>
        <v>10</v>
      </c>
      <c r="M30" s="211">
        <f>INDEX([3]M_Input!E$8:E$87,MATCH($F30,[3]M_Input!$A$8:$A$87,0),1)</f>
        <v>29.948384458157715</v>
      </c>
      <c r="N30" s="212">
        <f>INDEX([3]M_Input!F$8:F$87,MATCH($F30,[3]M_Input!$A$8:$A$87,0),1)</f>
        <v>0</v>
      </c>
      <c r="O30" s="208" t="str">
        <f>[3]M_Input!G34</f>
        <v>A-Irr-Irr-Irrigation-All-All-E</v>
      </c>
      <c r="P30" s="208"/>
      <c r="Q30" s="213">
        <f>INDEX([3]!MeasureOutput,MATCH($F30,[3]M_Input_Out!$A$4:$A$83,0),14)</f>
        <v>0</v>
      </c>
      <c r="R30" s="213">
        <f>INDEX([3]!MeasureOutput,MATCH($F30,[3]M_Input_Out!$A$4:$A$83,0),3)</f>
        <v>53.356699364096173</v>
      </c>
      <c r="S30" s="213">
        <f>INDEX([3]!MeasureOutput,MATCH($F30,[3]M_Input_Out!$A$4:$A$83,0),11)</f>
        <v>80.46438200019486</v>
      </c>
      <c r="T30" s="214">
        <f>SUM([3]forRPM!$L29:$AE29)</f>
        <v>0.49869785697512964</v>
      </c>
      <c r="U30" s="214">
        <f>[3]forRPM!AF29</f>
        <v>0.5443319996489201</v>
      </c>
      <c r="V30" s="213">
        <f>INDEX([3]!MeasureOutput,MATCH($F30,[3]M_Input_Out!$A$4:$A$83,0),12)</f>
        <v>0.3403883612673948</v>
      </c>
      <c r="W30" s="214" t="str">
        <f>[3]forRPM!A29</f>
        <v>Retro5Med</v>
      </c>
      <c r="X30" s="208">
        <f>INDEX([3]M_Input!I$8:I$87,MATCH($F30,[3]M_Input!$A$8:$A$87,0),1)</f>
        <v>1.6582412769936674</v>
      </c>
      <c r="Y30" s="208">
        <f>INDEX([3]M_Input!J$8:J$87,MATCH($F30,[3]M_Input!$A$8:$A$87,0),1)</f>
        <v>5</v>
      </c>
      <c r="Z30" s="208"/>
      <c r="AA30" s="208"/>
      <c r="AB30" s="208"/>
      <c r="AC30" s="208"/>
      <c r="AD30" s="208"/>
      <c r="AE30" s="208"/>
      <c r="AF30" s="208"/>
      <c r="AG30" s="208"/>
      <c r="AH30" s="208"/>
      <c r="AI30" s="208" t="s">
        <v>52</v>
      </c>
      <c r="AJ30" s="208" t="s">
        <v>445</v>
      </c>
      <c r="AK30" s="215" t="s">
        <v>187</v>
      </c>
      <c r="AL30" s="207" t="s">
        <v>76</v>
      </c>
    </row>
    <row r="31" spans="1:38" s="216" customFormat="1" ht="13.2" x14ac:dyDescent="0.25">
      <c r="A31" s="206" t="str">
        <f>"AG_"&amp;VLOOKUP($E31,MeasureTypeCode,2,0)&amp;"_"&amp;VLOOKUP($G31,State,2,0)&amp;COUNTIFS($E$3:$E31,$E31,$G$3:$G31,$G31)</f>
        <v>AG_IrrUpg_WA2</v>
      </c>
      <c r="B31" s="207" t="s">
        <v>37</v>
      </c>
      <c r="C31" s="208" t="s">
        <v>34</v>
      </c>
      <c r="D31" s="208" t="s">
        <v>33</v>
      </c>
      <c r="E31" s="208" t="s">
        <v>36</v>
      </c>
      <c r="F31" s="208" t="str">
        <f>[3]M_Input!A35</f>
        <v>Pivot and Linear_Upgrade from MESA to LESA/LEPA/MDI - Washington</v>
      </c>
      <c r="G31" s="208" t="s">
        <v>23</v>
      </c>
      <c r="H31" s="207" t="s">
        <v>21</v>
      </c>
      <c r="I31" s="207" t="s">
        <v>171</v>
      </c>
      <c r="J31" s="208" t="str">
        <f>[3]M_Input!B35</f>
        <v>Pump</v>
      </c>
      <c r="K31" s="209">
        <f>INDEX([3]M_Input!C$8:C$87,MATCH($F31,[3]M_Input!$A$8:$A$87,0),1)</f>
        <v>82.237865055634487</v>
      </c>
      <c r="L31" s="210">
        <f>INDEX([3]M_Input!D$8:D$87,MATCH($F31,[3]M_Input!$A$8:$A$87,0),1)</f>
        <v>10</v>
      </c>
      <c r="M31" s="211">
        <f>INDEX([3]M_Input!E$8:E$87,MATCH($F31,[3]M_Input!$A$8:$A$87,0),1)</f>
        <v>36.438280264834958</v>
      </c>
      <c r="N31" s="212">
        <f>INDEX([3]M_Input!F$8:F$87,MATCH($F31,[3]M_Input!$A$8:$A$87,0),1)</f>
        <v>0</v>
      </c>
      <c r="O31" s="208" t="str">
        <f>[3]M_Input!G35</f>
        <v>A-Irr-Irr-Irrigation-All-All-E</v>
      </c>
      <c r="P31" s="208"/>
      <c r="Q31" s="213">
        <f>INDEX([3]!MeasureOutput,MATCH($F31,[3]M_Input_Out!$A$4:$A$83,0),14)</f>
        <v>0</v>
      </c>
      <c r="R31" s="213">
        <f>INDEX([3]!MeasureOutput,MATCH($F31,[3]M_Input_Out!$A$4:$A$83,0),3)</f>
        <v>90.70638891896337</v>
      </c>
      <c r="S31" s="213">
        <f>INDEX([3]!MeasureOutput,MATCH($F31,[3]M_Input_Out!$A$4:$A$83,0),11)</f>
        <v>58.151356931940796</v>
      </c>
      <c r="T31" s="214">
        <f>SUM([3]forRPM!$L30:$AE30)</f>
        <v>1.8032791023973695</v>
      </c>
      <c r="U31" s="214">
        <f>[3]forRPM!AF30</f>
        <v>1.7231865029930167</v>
      </c>
      <c r="V31" s="213">
        <f>INDEX([3]!MeasureOutput,MATCH($F31,[3]M_Input_Out!$A$4:$A$83,0),12)</f>
        <v>0.46471312078109228</v>
      </c>
      <c r="W31" s="214" t="str">
        <f>[3]forRPM!A30</f>
        <v>Retro1Slow</v>
      </c>
      <c r="X31" s="208">
        <f>INDEX([3]M_Input!I$8:I$87,MATCH($F31,[3]M_Input!$A$8:$A$87,0),1)</f>
        <v>3.3164825539873348</v>
      </c>
      <c r="Y31" s="208">
        <f>INDEX([3]M_Input!J$8:J$87,MATCH($F31,[3]M_Input!$A$8:$A$87,0),1)</f>
        <v>5</v>
      </c>
      <c r="Z31" s="208"/>
      <c r="AA31" s="208"/>
      <c r="AB31" s="208"/>
      <c r="AC31" s="208"/>
      <c r="AD31" s="208"/>
      <c r="AE31" s="208"/>
      <c r="AF31" s="208"/>
      <c r="AG31" s="208"/>
      <c r="AH31" s="208"/>
      <c r="AI31" s="208" t="s">
        <v>53</v>
      </c>
      <c r="AJ31" s="208" t="s">
        <v>445</v>
      </c>
      <c r="AK31" s="215" t="s">
        <v>187</v>
      </c>
      <c r="AL31" s="207" t="s">
        <v>76</v>
      </c>
    </row>
    <row r="32" spans="1:38" s="45" customFormat="1" ht="13.2" x14ac:dyDescent="0.25">
      <c r="A32" s="158" t="str">
        <f>"AG_"&amp;VLOOKUP($E32,MeasureTypeCode,2,0)&amp;"_"&amp;VLOOKUP($G32,State,2,0)&amp;COUNTIFS($E$3:$E32,$E32,$G$3:$G32,$G32)</f>
        <v>AG_IrrSprnklr_OR1</v>
      </c>
      <c r="B32" s="7" t="s">
        <v>479</v>
      </c>
      <c r="C32" s="8" t="s">
        <v>34</v>
      </c>
      <c r="D32" s="8" t="s">
        <v>33</v>
      </c>
      <c r="E32" s="8" t="s">
        <v>26</v>
      </c>
      <c r="F32" s="8" t="str">
        <f>[3]M_Input!A36</f>
        <v>Wheel and Hand_Rebuilt or new impact sprinkler - Oregon</v>
      </c>
      <c r="G32" s="8" t="s">
        <v>24</v>
      </c>
      <c r="H32" s="7" t="s">
        <v>21</v>
      </c>
      <c r="I32" s="7" t="s">
        <v>171</v>
      </c>
      <c r="J32" s="8" t="str">
        <f>[3]M_Input!B36</f>
        <v>Pump</v>
      </c>
      <c r="K32" s="12">
        <f>INDEX([3]M_Input!C$8:C$87,MATCH($F32,[3]M_Input!$A$8:$A$87,0),1)</f>
        <v>7.229410182049377</v>
      </c>
      <c r="L32" s="14">
        <f>INDEX([3]M_Input!D$8:D$87,MATCH($F32,[3]M_Input!$A$8:$A$87,0),1)</f>
        <v>4</v>
      </c>
      <c r="M32" s="9">
        <f>INDEX([3]M_Input!E$8:E$87,MATCH($F32,[3]M_Input!$A$8:$A$87,0),1)</f>
        <v>25.065699750603557</v>
      </c>
      <c r="N32" s="10">
        <f>INDEX([3]M_Input!F$8:F$87,MATCH($F32,[3]M_Input!$A$8:$A$87,0),1)</f>
        <v>-3.7229540426909793</v>
      </c>
      <c r="O32" s="8" t="str">
        <f>[3]M_Input!G36</f>
        <v>A-Irr-Irr-Irrigation-All-All-E</v>
      </c>
      <c r="P32" s="8"/>
      <c r="Q32" s="178">
        <f>INDEX([3]!MeasureOutput,MATCH($F32,[3]M_Input_Out!$A$4:$A$83,0),14)</f>
        <v>0</v>
      </c>
      <c r="R32" s="178">
        <f>INDEX([3]!MeasureOutput,MATCH($F32,[3]M_Input_Out!$A$4:$A$83,0),3)</f>
        <v>7.9738657026670454</v>
      </c>
      <c r="S32" s="178">
        <f>INDEX([3]!MeasureOutput,MATCH($F32,[3]M_Input_Out!$A$4:$A$83,0),11)</f>
        <v>542.56053406664694</v>
      </c>
      <c r="T32" s="13">
        <f>SUM([3]forRPM!$L31:$AE31)</f>
        <v>0.10606574036625618</v>
      </c>
      <c r="U32" s="13">
        <f>[3]forRPM!AF31</f>
        <v>0.11588319076975007</v>
      </c>
      <c r="V32" s="178">
        <f>INDEX([3]!MeasureOutput,MATCH($F32,[3]M_Input_Out!$A$4:$A$83,0),12)</f>
        <v>0.48211534885093427</v>
      </c>
      <c r="W32" s="170" t="str">
        <f>[3]forRPM!A31</f>
        <v>RetroEven20</v>
      </c>
      <c r="X32" s="8">
        <f>INDEX([3]M_Input!I$8:I$87,MATCH($F32,[3]M_Input!$A$8:$A$87,0),1)</f>
        <v>0</v>
      </c>
      <c r="Y32" s="8">
        <f>INDEX([3]M_Input!J$8:J$87,MATCH($F32,[3]M_Input!$A$8:$A$87,0),1)</f>
        <v>0</v>
      </c>
      <c r="Z32" s="8"/>
      <c r="AA32" s="8"/>
      <c r="AB32" s="8"/>
      <c r="AC32" s="8"/>
      <c r="AD32" s="8"/>
      <c r="AE32" s="8"/>
      <c r="AF32" s="8"/>
      <c r="AG32" s="8"/>
      <c r="AH32" s="8"/>
      <c r="AI32" s="8" t="s">
        <v>40</v>
      </c>
      <c r="AJ32" s="8" t="s">
        <v>445</v>
      </c>
      <c r="AK32" s="15" t="s">
        <v>187</v>
      </c>
      <c r="AL32" s="7" t="s">
        <v>66</v>
      </c>
    </row>
    <row r="33" spans="1:38" s="45" customFormat="1" ht="13.2" x14ac:dyDescent="0.25">
      <c r="A33" s="158" t="str">
        <f>"AG_"&amp;VLOOKUP($E33,MeasureTypeCode,2,0)&amp;"_"&amp;VLOOKUP($G33,State,2,0)&amp;COUNTIFS($E$3:$E33,$E33,$G$3:$G33,$G33)</f>
        <v>AG_IrrGskt_OR1</v>
      </c>
      <c r="B33" s="7" t="s">
        <v>479</v>
      </c>
      <c r="C33" s="8" t="s">
        <v>34</v>
      </c>
      <c r="D33" s="8" t="s">
        <v>33</v>
      </c>
      <c r="E33" s="8" t="s">
        <v>27</v>
      </c>
      <c r="F33" s="8" t="str">
        <f>[3]M_Input!A37</f>
        <v>Wheel and Hand_Gaskets - Oregon</v>
      </c>
      <c r="G33" s="8" t="s">
        <v>24</v>
      </c>
      <c r="H33" s="7" t="s">
        <v>21</v>
      </c>
      <c r="I33" s="7" t="s">
        <v>171</v>
      </c>
      <c r="J33" s="8" t="str">
        <f>[3]M_Input!B37</f>
        <v>Pump</v>
      </c>
      <c r="K33" s="12">
        <f>INDEX([3]M_Input!C$8:C$87,MATCH($F33,[3]M_Input!$A$8:$A$87,0),1)</f>
        <v>35.420056831396536</v>
      </c>
      <c r="L33" s="14">
        <f>INDEX([3]M_Input!D$8:D$87,MATCH($F33,[3]M_Input!$A$8:$A$87,0),1)</f>
        <v>5</v>
      </c>
      <c r="M33" s="9">
        <f>INDEX([3]M_Input!E$8:E$87,MATCH($F33,[3]M_Input!$A$8:$A$87,0),1)</f>
        <v>6.9373406404505005</v>
      </c>
      <c r="N33" s="10">
        <f>INDEX([3]M_Input!F$8:F$87,MATCH($F33,[3]M_Input!$A$8:$A$87,0),1)</f>
        <v>-0.85531127870097634</v>
      </c>
      <c r="O33" s="8" t="str">
        <f>[3]M_Input!G37</f>
        <v>A-Irr-Irr-Irrigation-All-All-E</v>
      </c>
      <c r="P33" s="8"/>
      <c r="Q33" s="178">
        <f>INDEX([3]!MeasureOutput,MATCH($F33,[3]M_Input_Out!$A$4:$A$83,0),14)</f>
        <v>0</v>
      </c>
      <c r="R33" s="178">
        <f>INDEX([3]!MeasureOutput,MATCH($F33,[3]M_Input_Out!$A$4:$A$83,0),3)</f>
        <v>39.067471514574713</v>
      </c>
      <c r="S33" s="178">
        <f>INDEX([3]!MeasureOutput,MATCH($F33,[3]M_Input_Out!$A$4:$A$83,0),11)</f>
        <v>21.745308477934003</v>
      </c>
      <c r="T33" s="13">
        <f>SUM([3]forRPM!$L32:$AE32)</f>
        <v>0.5196626636243733</v>
      </c>
      <c r="U33" s="13">
        <f>[3]forRPM!AF32</f>
        <v>0.56776266659482233</v>
      </c>
      <c r="V33" s="178">
        <f>INDEX([3]!MeasureOutput,MATCH($F33,[3]M_Input_Out!$A$4:$A$83,0),12)</f>
        <v>0.96875098847084884</v>
      </c>
      <c r="W33" s="170" t="str">
        <f>[3]forRPM!A32</f>
        <v>RetroEven20</v>
      </c>
      <c r="X33" s="8">
        <f>INDEX([3]M_Input!I$8:I$87,MATCH($F33,[3]M_Input!$A$8:$A$87,0),1)</f>
        <v>0</v>
      </c>
      <c r="Y33" s="8">
        <f>INDEX([3]M_Input!J$8:J$87,MATCH($F33,[3]M_Input!$A$8:$A$87,0),1)</f>
        <v>0</v>
      </c>
      <c r="Z33" s="8"/>
      <c r="AA33" s="8"/>
      <c r="AB33" s="8"/>
      <c r="AC33" s="8"/>
      <c r="AD33" s="8"/>
      <c r="AE33" s="8"/>
      <c r="AF33" s="8"/>
      <c r="AG33" s="8"/>
      <c r="AH33" s="8"/>
      <c r="AI33" s="8" t="s">
        <v>44</v>
      </c>
      <c r="AJ33" s="8" t="s">
        <v>445</v>
      </c>
      <c r="AK33" s="15" t="s">
        <v>187</v>
      </c>
      <c r="AL33" s="7" t="s">
        <v>66</v>
      </c>
    </row>
    <row r="34" spans="1:38" s="45" customFormat="1" ht="13.2" x14ac:dyDescent="0.25">
      <c r="A34" s="158" t="str">
        <f>"AG_"&amp;VLOOKUP($E34,MeasureTypeCode,2,0)&amp;"_"&amp;VLOOKUP($G34,State,2,0)&amp;COUNTIFS($E$3:$E34,$E34,$G$3:$G34,$G34)</f>
        <v>AG_IrrDrn_OR1</v>
      </c>
      <c r="B34" s="7" t="s">
        <v>479</v>
      </c>
      <c r="C34" s="8" t="s">
        <v>34</v>
      </c>
      <c r="D34" s="8" t="s">
        <v>33</v>
      </c>
      <c r="E34" s="8" t="s">
        <v>28</v>
      </c>
      <c r="F34" s="8" t="str">
        <f>[3]M_Input!A38</f>
        <v>Wheel and Hand_Drains - Oregon</v>
      </c>
      <c r="G34" s="8" t="s">
        <v>24</v>
      </c>
      <c r="H34" s="7" t="s">
        <v>21</v>
      </c>
      <c r="I34" s="7" t="s">
        <v>171</v>
      </c>
      <c r="J34" s="8" t="str">
        <f>[3]M_Input!B38</f>
        <v>Pump</v>
      </c>
      <c r="K34" s="12">
        <f>INDEX([3]M_Input!C$8:C$87,MATCH($F34,[3]M_Input!$A$8:$A$87,0),1)</f>
        <v>23.029253898780006</v>
      </c>
      <c r="L34" s="14">
        <f>INDEX([3]M_Input!D$8:D$87,MATCH($F34,[3]M_Input!$A$8:$A$87,0),1)</f>
        <v>5</v>
      </c>
      <c r="M34" s="9">
        <f>INDEX([3]M_Input!E$8:E$87,MATCH($F34,[3]M_Input!$A$8:$A$87,0),1)</f>
        <v>9.9983998095375899</v>
      </c>
      <c r="N34" s="10">
        <f>INDEX([3]M_Input!F$8:F$87,MATCH($F34,[3]M_Input!$A$8:$A$87,0),1)</f>
        <v>-1.2327121543081467</v>
      </c>
      <c r="O34" s="8" t="str">
        <f>[3]M_Input!G38</f>
        <v>A-Irr-Irr-Irrigation-All-All-E</v>
      </c>
      <c r="P34" s="8"/>
      <c r="Q34" s="178">
        <f>INDEX([3]!MeasureOutput,MATCH($F34,[3]M_Input_Out!$A$4:$A$83,0),14)</f>
        <v>0</v>
      </c>
      <c r="R34" s="178">
        <f>INDEX([3]!MeasureOutput,MATCH($F34,[3]M_Input_Out!$A$4:$A$83,0),3)</f>
        <v>25.400713640160003</v>
      </c>
      <c r="S34" s="178">
        <f>INDEX([3]!MeasureOutput,MATCH($F34,[3]M_Input_Out!$A$4:$A$83,0),11)</f>
        <v>51.779189832033595</v>
      </c>
      <c r="T34" s="13">
        <f>SUM([3]forRPM!$L33:$AE33)</f>
        <v>0.33787194298666373</v>
      </c>
      <c r="U34" s="13">
        <f>[3]forRPM!AF33</f>
        <v>0.36914538747071279</v>
      </c>
      <c r="V34" s="178">
        <f>INDEX([3]!MeasureOutput,MATCH($F34,[3]M_Input_Out!$A$4:$A$83,0),12)</f>
        <v>0.69501670317484909</v>
      </c>
      <c r="W34" s="170" t="str">
        <f>[3]forRPM!A33</f>
        <v>RetroEven20</v>
      </c>
      <c r="X34" s="8">
        <f>INDEX([3]M_Input!I$8:I$87,MATCH($F34,[3]M_Input!$A$8:$A$87,0),1)</f>
        <v>0</v>
      </c>
      <c r="Y34" s="8">
        <f>INDEX([3]M_Input!J$8:J$87,MATCH($F34,[3]M_Input!$A$8:$A$87,0),1)</f>
        <v>0</v>
      </c>
      <c r="Z34" s="8"/>
      <c r="AA34" s="8"/>
      <c r="AB34" s="8"/>
      <c r="AC34" s="8"/>
      <c r="AD34" s="8"/>
      <c r="AE34" s="8"/>
      <c r="AF34" s="8"/>
      <c r="AG34" s="8"/>
      <c r="AH34" s="8"/>
      <c r="AI34" s="8" t="s">
        <v>45</v>
      </c>
      <c r="AJ34" s="8" t="s">
        <v>445</v>
      </c>
      <c r="AK34" s="15" t="s">
        <v>187</v>
      </c>
      <c r="AL34" s="7" t="s">
        <v>66</v>
      </c>
    </row>
    <row r="35" spans="1:38" s="45" customFormat="1" ht="13.2" x14ac:dyDescent="0.25">
      <c r="A35" s="158" t="str">
        <f>"AG_"&amp;VLOOKUP($E35,MeasureTypeCode,2,0)&amp;"_"&amp;VLOOKUP($G35,State,2,0)&amp;COUNTIFS($E$3:$E35,$E35,$G$3:$G35,$G35)</f>
        <v>AG_IrrRpr_OR1</v>
      </c>
      <c r="B35" s="7" t="s">
        <v>479</v>
      </c>
      <c r="C35" s="8" t="s">
        <v>34</v>
      </c>
      <c r="D35" s="8" t="s">
        <v>33</v>
      </c>
      <c r="E35" s="8" t="s">
        <v>29</v>
      </c>
      <c r="F35" s="8" t="str">
        <f>[3]M_Input!A39</f>
        <v>Wheel and Hand_Cut and press repair - Oregon</v>
      </c>
      <c r="G35" s="8" t="s">
        <v>24</v>
      </c>
      <c r="H35" s="7" t="s">
        <v>21</v>
      </c>
      <c r="I35" s="7" t="s">
        <v>171</v>
      </c>
      <c r="J35" s="8" t="str">
        <f>[3]M_Input!B39</f>
        <v>Pump</v>
      </c>
      <c r="K35" s="12">
        <f>INDEX([3]M_Input!C$8:C$87,MATCH($F35,[3]M_Input!$A$8:$A$87,0),1)</f>
        <v>101.8284793918678</v>
      </c>
      <c r="L35" s="14">
        <f>INDEX([3]M_Input!D$8:D$87,MATCH($F35,[3]M_Input!$A$8:$A$87,0),1)</f>
        <v>8</v>
      </c>
      <c r="M35" s="9">
        <f>INDEX([3]M_Input!E$8:E$87,MATCH($F35,[3]M_Input!$A$8:$A$87,0),1)</f>
        <v>30.388468755978995</v>
      </c>
      <c r="N35" s="10">
        <f>INDEX([3]M_Input!F$8:F$87,MATCH($F35,[3]M_Input!$A$8:$A$87,0),1)</f>
        <v>-2.6079383649944781</v>
      </c>
      <c r="O35" s="8" t="str">
        <f>[3]M_Input!G39</f>
        <v>A-Irr-Irr-Irrigation-All-All-E</v>
      </c>
      <c r="P35" s="8"/>
      <c r="Q35" s="178">
        <f>INDEX([3]!MeasureOutput,MATCH($F35,[3]M_Input_Out!$A$4:$A$83,0),14)</f>
        <v>0</v>
      </c>
      <c r="R35" s="178">
        <f>INDEX([3]!MeasureOutput,MATCH($F35,[3]M_Input_Out!$A$4:$A$83,0),3)</f>
        <v>112.31436575471476</v>
      </c>
      <c r="S35" s="178">
        <f>INDEX([3]!MeasureOutput,MATCH($F35,[3]M_Input_Out!$A$4:$A$83,0),11)</f>
        <v>20.612176216392399</v>
      </c>
      <c r="T35" s="13">
        <f>SUM([3]forRPM!$L34:$AE34)</f>
        <v>1.4939687727065469</v>
      </c>
      <c r="U35" s="13">
        <f>[3]forRPM!AF34</f>
        <v>1.6322505994280552</v>
      </c>
      <c r="V35" s="178">
        <f>INDEX([3]!MeasureOutput,MATCH($F35,[3]M_Input_Out!$A$4:$A$83,0),12)</f>
        <v>1.0703580218842299</v>
      </c>
      <c r="W35" s="170" t="str">
        <f>[3]forRPM!A34</f>
        <v>RetroEven20</v>
      </c>
      <c r="X35" s="8">
        <f>INDEX([3]M_Input!I$8:I$87,MATCH($F35,[3]M_Input!$A$8:$A$87,0),1)</f>
        <v>0</v>
      </c>
      <c r="Y35" s="8">
        <f>INDEX([3]M_Input!J$8:J$87,MATCH($F35,[3]M_Input!$A$8:$A$87,0),1)</f>
        <v>0</v>
      </c>
      <c r="Z35" s="8"/>
      <c r="AA35" s="8"/>
      <c r="AB35" s="8"/>
      <c r="AC35" s="8"/>
      <c r="AD35" s="8"/>
      <c r="AE35" s="8"/>
      <c r="AF35" s="8"/>
      <c r="AG35" s="8"/>
      <c r="AH35" s="8"/>
      <c r="AI35" s="8" t="s">
        <v>41</v>
      </c>
      <c r="AJ35" s="8" t="s">
        <v>445</v>
      </c>
      <c r="AK35" s="15" t="s">
        <v>187</v>
      </c>
      <c r="AL35" s="7" t="s">
        <v>66</v>
      </c>
    </row>
    <row r="36" spans="1:38" s="45" customFormat="1" ht="13.2" x14ac:dyDescent="0.25">
      <c r="A36" s="158" t="str">
        <f>"AG_"&amp;VLOOKUP($E36,MeasureTypeCode,2,0)&amp;"_"&amp;VLOOKUP($G36,State,2,0)&amp;COUNTIFS($E$3:$E36,$E36,$G$3:$G36,$G36)</f>
        <v>AG_IrrHub_OR1</v>
      </c>
      <c r="B36" s="7" t="s">
        <v>479</v>
      </c>
      <c r="C36" s="8" t="s">
        <v>34</v>
      </c>
      <c r="D36" s="8" t="s">
        <v>33</v>
      </c>
      <c r="E36" s="8" t="s">
        <v>30</v>
      </c>
      <c r="F36" s="8" t="str">
        <f>[3]M_Input!A40</f>
        <v>Wheel and Hand_Hub gasket - Oregon</v>
      </c>
      <c r="G36" s="8" t="s">
        <v>24</v>
      </c>
      <c r="H36" s="7" t="s">
        <v>21</v>
      </c>
      <c r="I36" s="7" t="s">
        <v>171</v>
      </c>
      <c r="J36" s="8" t="str">
        <f>[3]M_Input!B40</f>
        <v>Pump</v>
      </c>
      <c r="K36" s="12">
        <f>INDEX([3]M_Input!C$8:C$87,MATCH($F36,[3]M_Input!$A$8:$A$87,0),1)</f>
        <v>116.54535384358856</v>
      </c>
      <c r="L36" s="14">
        <f>INDEX([3]M_Input!D$8:D$87,MATCH($F36,[3]M_Input!$A$8:$A$87,0),1)</f>
        <v>10</v>
      </c>
      <c r="M36" s="9">
        <f>INDEX([3]M_Input!E$8:E$87,MATCH($F36,[3]M_Input!$A$8:$A$87,0),1)</f>
        <v>28.461673476483401</v>
      </c>
      <c r="N36" s="10">
        <f>INDEX([3]M_Input!F$8:F$87,MATCH($F36,[3]M_Input!$A$8:$A$87,0),1)</f>
        <v>-2.0942597516815615</v>
      </c>
      <c r="O36" s="8" t="str">
        <f>[3]M_Input!G40</f>
        <v>A-Irr-Irr-Irrigation-All-All-E</v>
      </c>
      <c r="P36" s="8"/>
      <c r="Q36" s="178">
        <f>INDEX([3]!MeasureOutput,MATCH($F36,[3]M_Input_Out!$A$4:$A$83,0),14)</f>
        <v>0</v>
      </c>
      <c r="R36" s="178">
        <f>INDEX([3]!MeasureOutput,MATCH($F36,[3]M_Input_Out!$A$4:$A$83,0),3)</f>
        <v>128.54672461746318</v>
      </c>
      <c r="S36" s="178">
        <f>INDEX([3]!MeasureOutput,MATCH($F36,[3]M_Input_Out!$A$4:$A$83,0),11)</f>
        <v>12.472075906797334</v>
      </c>
      <c r="T36" s="13">
        <f>SUM([3]forRPM!$L35:$AE35)</f>
        <v>0.42747156857834145</v>
      </c>
      <c r="U36" s="13">
        <f>[3]forRPM!AF35</f>
        <v>0.4670383590323563</v>
      </c>
      <c r="V36" s="178">
        <f>INDEX([3]!MeasureOutput,MATCH($F36,[3]M_Input_Out!$A$4:$A$83,0),12)</f>
        <v>1.409362190458574</v>
      </c>
      <c r="W36" s="170" t="str">
        <f>[3]forRPM!A35</f>
        <v>RetroEven20</v>
      </c>
      <c r="X36" s="8">
        <f>INDEX([3]M_Input!I$8:I$87,MATCH($F36,[3]M_Input!$A$8:$A$87,0),1)</f>
        <v>0</v>
      </c>
      <c r="Y36" s="8">
        <f>INDEX([3]M_Input!J$8:J$87,MATCH($F36,[3]M_Input!$A$8:$A$87,0),1)</f>
        <v>0</v>
      </c>
      <c r="Z36" s="8"/>
      <c r="AA36" s="8"/>
      <c r="AB36" s="8"/>
      <c r="AC36" s="8"/>
      <c r="AD36" s="8"/>
      <c r="AE36" s="8"/>
      <c r="AF36" s="8"/>
      <c r="AG36" s="8"/>
      <c r="AH36" s="8"/>
      <c r="AI36" s="8" t="s">
        <v>46</v>
      </c>
      <c r="AJ36" s="8" t="s">
        <v>445</v>
      </c>
      <c r="AK36" s="15" t="s">
        <v>187</v>
      </c>
      <c r="AL36" s="7" t="s">
        <v>66</v>
      </c>
    </row>
    <row r="37" spans="1:38" s="45" customFormat="1" ht="13.2" x14ac:dyDescent="0.25">
      <c r="A37" s="158" t="str">
        <f>"AG_"&amp;VLOOKUP($E37,MeasureTypeCode,2,0)&amp;"_"&amp;VLOOKUP($G37,State,2,0)&amp;COUNTIFS($E$3:$E37,$E37,$G$3:$G37,$G37)</f>
        <v>AG_IrrLvlr_OR1</v>
      </c>
      <c r="B37" s="7" t="s">
        <v>479</v>
      </c>
      <c r="C37" s="8" t="s">
        <v>34</v>
      </c>
      <c r="D37" s="8" t="s">
        <v>33</v>
      </c>
      <c r="E37" s="8" t="s">
        <v>31</v>
      </c>
      <c r="F37" s="8" t="str">
        <f>[3]M_Input!A41</f>
        <v>Wheel and Hand_Levelers - Oregon</v>
      </c>
      <c r="G37" s="8" t="s">
        <v>24</v>
      </c>
      <c r="H37" s="7" t="s">
        <v>21</v>
      </c>
      <c r="I37" s="7" t="s">
        <v>171</v>
      </c>
      <c r="J37" s="8" t="str">
        <f>[3]M_Input!B41</f>
        <v>Pump</v>
      </c>
      <c r="K37" s="12">
        <f>INDEX([3]M_Input!C$8:C$87,MATCH($F37,[3]M_Input!$A$8:$A$87,0),1)</f>
        <v>9.9581048522665085</v>
      </c>
      <c r="L37" s="14">
        <f>INDEX([3]M_Input!D$8:D$87,MATCH($F37,[3]M_Input!$A$8:$A$87,0),1)</f>
        <v>5</v>
      </c>
      <c r="M37" s="9">
        <f>INDEX([3]M_Input!E$8:E$87,MATCH($F37,[3]M_Input!$A$8:$A$87,0),1)</f>
        <v>12.845511625508943</v>
      </c>
      <c r="N37" s="10">
        <f>INDEX([3]M_Input!F$8:F$87,MATCH($F37,[3]M_Input!$A$8:$A$87,0),1)</f>
        <v>-1.5837352587127447</v>
      </c>
      <c r="O37" s="8" t="str">
        <f>[3]M_Input!G41</f>
        <v>A-Irr-Irr-Irrigation-All-All-E</v>
      </c>
      <c r="P37" s="8"/>
      <c r="Q37" s="178">
        <f>INDEX([3]!MeasureOutput,MATCH($F37,[3]M_Input_Out!$A$4:$A$83,0),14)</f>
        <v>0</v>
      </c>
      <c r="R37" s="178">
        <f>INDEX([3]!MeasureOutput,MATCH($F37,[3]M_Input_Out!$A$4:$A$83,0),3)</f>
        <v>10.983550351342876</v>
      </c>
      <c r="S37" s="178">
        <f>INDEX([3]!MeasureOutput,MATCH($F37,[3]M_Input_Out!$A$4:$A$83,0),11)</f>
        <v>159.63755793089663</v>
      </c>
      <c r="T37" s="13">
        <f>SUM([3]forRPM!$L36:$AE36)</f>
        <v>0.14609957620374536</v>
      </c>
      <c r="U37" s="13">
        <f>[3]forRPM!AF36</f>
        <v>0.15962256051893392</v>
      </c>
      <c r="V37" s="178">
        <f>INDEX([3]!MeasureOutput,MATCH($F37,[3]M_Input_Out!$A$4:$A$83,0),12)</f>
        <v>0.54575766620726895</v>
      </c>
      <c r="W37" s="170" t="str">
        <f>[3]forRPM!A36</f>
        <v>RetroEven20</v>
      </c>
      <c r="X37" s="8">
        <f>INDEX([3]M_Input!I$8:I$87,MATCH($F37,[3]M_Input!$A$8:$A$87,0),1)</f>
        <v>0</v>
      </c>
      <c r="Y37" s="8">
        <f>INDEX([3]M_Input!J$8:J$87,MATCH($F37,[3]M_Input!$A$8:$A$87,0),1)</f>
        <v>0</v>
      </c>
      <c r="Z37" s="8"/>
      <c r="AA37" s="8"/>
      <c r="AB37" s="8"/>
      <c r="AC37" s="8"/>
      <c r="AD37" s="8"/>
      <c r="AE37" s="8"/>
      <c r="AF37" s="8"/>
      <c r="AG37" s="8"/>
      <c r="AH37" s="8"/>
      <c r="AI37" s="8" t="s">
        <v>42</v>
      </c>
      <c r="AJ37" s="8" t="s">
        <v>445</v>
      </c>
      <c r="AK37" s="15" t="s">
        <v>187</v>
      </c>
      <c r="AL37" s="7" t="s">
        <v>66</v>
      </c>
    </row>
    <row r="38" spans="1:38" s="45" customFormat="1" ht="13.2" x14ac:dyDescent="0.25">
      <c r="A38" s="158" t="str">
        <f>"AG_"&amp;VLOOKUP($E38,MeasureTypeCode,2,0)&amp;"_"&amp;VLOOKUP($G38,State,2,0)&amp;COUNTIFS($E$3:$E38,$E38,$G$3:$G38,$G38)</f>
        <v>AG_IrrGskt_OR2</v>
      </c>
      <c r="B38" s="7" t="s">
        <v>479</v>
      </c>
      <c r="C38" s="8" t="s">
        <v>34</v>
      </c>
      <c r="D38" s="8" t="s">
        <v>33</v>
      </c>
      <c r="E38" s="8" t="s">
        <v>27</v>
      </c>
      <c r="F38" s="8" t="str">
        <f>[3]M_Input!A42</f>
        <v>Pivot and Linear_Base boot gasket - Oregon</v>
      </c>
      <c r="G38" s="8" t="s">
        <v>24</v>
      </c>
      <c r="H38" s="7" t="s">
        <v>21</v>
      </c>
      <c r="I38" s="7" t="s">
        <v>171</v>
      </c>
      <c r="J38" s="8" t="str">
        <f>[3]M_Input!B42</f>
        <v>Pump</v>
      </c>
      <c r="K38" s="12">
        <f>INDEX([3]M_Input!C$8:C$87,MATCH($F38,[3]M_Input!$A$8:$A$87,0),1)</f>
        <v>20.730741370533092</v>
      </c>
      <c r="L38" s="14">
        <f>INDEX([3]M_Input!D$8:D$87,MATCH($F38,[3]M_Input!$A$8:$A$87,0),1)</f>
        <v>8</v>
      </c>
      <c r="M38" s="9">
        <f>INDEX([3]M_Input!E$8:E$87,MATCH($F38,[3]M_Input!$A$8:$A$87,0),1)</f>
        <v>2.4405750787636538</v>
      </c>
      <c r="N38" s="10">
        <f>INDEX([3]M_Input!F$8:F$87,MATCH($F38,[3]M_Input!$A$8:$A$87,0),1)</f>
        <v>0</v>
      </c>
      <c r="O38" s="8" t="str">
        <f>[3]M_Input!G42</f>
        <v>A-Irr-Irr-Irrigation-All-All-E</v>
      </c>
      <c r="P38" s="8"/>
      <c r="Q38" s="178">
        <f>INDEX([3]!MeasureOutput,MATCH($F38,[3]M_Input_Out!$A$4:$A$83,0),14)</f>
        <v>0</v>
      </c>
      <c r="R38" s="178">
        <f>INDEX([3]!MeasureOutput,MATCH($F38,[3]M_Input_Out!$A$4:$A$83,0),3)</f>
        <v>22.865509556478727</v>
      </c>
      <c r="S38" s="178">
        <f>INDEX([3]!MeasureOutput,MATCH($F38,[3]M_Input_Out!$A$4:$A$83,0),11)</f>
        <v>15.511673981124044</v>
      </c>
      <c r="T38" s="13">
        <f>SUM([3]forRPM!$L37:$AE37)</f>
        <v>0.34581319596253823</v>
      </c>
      <c r="U38" s="13">
        <f>[3]forRPM!AF37</f>
        <v>0.37782168323196769</v>
      </c>
      <c r="V38" s="178">
        <f>INDEX([3]!MeasureOutput,MATCH($F38,[3]M_Input_Out!$A$4:$A$83,0),12)</f>
        <v>1.4547849691210333</v>
      </c>
      <c r="W38" s="170" t="str">
        <f>[3]forRPM!A37</f>
        <v>RetroEven20</v>
      </c>
      <c r="X38" s="8">
        <f>INDEX([3]M_Input!I$8:I$87,MATCH($F38,[3]M_Input!$A$8:$A$87,0),1)</f>
        <v>0</v>
      </c>
      <c r="Y38" s="8">
        <f>INDEX([3]M_Input!J$8:J$87,MATCH($F38,[3]M_Input!$A$8:$A$87,0),1)</f>
        <v>0</v>
      </c>
      <c r="Z38" s="8"/>
      <c r="AA38" s="8"/>
      <c r="AB38" s="8"/>
      <c r="AC38" s="8"/>
      <c r="AD38" s="8"/>
      <c r="AE38" s="8"/>
      <c r="AF38" s="8"/>
      <c r="AG38" s="8"/>
      <c r="AH38" s="8"/>
      <c r="AI38" s="8" t="s">
        <v>47</v>
      </c>
      <c r="AJ38" s="8" t="s">
        <v>445</v>
      </c>
      <c r="AK38" s="15" t="s">
        <v>187</v>
      </c>
      <c r="AL38" s="7" t="s">
        <v>66</v>
      </c>
    </row>
    <row r="39" spans="1:38" s="45" customFormat="1" ht="13.2" x14ac:dyDescent="0.25">
      <c r="A39" s="158" t="str">
        <f>"AG_"&amp;VLOOKUP($E39,MeasureTypeCode,2,0)&amp;"_"&amp;VLOOKUP($G39,State,2,0)&amp;COUNTIFS($E$3:$E39,$E39,$G$3:$G39,$G39)</f>
        <v>AG_IrrGskt_OR3</v>
      </c>
      <c r="B39" s="7" t="s">
        <v>479</v>
      </c>
      <c r="C39" s="8" t="s">
        <v>34</v>
      </c>
      <c r="D39" s="8" t="s">
        <v>33</v>
      </c>
      <c r="E39" s="8" t="s">
        <v>27</v>
      </c>
      <c r="F39" s="8" t="str">
        <f>[3]M_Input!A43</f>
        <v>Pivot and Linear_Tower gasket - Oregon</v>
      </c>
      <c r="G39" s="8" t="s">
        <v>24</v>
      </c>
      <c r="H39" s="7" t="s">
        <v>21</v>
      </c>
      <c r="I39" s="7" t="s">
        <v>171</v>
      </c>
      <c r="J39" s="8" t="str">
        <f>[3]M_Input!B43</f>
        <v>Pump</v>
      </c>
      <c r="K39" s="12">
        <f>INDEX([3]M_Input!C$8:C$87,MATCH($F39,[3]M_Input!$A$8:$A$87,0),1)</f>
        <v>0.63343931965517764</v>
      </c>
      <c r="L39" s="14">
        <f>INDEX([3]M_Input!D$8:D$87,MATCH($F39,[3]M_Input!$A$8:$A$87,0),1)</f>
        <v>8</v>
      </c>
      <c r="M39" s="9">
        <f>INDEX([3]M_Input!E$8:E$87,MATCH($F39,[3]M_Input!$A$8:$A$87,0),1)</f>
        <v>5.2419313748037162</v>
      </c>
      <c r="N39" s="10">
        <f>INDEX([3]M_Input!F$8:F$87,MATCH($F39,[3]M_Input!$A$8:$A$87,0),1)</f>
        <v>-0.44986254650718882</v>
      </c>
      <c r="O39" s="8" t="str">
        <f>[3]M_Input!G43</f>
        <v>A-Irr-Irr-Irrigation-All-All-E</v>
      </c>
      <c r="P39" s="8"/>
      <c r="Q39" s="178">
        <f>INDEX([3]!MeasureOutput,MATCH($F39,[3]M_Input_Out!$A$4:$A$83,0),14)</f>
        <v>0</v>
      </c>
      <c r="R39" s="178">
        <f>INDEX([3]!MeasureOutput,MATCH($F39,[3]M_Input_Out!$A$4:$A$83,0),3)</f>
        <v>0.69866834755907203</v>
      </c>
      <c r="S39" s="178">
        <f>INDEX([3]!MeasureOutput,MATCH($F39,[3]M_Input_Out!$A$4:$A$83,0),11)</f>
        <v>650.14120461094467</v>
      </c>
      <c r="T39" s="13">
        <f>SUM([3]forRPM!$L38:$AE38)</f>
        <v>1.0566514321077554E-2</v>
      </c>
      <c r="U39" s="13">
        <f>[3]forRPM!AF38</f>
        <v>1.1544551432087899E-2</v>
      </c>
      <c r="V39" s="178">
        <f>INDEX([3]!MeasureOutput,MATCH($F39,[3]M_Input_Out!$A$4:$A$83,0),12)</f>
        <v>0.51715370792675464</v>
      </c>
      <c r="W39" s="170" t="str">
        <f>[3]forRPM!A38</f>
        <v>RetroEven20</v>
      </c>
      <c r="X39" s="8">
        <f>INDEX([3]M_Input!I$8:I$87,MATCH($F39,[3]M_Input!$A$8:$A$87,0),1)</f>
        <v>0</v>
      </c>
      <c r="Y39" s="8">
        <f>INDEX([3]M_Input!J$8:J$87,MATCH($F39,[3]M_Input!$A$8:$A$87,0),1)</f>
        <v>0</v>
      </c>
      <c r="Z39" s="8"/>
      <c r="AA39" s="8"/>
      <c r="AB39" s="8"/>
      <c r="AC39" s="8"/>
      <c r="AD39" s="8"/>
      <c r="AE39" s="8"/>
      <c r="AF39" s="8"/>
      <c r="AG39" s="8"/>
      <c r="AH39" s="8"/>
      <c r="AI39" s="8" t="s">
        <v>48</v>
      </c>
      <c r="AJ39" s="8" t="s">
        <v>445</v>
      </c>
      <c r="AK39" s="15" t="s">
        <v>187</v>
      </c>
      <c r="AL39" s="7" t="s">
        <v>66</v>
      </c>
    </row>
    <row r="40" spans="1:38" s="45" customFormat="1" ht="13.2" x14ac:dyDescent="0.25">
      <c r="A40" s="158" t="str">
        <f>"AG_"&amp;VLOOKUP($E40,MeasureTypeCode,2,0)&amp;"_"&amp;VLOOKUP($G40,State,2,0)&amp;COUNTIFS($E$3:$E40,$E40,$G$3:$G40,$G40)</f>
        <v>AG_IrrNzzl_OR1</v>
      </c>
      <c r="B40" s="7" t="s">
        <v>479</v>
      </c>
      <c r="C40" s="8" t="s">
        <v>34</v>
      </c>
      <c r="D40" s="8" t="s">
        <v>33</v>
      </c>
      <c r="E40" s="8" t="s">
        <v>32</v>
      </c>
      <c r="F40" s="8" t="str">
        <f>[3]M_Input!A44</f>
        <v>Wheel and Hand_Nozzle replacement - Oregon</v>
      </c>
      <c r="G40" s="8" t="s">
        <v>24</v>
      </c>
      <c r="H40" s="7" t="s">
        <v>21</v>
      </c>
      <c r="I40" s="7" t="s">
        <v>171</v>
      </c>
      <c r="J40" s="8" t="str">
        <f>[3]M_Input!B44</f>
        <v>Pump</v>
      </c>
      <c r="K40" s="12">
        <f>INDEX([3]M_Input!C$8:C$87,MATCH($F40,[3]M_Input!$A$8:$A$87,0),1)</f>
        <v>56.708821997716306</v>
      </c>
      <c r="L40" s="14">
        <f>INDEX([3]M_Input!D$8:D$87,MATCH($F40,[3]M_Input!$A$8:$A$87,0),1)</f>
        <v>4</v>
      </c>
      <c r="M40" s="9">
        <f>INDEX([3]M_Input!E$8:E$87,MATCH($F40,[3]M_Input!$A$8:$A$87,0),1)</f>
        <v>4.9428547606377915</v>
      </c>
      <c r="N40" s="10">
        <f>INDEX([3]M_Input!F$8:F$87,MATCH($F40,[3]M_Input!$A$8:$A$87,0),1)</f>
        <v>-0.73415150171930543</v>
      </c>
      <c r="O40" s="8" t="str">
        <f>[3]M_Input!G44</f>
        <v>A-Irr-Irr-Irrigation-All-All-E</v>
      </c>
      <c r="P40" s="8"/>
      <c r="Q40" s="178">
        <f>INDEX([3]!MeasureOutput,MATCH($F40,[3]M_Input_Out!$A$4:$A$83,0),14)</f>
        <v>0</v>
      </c>
      <c r="R40" s="178">
        <f>INDEX([3]!MeasureOutput,MATCH($F40,[3]M_Input_Out!$A$4:$A$83,0),3)</f>
        <v>62.548467908076994</v>
      </c>
      <c r="S40" s="178">
        <f>INDEX([3]!MeasureOutput,MATCH($F40,[3]M_Input_Out!$A$4:$A$83,0),11)</f>
        <v>10.773991238894952</v>
      </c>
      <c r="T40" s="13">
        <f>SUM([3]forRPM!$L39:$AE39)</f>
        <v>0.83199915885543729</v>
      </c>
      <c r="U40" s="13">
        <f>[3]forRPM!AF39</f>
        <v>0.90900904394751825</v>
      </c>
      <c r="V40" s="178">
        <f>INDEX([3]!MeasureOutput,MATCH($F40,[3]M_Input_Out!$A$4:$A$83,0),12)</f>
        <v>1.2939475133648854</v>
      </c>
      <c r="W40" s="170" t="str">
        <f>[3]forRPM!A39</f>
        <v>RetroEven20</v>
      </c>
      <c r="X40" s="8">
        <f>INDEX([3]M_Input!I$8:I$87,MATCH($F40,[3]M_Input!$A$8:$A$87,0),1)</f>
        <v>0</v>
      </c>
      <c r="Y40" s="8">
        <f>INDEX([3]M_Input!J$8:J$87,MATCH($F40,[3]M_Input!$A$8:$A$87,0),1)</f>
        <v>0</v>
      </c>
      <c r="Z40" s="8"/>
      <c r="AA40" s="8"/>
      <c r="AB40" s="8"/>
      <c r="AC40" s="8"/>
      <c r="AD40" s="8"/>
      <c r="AE40" s="8"/>
      <c r="AF40" s="8"/>
      <c r="AG40" s="8"/>
      <c r="AH40" s="8"/>
      <c r="AI40" s="8" t="s">
        <v>43</v>
      </c>
      <c r="AJ40" s="8" t="s">
        <v>445</v>
      </c>
      <c r="AK40" s="15" t="s">
        <v>187</v>
      </c>
      <c r="AL40" s="7" t="s">
        <v>66</v>
      </c>
    </row>
    <row r="41" spans="1:38" s="216" customFormat="1" ht="13.2" x14ac:dyDescent="0.25">
      <c r="A41" s="206" t="str">
        <f>"AG_"&amp;VLOOKUP($E41,MeasureTypeCode,2,0)&amp;"_"&amp;VLOOKUP($G41,State,2,0)&amp;COUNTIFS($E$3:$E41,$E41,$G$3:$G41,$G41)</f>
        <v>AG_IrrRepl_OR1</v>
      </c>
      <c r="B41" s="207" t="s">
        <v>37</v>
      </c>
      <c r="C41" s="208" t="s">
        <v>34</v>
      </c>
      <c r="D41" s="208" t="s">
        <v>33</v>
      </c>
      <c r="E41" s="208" t="s">
        <v>35</v>
      </c>
      <c r="F41" s="208" t="str">
        <f>[3]M_Input!A45</f>
        <v>Pivot and Linear_Sprinkler package replacement, high pressure - Oregon</v>
      </c>
      <c r="G41" s="208" t="s">
        <v>24</v>
      </c>
      <c r="H41" s="207" t="s">
        <v>21</v>
      </c>
      <c r="I41" s="207" t="s">
        <v>171</v>
      </c>
      <c r="J41" s="208" t="str">
        <f>[3]M_Input!B45</f>
        <v>Pump</v>
      </c>
      <c r="K41" s="209">
        <f>INDEX([3]M_Input!C$8:C$87,MATCH($F41,[3]M_Input!$A$8:$A$87,0),1)</f>
        <v>33.415978294495041</v>
      </c>
      <c r="L41" s="210">
        <f>INDEX([3]M_Input!D$8:D$87,MATCH($F41,[3]M_Input!$A$8:$A$87,0),1)</f>
        <v>4</v>
      </c>
      <c r="M41" s="211">
        <f>INDEX([3]M_Input!E$8:E$87,MATCH($F41,[3]M_Input!$A$8:$A$87,0),1)</f>
        <v>8.4091036407101392</v>
      </c>
      <c r="N41" s="212">
        <f>INDEX([3]M_Input!F$8:F$87,MATCH($F41,[3]M_Input!$A$8:$A$87,0),1)</f>
        <v>-1.2489859332107978</v>
      </c>
      <c r="O41" s="208" t="str">
        <f>[3]M_Input!G45</f>
        <v>A-Irr-Irr-Irrigation-All-All-E</v>
      </c>
      <c r="P41" s="208"/>
      <c r="Q41" s="213">
        <f>INDEX([3]!MeasureOutput,MATCH($F41,[3]M_Input_Out!$A$4:$A$83,0),14)</f>
        <v>0</v>
      </c>
      <c r="R41" s="213">
        <f>INDEX([3]!MeasureOutput,MATCH($F41,[3]M_Input_Out!$A$4:$A$83,0),3)</f>
        <v>36.857021047878419</v>
      </c>
      <c r="S41" s="213">
        <f>INDEX([3]!MeasureOutput,MATCH($F41,[3]M_Input_Out!$A$4:$A$83,0),11)</f>
        <v>36.653127775310246</v>
      </c>
      <c r="T41" s="214">
        <f>SUM([3]forRPM!$L40:$AE40)</f>
        <v>9.98625921505472E-2</v>
      </c>
      <c r="U41" s="214">
        <f>[3]forRPM!AF40</f>
        <v>0.10910587883498388</v>
      </c>
      <c r="V41" s="213">
        <f>INDEX([3]!MeasureOutput,MATCH($F41,[3]M_Input_Out!$A$4:$A$83,0),12)</f>
        <v>0.74962019051785278</v>
      </c>
      <c r="W41" s="214" t="str">
        <f>[3]forRPM!A40</f>
        <v>RetroEven20</v>
      </c>
      <c r="X41" s="208">
        <f>INDEX([3]M_Input!I$8:I$87,MATCH($F41,[3]M_Input!$A$8:$A$87,0),1)</f>
        <v>0</v>
      </c>
      <c r="Y41" s="208">
        <f>INDEX([3]M_Input!J$8:J$87,MATCH($F41,[3]M_Input!$A$8:$A$87,0),1)</f>
        <v>0</v>
      </c>
      <c r="Z41" s="208"/>
      <c r="AA41" s="208"/>
      <c r="AB41" s="208"/>
      <c r="AC41" s="208"/>
      <c r="AD41" s="208"/>
      <c r="AE41" s="208"/>
      <c r="AF41" s="208"/>
      <c r="AG41" s="208"/>
      <c r="AH41" s="208"/>
      <c r="AI41" s="208" t="s">
        <v>49</v>
      </c>
      <c r="AJ41" s="208" t="s">
        <v>445</v>
      </c>
      <c r="AK41" s="215" t="s">
        <v>187</v>
      </c>
      <c r="AL41" s="207" t="s">
        <v>76</v>
      </c>
    </row>
    <row r="42" spans="1:38" s="216" customFormat="1" ht="13.2" x14ac:dyDescent="0.25">
      <c r="A42" s="206" t="str">
        <f>"AG_"&amp;VLOOKUP($E42,MeasureTypeCode,2,0)&amp;"_"&amp;VLOOKUP($G42,State,2,0)&amp;COUNTIFS($E$3:$E42,$E42,$G$3:$G42,$G42)</f>
        <v>AG_IrrRepl_OR2</v>
      </c>
      <c r="B42" s="207" t="s">
        <v>37</v>
      </c>
      <c r="C42" s="208" t="s">
        <v>34</v>
      </c>
      <c r="D42" s="208" t="s">
        <v>33</v>
      </c>
      <c r="E42" s="208" t="s">
        <v>35</v>
      </c>
      <c r="F42" s="208" t="str">
        <f>[3]M_Input!A46</f>
        <v>Pivot and Linear_Sprinkler package replacement, MESA - Oregon</v>
      </c>
      <c r="G42" s="208" t="s">
        <v>24</v>
      </c>
      <c r="H42" s="207" t="s">
        <v>21</v>
      </c>
      <c r="I42" s="207" t="s">
        <v>171</v>
      </c>
      <c r="J42" s="208" t="str">
        <f>[3]M_Input!B46</f>
        <v>Pump</v>
      </c>
      <c r="K42" s="209">
        <f>INDEX([3]M_Input!C$8:C$87,MATCH($F42,[3]M_Input!$A$8:$A$87,0),1)</f>
        <v>33.415978294495041</v>
      </c>
      <c r="L42" s="210">
        <f>INDEX([3]M_Input!D$8:D$87,MATCH($F42,[3]M_Input!$A$8:$A$87,0),1)</f>
        <v>5</v>
      </c>
      <c r="M42" s="211">
        <f>INDEX([3]M_Input!E$8:E$87,MATCH($F42,[3]M_Input!$A$8:$A$87,0),1)</f>
        <v>27.554783113802586</v>
      </c>
      <c r="N42" s="212">
        <f>INDEX([3]M_Input!F$8:F$87,MATCH($F42,[3]M_Input!$A$8:$A$87,0),1)</f>
        <v>-3.3972552309128203</v>
      </c>
      <c r="O42" s="208" t="str">
        <f>[3]M_Input!G46</f>
        <v>A-Irr-Irr-Irrigation-All-All-E</v>
      </c>
      <c r="P42" s="208"/>
      <c r="Q42" s="213">
        <f>INDEX([3]!MeasureOutput,MATCH($F42,[3]M_Input_Out!$A$4:$A$83,0),14)</f>
        <v>0</v>
      </c>
      <c r="R42" s="213">
        <f>INDEX([3]!MeasureOutput,MATCH($F42,[3]M_Input_Out!$A$4:$A$83,0),3)</f>
        <v>36.857021047878419</v>
      </c>
      <c r="S42" s="213">
        <f>INDEX([3]!MeasureOutput,MATCH($F42,[3]M_Input_Out!$A$4:$A$83,0),11)</f>
        <v>100.98728953512128</v>
      </c>
      <c r="T42" s="214">
        <f>SUM([3]forRPM!$L41:$AE41)</f>
        <v>0.55287299746502216</v>
      </c>
      <c r="U42" s="214">
        <f>[3]forRPM!AF41</f>
        <v>0.60404695065010405</v>
      </c>
      <c r="V42" s="213">
        <f>INDEX([3]!MeasureOutput,MATCH($F42,[3]M_Input_Out!$A$4:$A$83,0),12)</f>
        <v>0.5884907867836493</v>
      </c>
      <c r="W42" s="214" t="str">
        <f>[3]forRPM!A41</f>
        <v>RetroEven20</v>
      </c>
      <c r="X42" s="208">
        <f>INDEX([3]M_Input!I$8:I$87,MATCH($F42,[3]M_Input!$A$8:$A$87,0),1)</f>
        <v>0</v>
      </c>
      <c r="Y42" s="208">
        <f>INDEX([3]M_Input!J$8:J$87,MATCH($F42,[3]M_Input!$A$8:$A$87,0),1)</f>
        <v>0</v>
      </c>
      <c r="Z42" s="208"/>
      <c r="AA42" s="208"/>
      <c r="AB42" s="208"/>
      <c r="AC42" s="208"/>
      <c r="AD42" s="208"/>
      <c r="AE42" s="208"/>
      <c r="AF42" s="208"/>
      <c r="AG42" s="208"/>
      <c r="AH42" s="208"/>
      <c r="AI42" s="208" t="s">
        <v>51</v>
      </c>
      <c r="AJ42" s="208" t="s">
        <v>445</v>
      </c>
      <c r="AK42" s="215" t="s">
        <v>187</v>
      </c>
      <c r="AL42" s="207" t="s">
        <v>76</v>
      </c>
    </row>
    <row r="43" spans="1:38" s="216" customFormat="1" ht="13.2" x14ac:dyDescent="0.25">
      <c r="A43" s="206" t="str">
        <f>"AG_"&amp;VLOOKUP($E43,MeasureTypeCode,2,0)&amp;"_"&amp;VLOOKUP($G43,State,2,0)&amp;COUNTIFS($E$3:$E43,$E43,$G$3:$G43,$G43)</f>
        <v>AG_IrrRepl_OR3</v>
      </c>
      <c r="B43" s="207" t="s">
        <v>37</v>
      </c>
      <c r="C43" s="208" t="s">
        <v>34</v>
      </c>
      <c r="D43" s="208" t="s">
        <v>33</v>
      </c>
      <c r="E43" s="208" t="s">
        <v>35</v>
      </c>
      <c r="F43" s="208" t="str">
        <f>[3]M_Input!A47</f>
        <v>Pivot and Linear_Sprinkler package replacement, LESA/LEPA/MDI - Oregon</v>
      </c>
      <c r="G43" s="208" t="s">
        <v>24</v>
      </c>
      <c r="H43" s="207" t="s">
        <v>21</v>
      </c>
      <c r="I43" s="207" t="s">
        <v>171</v>
      </c>
      <c r="J43" s="208" t="str">
        <f>[3]M_Input!B47</f>
        <v>Pump</v>
      </c>
      <c r="K43" s="209">
        <f>INDEX([3]M_Input!C$8:C$87,MATCH($F43,[3]M_Input!$A$8:$A$87,0),1)</f>
        <v>33.415978294495041</v>
      </c>
      <c r="L43" s="210">
        <f>INDEX([3]M_Input!D$8:D$87,MATCH($F43,[3]M_Input!$A$8:$A$87,0),1)</f>
        <v>5</v>
      </c>
      <c r="M43" s="211">
        <f>INDEX([3]M_Input!E$8:E$87,MATCH($F43,[3]M_Input!$A$8:$A$87,0),1)</f>
        <v>37.921401277472171</v>
      </c>
      <c r="N43" s="212">
        <f>INDEX([3]M_Input!F$8:F$87,MATCH($F43,[3]M_Input!$A$8:$A$87,0),1)</f>
        <v>-4.675365373821589</v>
      </c>
      <c r="O43" s="208" t="str">
        <f>[3]M_Input!G47</f>
        <v>A-Irr-Irr-Irrigation-All-All-E</v>
      </c>
      <c r="P43" s="208"/>
      <c r="Q43" s="213">
        <f>INDEX([3]!MeasureOutput,MATCH($F43,[3]M_Input_Out!$A$4:$A$83,0),14)</f>
        <v>0</v>
      </c>
      <c r="R43" s="213">
        <f>INDEX([3]!MeasureOutput,MATCH($F43,[3]M_Input_Out!$A$4:$A$83,0),3)</f>
        <v>36.857021047878419</v>
      </c>
      <c r="S43" s="213">
        <f>INDEX([3]!MeasureOutput,MATCH($F43,[3]M_Input_Out!$A$4:$A$83,0),11)</f>
        <v>140.08643011431926</v>
      </c>
      <c r="T43" s="214">
        <f>SUM([3]forRPM!$L42:$AE42)</f>
        <v>0.76577479998392928</v>
      </c>
      <c r="U43" s="214">
        <f>[3]forRPM!AF42</f>
        <v>0.83665495500031217</v>
      </c>
      <c r="V43" s="213">
        <f>INDEX([3]!MeasureOutput,MATCH($F43,[3]M_Input_Out!$A$4:$A$83,0),12)</f>
        <v>0.55610858828546228</v>
      </c>
      <c r="W43" s="214" t="str">
        <f>[3]forRPM!A42</f>
        <v>RetroEven20</v>
      </c>
      <c r="X43" s="208">
        <f>INDEX([3]M_Input!I$8:I$87,MATCH($F43,[3]M_Input!$A$8:$A$87,0),1)</f>
        <v>0</v>
      </c>
      <c r="Y43" s="208">
        <f>INDEX([3]M_Input!J$8:J$87,MATCH($F43,[3]M_Input!$A$8:$A$87,0),1)</f>
        <v>0</v>
      </c>
      <c r="Z43" s="208"/>
      <c r="AA43" s="208"/>
      <c r="AB43" s="208"/>
      <c r="AC43" s="208"/>
      <c r="AD43" s="208"/>
      <c r="AE43" s="208"/>
      <c r="AF43" s="208"/>
      <c r="AG43" s="208"/>
      <c r="AH43" s="208"/>
      <c r="AI43" s="208" t="s">
        <v>50</v>
      </c>
      <c r="AJ43" s="208" t="s">
        <v>445</v>
      </c>
      <c r="AK43" s="215" t="s">
        <v>187</v>
      </c>
      <c r="AL43" s="207" t="s">
        <v>76</v>
      </c>
    </row>
    <row r="44" spans="1:38" s="216" customFormat="1" ht="13.2" x14ac:dyDescent="0.25">
      <c r="A44" s="206" t="str">
        <f>"AG_"&amp;VLOOKUP($E44,MeasureTypeCode,2,0)&amp;"_"&amp;VLOOKUP($G44,State,2,0)&amp;COUNTIFS($E$3:$E44,$E44,$G$3:$G44,$G44)</f>
        <v>AG_IrrUpg_OR1</v>
      </c>
      <c r="B44" s="207" t="s">
        <v>37</v>
      </c>
      <c r="C44" s="208" t="s">
        <v>34</v>
      </c>
      <c r="D44" s="208" t="s">
        <v>33</v>
      </c>
      <c r="E44" s="208" t="s">
        <v>36</v>
      </c>
      <c r="F44" s="208" t="str">
        <f>[3]M_Input!A48</f>
        <v>Pivot and Linear_Upgrade from high pressure to MESA - Oregon</v>
      </c>
      <c r="G44" s="208" t="s">
        <v>24</v>
      </c>
      <c r="H44" s="207" t="s">
        <v>21</v>
      </c>
      <c r="I44" s="207" t="s">
        <v>171</v>
      </c>
      <c r="J44" s="208" t="str">
        <f>[3]M_Input!B48</f>
        <v>Pump</v>
      </c>
      <c r="K44" s="209">
        <f>INDEX([3]M_Input!C$8:C$87,MATCH($F44,[3]M_Input!$A$8:$A$87,0),1)</f>
        <v>48.375214738608591</v>
      </c>
      <c r="L44" s="210">
        <f>INDEX([3]M_Input!D$8:D$87,MATCH($F44,[3]M_Input!$A$8:$A$87,0),1)</f>
        <v>10</v>
      </c>
      <c r="M44" s="211">
        <f>INDEX([3]M_Input!E$8:E$87,MATCH($F44,[3]M_Input!$A$8:$A$87,0),1)</f>
        <v>29.948384458157715</v>
      </c>
      <c r="N44" s="212">
        <f>INDEX([3]M_Input!F$8:F$87,MATCH($F44,[3]M_Input!$A$8:$A$87,0),1)</f>
        <v>0</v>
      </c>
      <c r="O44" s="208" t="str">
        <f>[3]M_Input!G48</f>
        <v>A-Irr-Irr-Irrigation-All-All-E</v>
      </c>
      <c r="P44" s="208"/>
      <c r="Q44" s="213">
        <f>INDEX([3]!MeasureOutput,MATCH($F44,[3]M_Input_Out!$A$4:$A$83,0),14)</f>
        <v>0</v>
      </c>
      <c r="R44" s="213">
        <f>INDEX([3]!MeasureOutput,MATCH($F44,[3]M_Input_Out!$A$4:$A$83,0),3)</f>
        <v>53.356699364096173</v>
      </c>
      <c r="S44" s="213">
        <f>INDEX([3]!MeasureOutput,MATCH($F44,[3]M_Input_Out!$A$4:$A$83,0),11)</f>
        <v>80.46438200019486</v>
      </c>
      <c r="T44" s="214">
        <f>SUM([3]forRPM!$L43:$AE43)</f>
        <v>0.14151896219248167</v>
      </c>
      <c r="U44" s="214">
        <f>[3]forRPM!AF43</f>
        <v>0.15794899887029368</v>
      </c>
      <c r="V44" s="213">
        <f>INDEX([3]!MeasureOutput,MATCH($F44,[3]M_Input_Out!$A$4:$A$83,0),12)</f>
        <v>0.3403883612673948</v>
      </c>
      <c r="W44" s="214" t="str">
        <f>[3]forRPM!A43</f>
        <v>Retro5Med</v>
      </c>
      <c r="X44" s="208">
        <f>INDEX([3]M_Input!I$8:I$87,MATCH($F44,[3]M_Input!$A$8:$A$87,0),1)</f>
        <v>1.6582412769936674</v>
      </c>
      <c r="Y44" s="208">
        <f>INDEX([3]M_Input!J$8:J$87,MATCH($F44,[3]M_Input!$A$8:$A$87,0),1)</f>
        <v>5</v>
      </c>
      <c r="Z44" s="208"/>
      <c r="AA44" s="208"/>
      <c r="AB44" s="208"/>
      <c r="AC44" s="208"/>
      <c r="AD44" s="208"/>
      <c r="AE44" s="208"/>
      <c r="AF44" s="208"/>
      <c r="AG44" s="208"/>
      <c r="AH44" s="208"/>
      <c r="AI44" s="208" t="s">
        <v>52</v>
      </c>
      <c r="AJ44" s="208" t="s">
        <v>445</v>
      </c>
      <c r="AK44" s="215" t="s">
        <v>187</v>
      </c>
      <c r="AL44" s="207" t="s">
        <v>76</v>
      </c>
    </row>
    <row r="45" spans="1:38" s="216" customFormat="1" ht="13.2" x14ac:dyDescent="0.25">
      <c r="A45" s="206" t="str">
        <f>"AG_"&amp;VLOOKUP($E45,MeasureTypeCode,2,0)&amp;"_"&amp;VLOOKUP($G45,State,2,0)&amp;COUNTIFS($E$3:$E45,$E45,$G$3:$G45,$G45)</f>
        <v>AG_IrrUpg_OR2</v>
      </c>
      <c r="B45" s="207" t="s">
        <v>37</v>
      </c>
      <c r="C45" s="208" t="s">
        <v>34</v>
      </c>
      <c r="D45" s="208" t="s">
        <v>33</v>
      </c>
      <c r="E45" s="208" t="s">
        <v>36</v>
      </c>
      <c r="F45" s="208" t="str">
        <f>[3]M_Input!A49</f>
        <v>Pivot and Linear_Upgrade from MESA to LESA/LEPA/MDI - Oregon</v>
      </c>
      <c r="G45" s="208" t="s">
        <v>24</v>
      </c>
      <c r="H45" s="207" t="s">
        <v>21</v>
      </c>
      <c r="I45" s="207" t="s">
        <v>171</v>
      </c>
      <c r="J45" s="208" t="str">
        <f>[3]M_Input!B49</f>
        <v>Pump</v>
      </c>
      <c r="K45" s="209">
        <f>INDEX([3]M_Input!C$8:C$87,MATCH($F45,[3]M_Input!$A$8:$A$87,0),1)</f>
        <v>82.237865055634487</v>
      </c>
      <c r="L45" s="210">
        <f>INDEX([3]M_Input!D$8:D$87,MATCH($F45,[3]M_Input!$A$8:$A$87,0),1)</f>
        <v>10</v>
      </c>
      <c r="M45" s="211">
        <f>INDEX([3]M_Input!E$8:E$87,MATCH($F45,[3]M_Input!$A$8:$A$87,0),1)</f>
        <v>36.438280264834958</v>
      </c>
      <c r="N45" s="212">
        <f>INDEX([3]M_Input!F$8:F$87,MATCH($F45,[3]M_Input!$A$8:$A$87,0),1)</f>
        <v>0</v>
      </c>
      <c r="O45" s="208" t="str">
        <f>[3]M_Input!G49</f>
        <v>A-Irr-Irr-Irrigation-All-All-E</v>
      </c>
      <c r="P45" s="208"/>
      <c r="Q45" s="213">
        <f>INDEX([3]!MeasureOutput,MATCH($F45,[3]M_Input_Out!$A$4:$A$83,0),14)</f>
        <v>0</v>
      </c>
      <c r="R45" s="213">
        <f>INDEX([3]!MeasureOutput,MATCH($F45,[3]M_Input_Out!$A$4:$A$83,0),3)</f>
        <v>90.70638891896337</v>
      </c>
      <c r="S45" s="213">
        <f>INDEX([3]!MeasureOutput,MATCH($F45,[3]M_Input_Out!$A$4:$A$83,0),11)</f>
        <v>58.151356931940796</v>
      </c>
      <c r="T45" s="214">
        <f>SUM([3]forRPM!$L44:$AE44)</f>
        <v>0.59969506859308452</v>
      </c>
      <c r="U45" s="214">
        <f>[3]forRPM!AF44</f>
        <v>0.59463207902567161</v>
      </c>
      <c r="V45" s="213">
        <f>INDEX([3]!MeasureOutput,MATCH($F45,[3]M_Input_Out!$A$4:$A$83,0),12)</f>
        <v>0.46471312078109228</v>
      </c>
      <c r="W45" s="214" t="str">
        <f>[3]forRPM!A44</f>
        <v>Retro1Slow</v>
      </c>
      <c r="X45" s="208">
        <f>INDEX([3]M_Input!I$8:I$87,MATCH($F45,[3]M_Input!$A$8:$A$87,0),1)</f>
        <v>3.3164825539873348</v>
      </c>
      <c r="Y45" s="208">
        <f>INDEX([3]M_Input!J$8:J$87,MATCH($F45,[3]M_Input!$A$8:$A$87,0),1)</f>
        <v>5</v>
      </c>
      <c r="Z45" s="208"/>
      <c r="AA45" s="208"/>
      <c r="AB45" s="208"/>
      <c r="AC45" s="208"/>
      <c r="AD45" s="208"/>
      <c r="AE45" s="208"/>
      <c r="AF45" s="208"/>
      <c r="AG45" s="208"/>
      <c r="AH45" s="208"/>
      <c r="AI45" s="208" t="s">
        <v>53</v>
      </c>
      <c r="AJ45" s="208" t="s">
        <v>445</v>
      </c>
      <c r="AK45" s="215" t="s">
        <v>187</v>
      </c>
      <c r="AL45" s="207" t="s">
        <v>76</v>
      </c>
    </row>
    <row r="46" spans="1:38" s="45" customFormat="1" ht="13.2" x14ac:dyDescent="0.25">
      <c r="A46" s="158" t="str">
        <f>"AG_"&amp;VLOOKUP($E46,MeasureTypeCode,2,0)&amp;"_"&amp;VLOOKUP($G46,State,2,0)&amp;COUNTIFS($E$3:$E46,$E46,$G$3:$G46,$G46)</f>
        <v>AG_IrrSprnklr_MT1</v>
      </c>
      <c r="B46" s="7" t="s">
        <v>479</v>
      </c>
      <c r="C46" s="8" t="s">
        <v>34</v>
      </c>
      <c r="D46" s="8" t="s">
        <v>33</v>
      </c>
      <c r="E46" s="8" t="s">
        <v>26</v>
      </c>
      <c r="F46" s="8" t="str">
        <f>[3]M_Input!A50</f>
        <v>Wheel and Hand_Rebuilt or new impact sprinkler - Montana</v>
      </c>
      <c r="G46" s="8" t="s">
        <v>25</v>
      </c>
      <c r="H46" s="7" t="s">
        <v>21</v>
      </c>
      <c r="I46" s="7" t="s">
        <v>171</v>
      </c>
      <c r="J46" s="8" t="str">
        <f>[3]M_Input!B50</f>
        <v>Pump</v>
      </c>
      <c r="K46" s="12">
        <f>INDEX([3]M_Input!C$8:C$87,MATCH($F46,[3]M_Input!$A$8:$A$87,0),1)</f>
        <v>2.4151140587837192</v>
      </c>
      <c r="L46" s="14">
        <f>INDEX([3]M_Input!D$8:D$87,MATCH($F46,[3]M_Input!$A$8:$A$87,0),1)</f>
        <v>4</v>
      </c>
      <c r="M46" s="9">
        <f>INDEX([3]M_Input!E$8:E$87,MATCH($F46,[3]M_Input!$A$8:$A$87,0),1)</f>
        <v>25.065699750603557</v>
      </c>
      <c r="N46" s="10">
        <f>INDEX([3]M_Input!F$8:F$87,MATCH($F46,[3]M_Input!$A$8:$A$87,0),1)</f>
        <v>-3.7229540426909793</v>
      </c>
      <c r="O46" s="8" t="str">
        <f>[3]M_Input!G50</f>
        <v>A-Irr-Irr-Irrigation-All-All-E</v>
      </c>
      <c r="P46" s="8"/>
      <c r="Q46" s="178">
        <f>INDEX([3]!MeasureOutput,MATCH($F46,[3]M_Input_Out!$A$4:$A$83,0),14)</f>
        <v>0</v>
      </c>
      <c r="R46" s="178">
        <f>INDEX([3]!MeasureOutput,MATCH($F46,[3]M_Input_Out!$A$4:$A$83,0),3)</f>
        <v>2.6638127698413903</v>
      </c>
      <c r="S46" s="178">
        <f>INDEX([3]!MeasureOutput,MATCH($F46,[3]M_Input_Out!$A$4:$A$83,0),11)</f>
        <v>1629.9618610322404</v>
      </c>
      <c r="T46" s="13">
        <f>SUM([3]forRPM!$L45:$AE45)</f>
        <v>3.3718318104975285E-3</v>
      </c>
      <c r="U46" s="13">
        <f>[3]forRPM!AF45</f>
        <v>3.2506081769272054E-3</v>
      </c>
      <c r="V46" s="178">
        <f>INDEX([3]!MeasureOutput,MATCH($F46,[3]M_Input_Out!$A$4:$A$83,0),12)</f>
        <v>0.46817403173513056</v>
      </c>
      <c r="W46" s="170" t="str">
        <f>[3]forRPM!A45</f>
        <v>RetroEven20</v>
      </c>
      <c r="X46" s="8">
        <f>INDEX([3]M_Input!I$8:I$87,MATCH($F46,[3]M_Input!$A$8:$A$87,0),1)</f>
        <v>0</v>
      </c>
      <c r="Y46" s="8">
        <f>INDEX([3]M_Input!J$8:J$87,MATCH($F46,[3]M_Input!$A$8:$A$87,0),1)</f>
        <v>0</v>
      </c>
      <c r="Z46" s="8"/>
      <c r="AA46" s="8"/>
      <c r="AB46" s="8"/>
      <c r="AC46" s="8"/>
      <c r="AD46" s="8"/>
      <c r="AE46" s="8"/>
      <c r="AF46" s="8"/>
      <c r="AG46" s="8"/>
      <c r="AH46" s="8"/>
      <c r="AI46" s="8" t="s">
        <v>40</v>
      </c>
      <c r="AJ46" s="8" t="s">
        <v>445</v>
      </c>
      <c r="AK46" s="15" t="s">
        <v>187</v>
      </c>
      <c r="AL46" s="7" t="s">
        <v>66</v>
      </c>
    </row>
    <row r="47" spans="1:38" s="45" customFormat="1" ht="13.2" x14ac:dyDescent="0.25">
      <c r="A47" s="158" t="str">
        <f>"AG_"&amp;VLOOKUP($E47,MeasureTypeCode,2,0)&amp;"_"&amp;VLOOKUP($G47,State,2,0)&amp;COUNTIFS($E$3:$E47,$E47,$G$3:$G47,$G47)</f>
        <v>AG_IrrGskt_MT1</v>
      </c>
      <c r="B47" s="7" t="s">
        <v>479</v>
      </c>
      <c r="C47" s="8" t="s">
        <v>34</v>
      </c>
      <c r="D47" s="8" t="s">
        <v>33</v>
      </c>
      <c r="E47" s="8" t="s">
        <v>27</v>
      </c>
      <c r="F47" s="8" t="str">
        <f>[3]M_Input!A51</f>
        <v>Wheel and Hand_Gaskets - Montana</v>
      </c>
      <c r="G47" s="8" t="s">
        <v>25</v>
      </c>
      <c r="H47" s="7" t="s">
        <v>21</v>
      </c>
      <c r="I47" s="7" t="s">
        <v>171</v>
      </c>
      <c r="J47" s="8" t="str">
        <f>[3]M_Input!B51</f>
        <v>Pump</v>
      </c>
      <c r="K47" s="12">
        <f>INDEX([3]M_Input!C$8:C$87,MATCH($F47,[3]M_Input!$A$8:$A$87,0),1)</f>
        <v>11.832704890480352</v>
      </c>
      <c r="L47" s="14">
        <f>INDEX([3]M_Input!D$8:D$87,MATCH($F47,[3]M_Input!$A$8:$A$87,0),1)</f>
        <v>5</v>
      </c>
      <c r="M47" s="9">
        <f>INDEX([3]M_Input!E$8:E$87,MATCH($F47,[3]M_Input!$A$8:$A$87,0),1)</f>
        <v>6.9373406404505005</v>
      </c>
      <c r="N47" s="10">
        <f>INDEX([3]M_Input!F$8:F$87,MATCH($F47,[3]M_Input!$A$8:$A$87,0),1)</f>
        <v>-0.85531127870097634</v>
      </c>
      <c r="O47" s="8" t="str">
        <f>[3]M_Input!G51</f>
        <v>A-Irr-Irr-Irrigation-All-All-E</v>
      </c>
      <c r="P47" s="8"/>
      <c r="Q47" s="178">
        <f>INDEX([3]!MeasureOutput,MATCH($F47,[3]M_Input_Out!$A$4:$A$83,0),14)</f>
        <v>0</v>
      </c>
      <c r="R47" s="178">
        <f>INDEX([3]!MeasureOutput,MATCH($F47,[3]M_Input_Out!$A$4:$A$83,0),3)</f>
        <v>13.051189145451847</v>
      </c>
      <c r="S47" s="178">
        <f>INDEX([3]!MeasureOutput,MATCH($F47,[3]M_Input_Out!$A$4:$A$83,0),11)</f>
        <v>70.951891650679499</v>
      </c>
      <c r="T47" s="13">
        <f>SUM([3]forRPM!$L46:$AE46)</f>
        <v>1.6520085504385829E-2</v>
      </c>
      <c r="U47" s="13">
        <f>[3]forRPM!AF46</f>
        <v>1.5926157662107539E-2</v>
      </c>
      <c r="V47" s="178">
        <f>INDEX([3]!MeasureOutput,MATCH($F47,[3]M_Input_Out!$A$4:$A$83,0),12)</f>
        <v>0.63664050156638241</v>
      </c>
      <c r="W47" s="170" t="str">
        <f>[3]forRPM!A46</f>
        <v>RetroEven20</v>
      </c>
      <c r="X47" s="8">
        <f>INDEX([3]M_Input!I$8:I$87,MATCH($F47,[3]M_Input!$A$8:$A$87,0),1)</f>
        <v>0</v>
      </c>
      <c r="Y47" s="8">
        <f>INDEX([3]M_Input!J$8:J$87,MATCH($F47,[3]M_Input!$A$8:$A$87,0),1)</f>
        <v>0</v>
      </c>
      <c r="Z47" s="8"/>
      <c r="AA47" s="8"/>
      <c r="AB47" s="8"/>
      <c r="AC47" s="8"/>
      <c r="AD47" s="8"/>
      <c r="AE47" s="8"/>
      <c r="AF47" s="8"/>
      <c r="AG47" s="8"/>
      <c r="AH47" s="8"/>
      <c r="AI47" s="8" t="s">
        <v>44</v>
      </c>
      <c r="AJ47" s="8" t="s">
        <v>445</v>
      </c>
      <c r="AK47" s="15" t="s">
        <v>187</v>
      </c>
      <c r="AL47" s="7" t="s">
        <v>66</v>
      </c>
    </row>
    <row r="48" spans="1:38" s="45" customFormat="1" ht="13.2" x14ac:dyDescent="0.25">
      <c r="A48" s="158" t="str">
        <f>"AG_"&amp;VLOOKUP($E48,MeasureTypeCode,2,0)&amp;"_"&amp;VLOOKUP($G48,State,2,0)&amp;COUNTIFS($E$3:$E48,$E48,$G$3:$G48,$G48)</f>
        <v>AG_IrrDrn_MT1</v>
      </c>
      <c r="B48" s="7" t="s">
        <v>479</v>
      </c>
      <c r="C48" s="8" t="s">
        <v>34</v>
      </c>
      <c r="D48" s="8" t="s">
        <v>33</v>
      </c>
      <c r="E48" s="8" t="s">
        <v>28</v>
      </c>
      <c r="F48" s="8" t="str">
        <f>[3]M_Input!A52</f>
        <v>Wheel and Hand_Drains - Montana</v>
      </c>
      <c r="G48" s="8" t="s">
        <v>25</v>
      </c>
      <c r="H48" s="7" t="s">
        <v>21</v>
      </c>
      <c r="I48" s="7" t="s">
        <v>171</v>
      </c>
      <c r="J48" s="8" t="str">
        <f>[3]M_Input!B52</f>
        <v>Pump</v>
      </c>
      <c r="K48" s="12">
        <f>INDEX([3]M_Input!C$8:C$87,MATCH($F48,[3]M_Input!$A$8:$A$87,0),1)</f>
        <v>7.6933350651957131</v>
      </c>
      <c r="L48" s="14">
        <f>INDEX([3]M_Input!D$8:D$87,MATCH($F48,[3]M_Input!$A$8:$A$87,0),1)</f>
        <v>5</v>
      </c>
      <c r="M48" s="9">
        <f>INDEX([3]M_Input!E$8:E$87,MATCH($F48,[3]M_Input!$A$8:$A$87,0),1)</f>
        <v>9.9983998095375899</v>
      </c>
      <c r="N48" s="10">
        <f>INDEX([3]M_Input!F$8:F$87,MATCH($F48,[3]M_Input!$A$8:$A$87,0),1)</f>
        <v>-1.2327121543081467</v>
      </c>
      <c r="O48" s="8" t="str">
        <f>[3]M_Input!G52</f>
        <v>A-Irr-Irr-Irrigation-All-All-E</v>
      </c>
      <c r="P48" s="8"/>
      <c r="Q48" s="178">
        <f>INDEX([3]!MeasureOutput,MATCH($F48,[3]M_Input_Out!$A$4:$A$83,0),14)</f>
        <v>0</v>
      </c>
      <c r="R48" s="178">
        <f>INDEX([3]!MeasureOutput,MATCH($F48,[3]M_Input_Out!$A$4:$A$83,0),3)</f>
        <v>8.4855637003155504</v>
      </c>
      <c r="S48" s="178">
        <f>INDEX([3]!MeasureOutput,MATCH($F48,[3]M_Input_Out!$A$4:$A$83,0),11)</f>
        <v>160.85540857904277</v>
      </c>
      <c r="T48" s="13">
        <f>SUM([3]forRPM!$L47:$AE47)</f>
        <v>1.0740955197249361E-2</v>
      </c>
      <c r="U48" s="13">
        <f>[3]forRPM!AF47</f>
        <v>1.0354797853050603E-2</v>
      </c>
      <c r="V48" s="178">
        <f>INDEX([3]!MeasureOutput,MATCH($F48,[3]M_Input_Out!$A$4:$A$83,0),12)</f>
        <v>0.54519465686511026</v>
      </c>
      <c r="W48" s="170" t="str">
        <f>[3]forRPM!A47</f>
        <v>RetroEven20</v>
      </c>
      <c r="X48" s="8">
        <f>INDEX([3]M_Input!I$8:I$87,MATCH($F48,[3]M_Input!$A$8:$A$87,0),1)</f>
        <v>0</v>
      </c>
      <c r="Y48" s="8">
        <f>INDEX([3]M_Input!J$8:J$87,MATCH($F48,[3]M_Input!$A$8:$A$87,0),1)</f>
        <v>0</v>
      </c>
      <c r="Z48" s="8"/>
      <c r="AA48" s="8"/>
      <c r="AB48" s="8"/>
      <c r="AC48" s="8"/>
      <c r="AD48" s="8"/>
      <c r="AE48" s="8"/>
      <c r="AF48" s="8"/>
      <c r="AG48" s="8"/>
      <c r="AH48" s="8"/>
      <c r="AI48" s="8" t="s">
        <v>45</v>
      </c>
      <c r="AJ48" s="8" t="s">
        <v>445</v>
      </c>
      <c r="AK48" s="15" t="s">
        <v>187</v>
      </c>
      <c r="AL48" s="7" t="s">
        <v>66</v>
      </c>
    </row>
    <row r="49" spans="1:38" s="45" customFormat="1" ht="13.2" x14ac:dyDescent="0.25">
      <c r="A49" s="158" t="str">
        <f>"AG_"&amp;VLOOKUP($E49,MeasureTypeCode,2,0)&amp;"_"&amp;VLOOKUP($G49,State,2,0)&amp;COUNTIFS($E$3:$E49,$E49,$G$3:$G49,$G49)</f>
        <v>AG_IrrRpr_MT1</v>
      </c>
      <c r="B49" s="7" t="s">
        <v>479</v>
      </c>
      <c r="C49" s="8" t="s">
        <v>34</v>
      </c>
      <c r="D49" s="8" t="s">
        <v>33</v>
      </c>
      <c r="E49" s="8" t="s">
        <v>29</v>
      </c>
      <c r="F49" s="8" t="str">
        <f>[3]M_Input!A53</f>
        <v>Wheel and Hand_Cut and press repair - Montana</v>
      </c>
      <c r="G49" s="8" t="s">
        <v>25</v>
      </c>
      <c r="H49" s="7" t="s">
        <v>21</v>
      </c>
      <c r="I49" s="7" t="s">
        <v>171</v>
      </c>
      <c r="J49" s="8" t="str">
        <f>[3]M_Input!B53</f>
        <v>Pump</v>
      </c>
      <c r="K49" s="12">
        <f>INDEX([3]M_Input!C$8:C$87,MATCH($F49,[3]M_Input!$A$8:$A$87,0),1)</f>
        <v>34.017628820468076</v>
      </c>
      <c r="L49" s="14">
        <f>INDEX([3]M_Input!D$8:D$87,MATCH($F49,[3]M_Input!$A$8:$A$87,0),1)</f>
        <v>8</v>
      </c>
      <c r="M49" s="9">
        <f>INDEX([3]M_Input!E$8:E$87,MATCH($F49,[3]M_Input!$A$8:$A$87,0),1)</f>
        <v>30.388468755978995</v>
      </c>
      <c r="N49" s="10">
        <f>INDEX([3]M_Input!F$8:F$87,MATCH($F49,[3]M_Input!$A$8:$A$87,0),1)</f>
        <v>-2.6079383649944781</v>
      </c>
      <c r="O49" s="8" t="str">
        <f>[3]M_Input!G53</f>
        <v>A-Irr-Irr-Irrigation-All-All-E</v>
      </c>
      <c r="P49" s="8"/>
      <c r="Q49" s="178">
        <f>INDEX([3]!MeasureOutput,MATCH($F49,[3]M_Input_Out!$A$4:$A$83,0),14)</f>
        <v>0</v>
      </c>
      <c r="R49" s="178">
        <f>INDEX([3]!MeasureOutput,MATCH($F49,[3]M_Input_Out!$A$4:$A$83,0),3)</f>
        <v>37.520627119914572</v>
      </c>
      <c r="S49" s="178">
        <f>INDEX([3]!MeasureOutput,MATCH($F49,[3]M_Input_Out!$A$4:$A$83,0),11)</f>
        <v>67.55996989882523</v>
      </c>
      <c r="T49" s="13">
        <f>SUM([3]forRPM!$L48:$AE48)</f>
        <v>4.7493294388057591E-2</v>
      </c>
      <c r="U49" s="13">
        <f>[3]forRPM!AF48</f>
        <v>4.5785821999304047E-2</v>
      </c>
      <c r="V49" s="178">
        <f>INDEX([3]!MeasureOutput,MATCH($F49,[3]M_Input_Out!$A$4:$A$83,0),12)</f>
        <v>0.68817928661088512</v>
      </c>
      <c r="W49" s="170" t="str">
        <f>[3]forRPM!A48</f>
        <v>RetroEven20</v>
      </c>
      <c r="X49" s="8">
        <f>INDEX([3]M_Input!I$8:I$87,MATCH($F49,[3]M_Input!$A$8:$A$87,0),1)</f>
        <v>0</v>
      </c>
      <c r="Y49" s="8">
        <f>INDEX([3]M_Input!J$8:J$87,MATCH($F49,[3]M_Input!$A$8:$A$87,0),1)</f>
        <v>0</v>
      </c>
      <c r="Z49" s="8"/>
      <c r="AA49" s="8"/>
      <c r="AB49" s="8"/>
      <c r="AC49" s="8"/>
      <c r="AD49" s="8"/>
      <c r="AE49" s="8"/>
      <c r="AF49" s="8"/>
      <c r="AG49" s="8"/>
      <c r="AH49" s="8"/>
      <c r="AI49" s="8" t="s">
        <v>41</v>
      </c>
      <c r="AJ49" s="8" t="s">
        <v>445</v>
      </c>
      <c r="AK49" s="15" t="s">
        <v>187</v>
      </c>
      <c r="AL49" s="7" t="s">
        <v>66</v>
      </c>
    </row>
    <row r="50" spans="1:38" s="45" customFormat="1" ht="13.2" x14ac:dyDescent="0.25">
      <c r="A50" s="158" t="str">
        <f>"AG_"&amp;VLOOKUP($E50,MeasureTypeCode,2,0)&amp;"_"&amp;VLOOKUP($G50,State,2,0)&amp;COUNTIFS($E$3:$E50,$E50,$G$3:$G50,$G50)</f>
        <v>AG_IrrHub_MT1</v>
      </c>
      <c r="B50" s="7" t="s">
        <v>479</v>
      </c>
      <c r="C50" s="8" t="s">
        <v>34</v>
      </c>
      <c r="D50" s="8" t="s">
        <v>33</v>
      </c>
      <c r="E50" s="8" t="s">
        <v>30</v>
      </c>
      <c r="F50" s="8" t="str">
        <f>[3]M_Input!A54</f>
        <v>Wheel and Hand_Hub gasket - Montana</v>
      </c>
      <c r="G50" s="8" t="s">
        <v>25</v>
      </c>
      <c r="H50" s="7" t="s">
        <v>21</v>
      </c>
      <c r="I50" s="7" t="s">
        <v>171</v>
      </c>
      <c r="J50" s="8" t="str">
        <f>[3]M_Input!B54</f>
        <v>Pump</v>
      </c>
      <c r="K50" s="12">
        <f>INDEX([3]M_Input!C$8:C$87,MATCH($F50,[3]M_Input!$A$8:$A$87,0),1)</f>
        <v>38.934064531635613</v>
      </c>
      <c r="L50" s="14">
        <f>INDEX([3]M_Input!D$8:D$87,MATCH($F50,[3]M_Input!$A$8:$A$87,0),1)</f>
        <v>10</v>
      </c>
      <c r="M50" s="9">
        <f>INDEX([3]M_Input!E$8:E$87,MATCH($F50,[3]M_Input!$A$8:$A$87,0),1)</f>
        <v>28.461673476483401</v>
      </c>
      <c r="N50" s="10">
        <f>INDEX([3]M_Input!F$8:F$87,MATCH($F50,[3]M_Input!$A$8:$A$87,0),1)</f>
        <v>-2.0942597516815611</v>
      </c>
      <c r="O50" s="8" t="str">
        <f>[3]M_Input!G54</f>
        <v>A-Irr-Irr-Irrigation-All-All-E</v>
      </c>
      <c r="P50" s="8"/>
      <c r="Q50" s="178">
        <f>INDEX([3]!MeasureOutput,MATCH($F50,[3]M_Input_Out!$A$4:$A$83,0),14)</f>
        <v>0</v>
      </c>
      <c r="R50" s="178">
        <f>INDEX([3]!MeasureOutput,MATCH($F50,[3]M_Input_Out!$A$4:$A$83,0),3)</f>
        <v>42.943337563705313</v>
      </c>
      <c r="S50" s="178">
        <f>INDEX([3]!MeasureOutput,MATCH($F50,[3]M_Input_Out!$A$4:$A$83,0),11)</f>
        <v>43.19336748223941</v>
      </c>
      <c r="T50" s="13">
        <f>SUM([3]forRPM!$L49:$AE49)</f>
        <v>1.35893289203333E-2</v>
      </c>
      <c r="U50" s="13">
        <f>[3]forRPM!AF49</f>
        <v>1.3100767235739072E-2</v>
      </c>
      <c r="V50" s="178">
        <f>INDEX([3]!MeasureOutput,MATCH($F50,[3]M_Input_Out!$A$4:$A$83,0),12)</f>
        <v>0.81303625049807393</v>
      </c>
      <c r="W50" s="170" t="str">
        <f>[3]forRPM!A49</f>
        <v>RetroEven20</v>
      </c>
      <c r="X50" s="8">
        <f>INDEX([3]M_Input!I$8:I$87,MATCH($F50,[3]M_Input!$A$8:$A$87,0),1)</f>
        <v>0</v>
      </c>
      <c r="Y50" s="8">
        <f>INDEX([3]M_Input!J$8:J$87,MATCH($F50,[3]M_Input!$A$8:$A$87,0),1)</f>
        <v>0</v>
      </c>
      <c r="Z50" s="8"/>
      <c r="AA50" s="8"/>
      <c r="AB50" s="8"/>
      <c r="AC50" s="8"/>
      <c r="AD50" s="8"/>
      <c r="AE50" s="8"/>
      <c r="AF50" s="8"/>
      <c r="AG50" s="8"/>
      <c r="AH50" s="8"/>
      <c r="AI50" s="8" t="s">
        <v>46</v>
      </c>
      <c r="AJ50" s="8" t="s">
        <v>445</v>
      </c>
      <c r="AK50" s="15" t="s">
        <v>187</v>
      </c>
      <c r="AL50" s="7" t="s">
        <v>66</v>
      </c>
    </row>
    <row r="51" spans="1:38" s="45" customFormat="1" ht="13.2" x14ac:dyDescent="0.25">
      <c r="A51" s="158" t="str">
        <f>"AG_"&amp;VLOOKUP($E51,MeasureTypeCode,2,0)&amp;"_"&amp;VLOOKUP($G51,State,2,0)&amp;COUNTIFS($E$3:$E51,$E51,$G$3:$G51,$G51)</f>
        <v>AG_IrrLvlr_MT1</v>
      </c>
      <c r="B51" s="7" t="s">
        <v>479</v>
      </c>
      <c r="C51" s="8" t="s">
        <v>34</v>
      </c>
      <c r="D51" s="8" t="s">
        <v>33</v>
      </c>
      <c r="E51" s="8" t="s">
        <v>31</v>
      </c>
      <c r="F51" s="8" t="str">
        <f>[3]M_Input!A55</f>
        <v>Wheel and Hand_Levelers - Montana</v>
      </c>
      <c r="G51" s="8" t="s">
        <v>25</v>
      </c>
      <c r="H51" s="7" t="s">
        <v>21</v>
      </c>
      <c r="I51" s="7" t="s">
        <v>171</v>
      </c>
      <c r="J51" s="8" t="str">
        <f>[3]M_Input!B55</f>
        <v>Pump</v>
      </c>
      <c r="K51" s="12">
        <f>INDEX([3]M_Input!C$8:C$87,MATCH($F51,[3]M_Input!$A$8:$A$87,0),1)</f>
        <v>3.3266834253321607</v>
      </c>
      <c r="L51" s="14">
        <f>INDEX([3]M_Input!D$8:D$87,MATCH($F51,[3]M_Input!$A$8:$A$87,0),1)</f>
        <v>5</v>
      </c>
      <c r="M51" s="9">
        <f>INDEX([3]M_Input!E$8:E$87,MATCH($F51,[3]M_Input!$A$8:$A$87,0),1)</f>
        <v>12.845511625508943</v>
      </c>
      <c r="N51" s="10">
        <f>INDEX([3]M_Input!F$8:F$87,MATCH($F51,[3]M_Input!$A$8:$A$87,0),1)</f>
        <v>-1.5837352587127447</v>
      </c>
      <c r="O51" s="8" t="str">
        <f>[3]M_Input!G55</f>
        <v>A-Irr-Irr-Irrigation-All-All-E</v>
      </c>
      <c r="P51" s="8"/>
      <c r="Q51" s="178">
        <f>INDEX([3]!MeasureOutput,MATCH($F51,[3]M_Input_Out!$A$4:$A$83,0),14)</f>
        <v>0</v>
      </c>
      <c r="R51" s="178">
        <f>INDEX([3]!MeasureOutput,MATCH($F51,[3]M_Input_Out!$A$4:$A$83,0),3)</f>
        <v>3.6692518754506973</v>
      </c>
      <c r="S51" s="178">
        <f>INDEX([3]!MeasureOutput,MATCH($F51,[3]M_Input_Out!$A$4:$A$83,0),11)</f>
        <v>483.71899413816243</v>
      </c>
      <c r="T51" s="13">
        <f>SUM([3]forRPM!$L50:$AE50)</f>
        <v>4.6445081780687779E-3</v>
      </c>
      <c r="U51" s="13">
        <f>[3]forRPM!AF50</f>
        <v>4.4775294587448434E-3</v>
      </c>
      <c r="V51" s="178">
        <f>INDEX([3]!MeasureOutput,MATCH($F51,[3]M_Input_Out!$A$4:$A$83,0),12)</f>
        <v>0.495332000091811</v>
      </c>
      <c r="W51" s="170" t="str">
        <f>[3]forRPM!A50</f>
        <v>RetroEven20</v>
      </c>
      <c r="X51" s="8">
        <f>INDEX([3]M_Input!I$8:I$87,MATCH($F51,[3]M_Input!$A$8:$A$87,0),1)</f>
        <v>0</v>
      </c>
      <c r="Y51" s="8">
        <f>INDEX([3]M_Input!J$8:J$87,MATCH($F51,[3]M_Input!$A$8:$A$87,0),1)</f>
        <v>0</v>
      </c>
      <c r="Z51" s="8"/>
      <c r="AA51" s="8"/>
      <c r="AB51" s="8"/>
      <c r="AC51" s="8"/>
      <c r="AD51" s="8"/>
      <c r="AE51" s="8"/>
      <c r="AF51" s="8"/>
      <c r="AG51" s="8"/>
      <c r="AH51" s="8"/>
      <c r="AI51" s="8" t="s">
        <v>42</v>
      </c>
      <c r="AJ51" s="8" t="s">
        <v>445</v>
      </c>
      <c r="AK51" s="15" t="s">
        <v>187</v>
      </c>
      <c r="AL51" s="7" t="s">
        <v>66</v>
      </c>
    </row>
    <row r="52" spans="1:38" s="45" customFormat="1" ht="13.2" x14ac:dyDescent="0.25">
      <c r="A52" s="158" t="str">
        <f>"AG_"&amp;VLOOKUP($E52,MeasureTypeCode,2,0)&amp;"_"&amp;VLOOKUP($G52,State,2,0)&amp;COUNTIFS($E$3:$E52,$E52,$G$3:$G52,$G52)</f>
        <v>AG_IrrGskt_MT2</v>
      </c>
      <c r="B52" s="7" t="s">
        <v>479</v>
      </c>
      <c r="C52" s="8" t="s">
        <v>34</v>
      </c>
      <c r="D52" s="8" t="s">
        <v>33</v>
      </c>
      <c r="E52" s="8" t="s">
        <v>27</v>
      </c>
      <c r="F52" s="8" t="str">
        <f>[3]M_Input!A56</f>
        <v>Pivot and Linear_Base boot gasket - Montana</v>
      </c>
      <c r="G52" s="8" t="s">
        <v>25</v>
      </c>
      <c r="H52" s="7" t="s">
        <v>21</v>
      </c>
      <c r="I52" s="7" t="s">
        <v>171</v>
      </c>
      <c r="J52" s="8" t="str">
        <f>[3]M_Input!B56</f>
        <v>Pump</v>
      </c>
      <c r="K52" s="12">
        <f>INDEX([3]M_Input!C$8:C$87,MATCH($F52,[3]M_Input!$A$8:$A$87,0),1)</f>
        <v>6.9254757542047294</v>
      </c>
      <c r="L52" s="14">
        <f>INDEX([3]M_Input!D$8:D$87,MATCH($F52,[3]M_Input!$A$8:$A$87,0),1)</f>
        <v>8</v>
      </c>
      <c r="M52" s="9">
        <f>INDEX([3]M_Input!E$8:E$87,MATCH($F52,[3]M_Input!$A$8:$A$87,0),1)</f>
        <v>2.4405750787636538</v>
      </c>
      <c r="N52" s="10">
        <f>INDEX([3]M_Input!F$8:F$87,MATCH($F52,[3]M_Input!$A$8:$A$87,0),1)</f>
        <v>0</v>
      </c>
      <c r="O52" s="8" t="str">
        <f>[3]M_Input!G56</f>
        <v>A-Irr-Irr-Irrigation-All-All-E</v>
      </c>
      <c r="P52" s="8"/>
      <c r="Q52" s="178">
        <f>INDEX([3]!MeasureOutput,MATCH($F52,[3]M_Input_Out!$A$4:$A$83,0),14)</f>
        <v>0</v>
      </c>
      <c r="R52" s="178">
        <f>INDEX([3]!MeasureOutput,MATCH($F52,[3]M_Input_Out!$A$4:$A$83,0),3)</f>
        <v>7.6386333325260072</v>
      </c>
      <c r="S52" s="178">
        <f>INDEX([3]!MeasureOutput,MATCH($F52,[3]M_Input_Out!$A$4:$A$83,0),11)</f>
        <v>52.292110122552494</v>
      </c>
      <c r="T52" s="13">
        <f>SUM([3]forRPM!$L51:$AE51)</f>
        <v>2.9095904378033034E-2</v>
      </c>
      <c r="U52" s="13">
        <f>[3]forRPM!AF51</f>
        <v>2.8049852424985176E-2</v>
      </c>
      <c r="V52" s="178">
        <f>INDEX([3]!MeasureOutput,MATCH($F52,[3]M_Input_Out!$A$4:$A$83,0),12)</f>
        <v>0.48599699601433505</v>
      </c>
      <c r="W52" s="170" t="str">
        <f>[3]forRPM!A51</f>
        <v>RetroEven20</v>
      </c>
      <c r="X52" s="8">
        <f>INDEX([3]M_Input!I$8:I$87,MATCH($F52,[3]M_Input!$A$8:$A$87,0),1)</f>
        <v>0</v>
      </c>
      <c r="Y52" s="8">
        <f>INDEX([3]M_Input!J$8:J$87,MATCH($F52,[3]M_Input!$A$8:$A$87,0),1)</f>
        <v>0</v>
      </c>
      <c r="Z52" s="8"/>
      <c r="AA52" s="8"/>
      <c r="AB52" s="8"/>
      <c r="AC52" s="8"/>
      <c r="AD52" s="8"/>
      <c r="AE52" s="8"/>
      <c r="AF52" s="8"/>
      <c r="AG52" s="8"/>
      <c r="AH52" s="8"/>
      <c r="AI52" s="8" t="s">
        <v>47</v>
      </c>
      <c r="AJ52" s="8" t="s">
        <v>445</v>
      </c>
      <c r="AK52" s="15" t="s">
        <v>187</v>
      </c>
      <c r="AL52" s="7" t="s">
        <v>66</v>
      </c>
    </row>
    <row r="53" spans="1:38" s="45" customFormat="1" ht="13.2" x14ac:dyDescent="0.25">
      <c r="A53" s="158" t="str">
        <f>"AG_"&amp;VLOOKUP($E53,MeasureTypeCode,2,0)&amp;"_"&amp;VLOOKUP($G53,State,2,0)&amp;COUNTIFS($E$3:$E53,$E53,$G$3:$G53,$G53)</f>
        <v>AG_IrrGskt_MT3</v>
      </c>
      <c r="B53" s="7" t="s">
        <v>479</v>
      </c>
      <c r="C53" s="8" t="s">
        <v>34</v>
      </c>
      <c r="D53" s="8" t="s">
        <v>33</v>
      </c>
      <c r="E53" s="8" t="s">
        <v>27</v>
      </c>
      <c r="F53" s="8" t="str">
        <f>[3]M_Input!A57</f>
        <v>Pivot and Linear_Tower gasket - Montana</v>
      </c>
      <c r="G53" s="8" t="s">
        <v>25</v>
      </c>
      <c r="H53" s="7" t="s">
        <v>21</v>
      </c>
      <c r="I53" s="7" t="s">
        <v>171</v>
      </c>
      <c r="J53" s="8" t="str">
        <f>[3]M_Input!B57</f>
        <v>Pump</v>
      </c>
      <c r="K53" s="12">
        <f>INDEX([3]M_Input!C$8:C$87,MATCH($F53,[3]M_Input!$A$8:$A$87,0),1)</f>
        <v>0.21161175915625555</v>
      </c>
      <c r="L53" s="14">
        <f>INDEX([3]M_Input!D$8:D$87,MATCH($F53,[3]M_Input!$A$8:$A$87,0),1)</f>
        <v>8</v>
      </c>
      <c r="M53" s="9">
        <f>INDEX([3]M_Input!E$8:E$87,MATCH($F53,[3]M_Input!$A$8:$A$87,0),1)</f>
        <v>5.2419313748037162</v>
      </c>
      <c r="N53" s="10">
        <f>INDEX([3]M_Input!F$8:F$87,MATCH($F53,[3]M_Input!$A$8:$A$87,0),1)</f>
        <v>-0.44986254650718882</v>
      </c>
      <c r="O53" s="8" t="str">
        <f>[3]M_Input!G57</f>
        <v>A-Irr-Irr-Irrigation-All-All-E</v>
      </c>
      <c r="P53" s="8"/>
      <c r="Q53" s="178">
        <f>INDEX([3]!MeasureOutput,MATCH($F53,[3]M_Input_Out!$A$4:$A$83,0),14)</f>
        <v>0</v>
      </c>
      <c r="R53" s="178">
        <f>INDEX([3]!MeasureOutput,MATCH($F53,[3]M_Input_Out!$A$4:$A$83,0),3)</f>
        <v>0.23340268516051679</v>
      </c>
      <c r="S53" s="178">
        <f>INDEX([3]!MeasureOutput,MATCH($F53,[3]M_Input_Out!$A$4:$A$83,0),11)</f>
        <v>1951.9941858394279</v>
      </c>
      <c r="T53" s="13">
        <f>SUM([3]forRPM!$L52:$AE52)</f>
        <v>8.8904152266212021E-4</v>
      </c>
      <c r="U53" s="13">
        <f>[3]forRPM!AF52</f>
        <v>8.5707882409676896E-4</v>
      </c>
      <c r="V53" s="178">
        <f>INDEX([3]!MeasureOutput,MATCH($F53,[3]M_Input_Out!$A$4:$A$83,0),12)</f>
        <v>0.50337146932367149</v>
      </c>
      <c r="W53" s="170" t="str">
        <f>[3]forRPM!A52</f>
        <v>RetroEven20</v>
      </c>
      <c r="X53" s="8">
        <f>INDEX([3]M_Input!I$8:I$87,MATCH($F53,[3]M_Input!$A$8:$A$87,0),1)</f>
        <v>0</v>
      </c>
      <c r="Y53" s="8">
        <f>INDEX([3]M_Input!J$8:J$87,MATCH($F53,[3]M_Input!$A$8:$A$87,0),1)</f>
        <v>0</v>
      </c>
      <c r="Z53" s="8"/>
      <c r="AA53" s="8"/>
      <c r="AB53" s="8"/>
      <c r="AC53" s="8"/>
      <c r="AD53" s="8"/>
      <c r="AE53" s="8"/>
      <c r="AF53" s="8"/>
      <c r="AG53" s="8"/>
      <c r="AH53" s="8"/>
      <c r="AI53" s="8" t="s">
        <v>48</v>
      </c>
      <c r="AJ53" s="8" t="s">
        <v>445</v>
      </c>
      <c r="AK53" s="15" t="s">
        <v>187</v>
      </c>
      <c r="AL53" s="7" t="s">
        <v>66</v>
      </c>
    </row>
    <row r="54" spans="1:38" s="45" customFormat="1" ht="13.2" x14ac:dyDescent="0.25">
      <c r="A54" s="158" t="str">
        <f>"AG_"&amp;VLOOKUP($E54,MeasureTypeCode,2,0)&amp;"_"&amp;VLOOKUP($G54,State,2,0)&amp;COUNTIFS($E$3:$E54,$E54,$G$3:$G54,$G54)</f>
        <v>AG_IrrNzzl_MT1</v>
      </c>
      <c r="B54" s="7" t="s">
        <v>479</v>
      </c>
      <c r="C54" s="8" t="s">
        <v>34</v>
      </c>
      <c r="D54" s="8" t="s">
        <v>33</v>
      </c>
      <c r="E54" s="8" t="s">
        <v>32</v>
      </c>
      <c r="F54" s="8" t="str">
        <f>[3]M_Input!A58</f>
        <v>Wheel and Hand_Nozzle replacement - Montana</v>
      </c>
      <c r="G54" s="8" t="s">
        <v>25</v>
      </c>
      <c r="H54" s="7" t="s">
        <v>21</v>
      </c>
      <c r="I54" s="7" t="s">
        <v>171</v>
      </c>
      <c r="J54" s="8" t="str">
        <f>[3]M_Input!B58</f>
        <v>Pump</v>
      </c>
      <c r="K54" s="12">
        <f>INDEX([3]M_Input!C$8:C$87,MATCH($F54,[3]M_Input!$A$8:$A$87,0),1)</f>
        <v>18.944598496266746</v>
      </c>
      <c r="L54" s="14">
        <f>INDEX([3]M_Input!D$8:D$87,MATCH($F54,[3]M_Input!$A$8:$A$87,0),1)</f>
        <v>4</v>
      </c>
      <c r="M54" s="9">
        <f>INDEX([3]M_Input!E$8:E$87,MATCH($F54,[3]M_Input!$A$8:$A$87,0),1)</f>
        <v>4.9428547606377915</v>
      </c>
      <c r="N54" s="10">
        <f>INDEX([3]M_Input!F$8:F$87,MATCH($F54,[3]M_Input!$A$8:$A$87,0),1)</f>
        <v>-0.73415150171930543</v>
      </c>
      <c r="O54" s="8" t="str">
        <f>[3]M_Input!G58</f>
        <v>A-Irr-Irr-Irrigation-All-All-E</v>
      </c>
      <c r="P54" s="8"/>
      <c r="Q54" s="178">
        <f>INDEX([3]!MeasureOutput,MATCH($F54,[3]M_Input_Out!$A$4:$A$83,0),14)</f>
        <v>0</v>
      </c>
      <c r="R54" s="178">
        <f>INDEX([3]!MeasureOutput,MATCH($F54,[3]M_Input_Out!$A$4:$A$83,0),3)</f>
        <v>20.895436888512037</v>
      </c>
      <c r="S54" s="178">
        <f>INDEX([3]!MeasureOutput,MATCH($F54,[3]M_Input_Out!$A$4:$A$83,0),11)</f>
        <v>38.11031538229102</v>
      </c>
      <c r="T54" s="13">
        <f>SUM([3]forRPM!$L53:$AE53)</f>
        <v>2.6449268354218271E-2</v>
      </c>
      <c r="U54" s="13">
        <f>[3]forRPM!AF53</f>
        <v>2.5498367895543907E-2</v>
      </c>
      <c r="V54" s="178">
        <f>INDEX([3]!MeasureOutput,MATCH($F54,[3]M_Input_Out!$A$4:$A$83,0),12)</f>
        <v>0.73938111841542409</v>
      </c>
      <c r="W54" s="170" t="str">
        <f>[3]forRPM!A53</f>
        <v>RetroEven20</v>
      </c>
      <c r="X54" s="8">
        <f>INDEX([3]M_Input!I$8:I$87,MATCH($F54,[3]M_Input!$A$8:$A$87,0),1)</f>
        <v>0</v>
      </c>
      <c r="Y54" s="8">
        <f>INDEX([3]M_Input!J$8:J$87,MATCH($F54,[3]M_Input!$A$8:$A$87,0),1)</f>
        <v>0</v>
      </c>
      <c r="Z54" s="8"/>
      <c r="AA54" s="8"/>
      <c r="AB54" s="8"/>
      <c r="AC54" s="8"/>
      <c r="AD54" s="8"/>
      <c r="AE54" s="8"/>
      <c r="AF54" s="8"/>
      <c r="AG54" s="8"/>
      <c r="AH54" s="8"/>
      <c r="AI54" s="8" t="s">
        <v>43</v>
      </c>
      <c r="AJ54" s="8" t="s">
        <v>445</v>
      </c>
      <c r="AK54" s="15" t="s">
        <v>187</v>
      </c>
      <c r="AL54" s="7" t="s">
        <v>66</v>
      </c>
    </row>
    <row r="55" spans="1:38" s="216" customFormat="1" ht="13.2" x14ac:dyDescent="0.25">
      <c r="A55" s="206" t="str">
        <f>"AG_"&amp;VLOOKUP($E55,MeasureTypeCode,2,0)&amp;"_"&amp;VLOOKUP($G55,State,2,0)&amp;COUNTIFS($E$3:$E55,$E55,$G$3:$G55,$G55)</f>
        <v>AG_IrrRepl_MT1</v>
      </c>
      <c r="B55" s="207" t="s">
        <v>37</v>
      </c>
      <c r="C55" s="208" t="s">
        <v>34</v>
      </c>
      <c r="D55" s="208" t="s">
        <v>33</v>
      </c>
      <c r="E55" s="208" t="s">
        <v>35</v>
      </c>
      <c r="F55" s="208" t="str">
        <f>[3]M_Input!A59</f>
        <v>Pivot and Linear_Sprinkler package replacement, high pressure - Montana</v>
      </c>
      <c r="G55" s="208" t="s">
        <v>25</v>
      </c>
      <c r="H55" s="207" t="s">
        <v>21</v>
      </c>
      <c r="I55" s="207" t="s">
        <v>171</v>
      </c>
      <c r="J55" s="208" t="str">
        <f>[3]M_Input!B59</f>
        <v>Pump</v>
      </c>
      <c r="K55" s="209">
        <f>INDEX([3]M_Input!C$8:C$87,MATCH($F55,[3]M_Input!$A$8:$A$87,0),1)</f>
        <v>11.163206532039521</v>
      </c>
      <c r="L55" s="210">
        <f>INDEX([3]M_Input!D$8:D$87,MATCH($F55,[3]M_Input!$A$8:$A$87,0),1)</f>
        <v>4</v>
      </c>
      <c r="M55" s="211">
        <f>INDEX([3]M_Input!E$8:E$87,MATCH($F55,[3]M_Input!$A$8:$A$87,0),1)</f>
        <v>8.4091036407101392</v>
      </c>
      <c r="N55" s="212">
        <f>INDEX([3]M_Input!F$8:F$87,MATCH($F55,[3]M_Input!$A$8:$A$87,0),1)</f>
        <v>-1.2489859332107978</v>
      </c>
      <c r="O55" s="208" t="str">
        <f>[3]M_Input!G59</f>
        <v>A-Irr-Irr-Irrigation-All-All-E</v>
      </c>
      <c r="P55" s="208"/>
      <c r="Q55" s="213">
        <f>INDEX([3]!MeasureOutput,MATCH($F55,[3]M_Input_Out!$A$4:$A$83,0),14)</f>
        <v>0</v>
      </c>
      <c r="R55" s="213">
        <f>INDEX([3]!MeasureOutput,MATCH($F55,[3]M_Input_Out!$A$4:$A$83,0),3)</f>
        <v>12.31274854463787</v>
      </c>
      <c r="S55" s="213">
        <f>INDEX([3]!MeasureOutput,MATCH($F55,[3]M_Input_Out!$A$4:$A$83,0),11)</f>
        <v>115.57700582639693</v>
      </c>
      <c r="T55" s="214">
        <f>SUM([3]forRPM!$L54:$AE54)</f>
        <v>1.7052674410566914E-2</v>
      </c>
      <c r="U55" s="214">
        <f>[3]forRPM!AF54</f>
        <v>1.6439599005173083E-2</v>
      </c>
      <c r="V55" s="213">
        <f>INDEX([3]!MeasureOutput,MATCH($F55,[3]M_Input_Out!$A$4:$A$83,0),12)</f>
        <v>0.55753881912907888</v>
      </c>
      <c r="W55" s="214" t="str">
        <f>[3]forRPM!A54</f>
        <v>RetroEven20</v>
      </c>
      <c r="X55" s="208">
        <f>INDEX([3]M_Input!I$8:I$87,MATCH($F55,[3]M_Input!$A$8:$A$87,0),1)</f>
        <v>0</v>
      </c>
      <c r="Y55" s="208">
        <f>INDEX([3]M_Input!J$8:J$87,MATCH($F55,[3]M_Input!$A$8:$A$87,0),1)</f>
        <v>0</v>
      </c>
      <c r="Z55" s="208"/>
      <c r="AA55" s="208"/>
      <c r="AB55" s="208"/>
      <c r="AC55" s="208"/>
      <c r="AD55" s="208"/>
      <c r="AE55" s="208"/>
      <c r="AF55" s="208"/>
      <c r="AG55" s="208"/>
      <c r="AH55" s="208"/>
      <c r="AI55" s="208" t="s">
        <v>49</v>
      </c>
      <c r="AJ55" s="208" t="s">
        <v>445</v>
      </c>
      <c r="AK55" s="215" t="s">
        <v>187</v>
      </c>
      <c r="AL55" s="207" t="s">
        <v>76</v>
      </c>
    </row>
    <row r="56" spans="1:38" s="216" customFormat="1" ht="13.2" x14ac:dyDescent="0.25">
      <c r="A56" s="206" t="str">
        <f>"AG_"&amp;VLOOKUP($E56,MeasureTypeCode,2,0)&amp;"_"&amp;VLOOKUP($G56,State,2,0)&amp;COUNTIFS($E$3:$E56,$E56,$G$3:$G56,$G56)</f>
        <v>AG_IrrRepl_MT2</v>
      </c>
      <c r="B56" s="207" t="s">
        <v>37</v>
      </c>
      <c r="C56" s="208" t="s">
        <v>34</v>
      </c>
      <c r="D56" s="208" t="s">
        <v>33</v>
      </c>
      <c r="E56" s="208" t="s">
        <v>35</v>
      </c>
      <c r="F56" s="208" t="str">
        <f>[3]M_Input!A60</f>
        <v>Pivot and Linear_Sprinkler package replacement, MESA - Montana</v>
      </c>
      <c r="G56" s="208" t="s">
        <v>25</v>
      </c>
      <c r="H56" s="207" t="s">
        <v>21</v>
      </c>
      <c r="I56" s="207" t="s">
        <v>171</v>
      </c>
      <c r="J56" s="208" t="str">
        <f>[3]M_Input!B60</f>
        <v>Pump</v>
      </c>
      <c r="K56" s="209">
        <f>INDEX([3]M_Input!C$8:C$87,MATCH($F56,[3]M_Input!$A$8:$A$87,0),1)</f>
        <v>11.163206532039521</v>
      </c>
      <c r="L56" s="210">
        <f>INDEX([3]M_Input!D$8:D$87,MATCH($F56,[3]M_Input!$A$8:$A$87,0),1)</f>
        <v>5</v>
      </c>
      <c r="M56" s="211">
        <f>INDEX([3]M_Input!E$8:E$87,MATCH($F56,[3]M_Input!$A$8:$A$87,0),1)</f>
        <v>27.554783113802578</v>
      </c>
      <c r="N56" s="212">
        <f>INDEX([3]M_Input!F$8:F$87,MATCH($F56,[3]M_Input!$A$8:$A$87,0),1)</f>
        <v>-3.3972552309128203</v>
      </c>
      <c r="O56" s="208" t="str">
        <f>[3]M_Input!G60</f>
        <v>A-Irr-Irr-Irrigation-All-All-E</v>
      </c>
      <c r="P56" s="208"/>
      <c r="Q56" s="213">
        <f>INDEX([3]!MeasureOutput,MATCH($F56,[3]M_Input_Out!$A$4:$A$83,0),14)</f>
        <v>0</v>
      </c>
      <c r="R56" s="213">
        <f>INDEX([3]!MeasureOutput,MATCH($F56,[3]M_Input_Out!$A$4:$A$83,0),3)</f>
        <v>12.31274854463787</v>
      </c>
      <c r="S56" s="213">
        <f>INDEX([3]!MeasureOutput,MATCH($F56,[3]M_Input_Out!$A$4:$A$83,0),11)</f>
        <v>308.15509230990551</v>
      </c>
      <c r="T56" s="214">
        <f>SUM([3]forRPM!$L55:$AE55)</f>
        <v>6.1507931863049814E-2</v>
      </c>
      <c r="U56" s="214">
        <f>[3]forRPM!AF55</f>
        <v>5.9296607155031648E-2</v>
      </c>
      <c r="V56" s="213">
        <f>INDEX([3]!MeasureOutput,MATCH($F56,[3]M_Input_Out!$A$4:$A$83,0),12)</f>
        <v>0.50960776501326699</v>
      </c>
      <c r="W56" s="214" t="str">
        <f>[3]forRPM!A55</f>
        <v>RetroEven20</v>
      </c>
      <c r="X56" s="208">
        <f>INDEX([3]M_Input!I$8:I$87,MATCH($F56,[3]M_Input!$A$8:$A$87,0),1)</f>
        <v>0</v>
      </c>
      <c r="Y56" s="208">
        <f>INDEX([3]M_Input!J$8:J$87,MATCH($F56,[3]M_Input!$A$8:$A$87,0),1)</f>
        <v>0</v>
      </c>
      <c r="Z56" s="208"/>
      <c r="AA56" s="208"/>
      <c r="AB56" s="208"/>
      <c r="AC56" s="208"/>
      <c r="AD56" s="208"/>
      <c r="AE56" s="208"/>
      <c r="AF56" s="208"/>
      <c r="AG56" s="208"/>
      <c r="AH56" s="208"/>
      <c r="AI56" s="208" t="s">
        <v>51</v>
      </c>
      <c r="AJ56" s="208" t="s">
        <v>445</v>
      </c>
      <c r="AK56" s="215" t="s">
        <v>187</v>
      </c>
      <c r="AL56" s="207" t="s">
        <v>76</v>
      </c>
    </row>
    <row r="57" spans="1:38" s="216" customFormat="1" ht="13.2" x14ac:dyDescent="0.25">
      <c r="A57" s="206" t="str">
        <f>"AG_"&amp;VLOOKUP($E57,MeasureTypeCode,2,0)&amp;"_"&amp;VLOOKUP($G57,State,2,0)&amp;COUNTIFS($E$3:$E57,$E57,$G$3:$G57,$G57)</f>
        <v>AG_IrrRepl_MT3</v>
      </c>
      <c r="B57" s="207" t="s">
        <v>37</v>
      </c>
      <c r="C57" s="208" t="s">
        <v>34</v>
      </c>
      <c r="D57" s="208" t="s">
        <v>33</v>
      </c>
      <c r="E57" s="208" t="s">
        <v>35</v>
      </c>
      <c r="F57" s="208" t="str">
        <f>[3]M_Input!A61</f>
        <v>Pivot and Linear_Sprinkler package replacement, LESA/LEPA/MDI - Montana</v>
      </c>
      <c r="G57" s="208" t="s">
        <v>25</v>
      </c>
      <c r="H57" s="207" t="s">
        <v>21</v>
      </c>
      <c r="I57" s="207" t="s">
        <v>171</v>
      </c>
      <c r="J57" s="208" t="str">
        <f>[3]M_Input!B61</f>
        <v>Pump</v>
      </c>
      <c r="K57" s="209">
        <f>INDEX([3]M_Input!C$8:C$87,MATCH($F57,[3]M_Input!$A$8:$A$87,0),1)</f>
        <v>11.163206532039521</v>
      </c>
      <c r="L57" s="210">
        <f>INDEX([3]M_Input!D$8:D$87,MATCH($F57,[3]M_Input!$A$8:$A$87,0),1)</f>
        <v>5</v>
      </c>
      <c r="M57" s="211">
        <f>INDEX([3]M_Input!E$8:E$87,MATCH($F57,[3]M_Input!$A$8:$A$87,0),1)</f>
        <v>37.921401277472171</v>
      </c>
      <c r="N57" s="212">
        <f>INDEX([3]M_Input!F$8:F$87,MATCH($F57,[3]M_Input!$A$8:$A$87,0),1)</f>
        <v>-4.675365373821589</v>
      </c>
      <c r="O57" s="208" t="str">
        <f>[3]M_Input!G61</f>
        <v>A-Irr-Irr-Irrigation-All-All-E</v>
      </c>
      <c r="P57" s="208"/>
      <c r="Q57" s="213">
        <f>INDEX([3]!MeasureOutput,MATCH($F57,[3]M_Input_Out!$A$4:$A$83,0),14)</f>
        <v>0</v>
      </c>
      <c r="R57" s="213">
        <f>INDEX([3]!MeasureOutput,MATCH($F57,[3]M_Input_Out!$A$4:$A$83,0),3)</f>
        <v>12.31274854463787</v>
      </c>
      <c r="S57" s="213">
        <f>INDEX([3]!MeasureOutput,MATCH($F57,[3]M_Input_Out!$A$4:$A$83,0),11)</f>
        <v>425.19458532456952</v>
      </c>
      <c r="T57" s="214">
        <f>SUM([3]forRPM!$L56:$AE56)</f>
        <v>4.2952120820098555E-2</v>
      </c>
      <c r="U57" s="214">
        <f>[3]forRPM!AF56</f>
        <v>4.1407912078976428E-2</v>
      </c>
      <c r="V57" s="213">
        <f>INDEX([3]!MeasureOutput,MATCH($F57,[3]M_Input_Out!$A$4:$A$83,0),12)</f>
        <v>0.49878991115272875</v>
      </c>
      <c r="W57" s="214" t="str">
        <f>[3]forRPM!A56</f>
        <v>RetroEven20</v>
      </c>
      <c r="X57" s="208">
        <f>INDEX([3]M_Input!I$8:I$87,MATCH($F57,[3]M_Input!$A$8:$A$87,0),1)</f>
        <v>0</v>
      </c>
      <c r="Y57" s="208">
        <f>INDEX([3]M_Input!J$8:J$87,MATCH($F57,[3]M_Input!$A$8:$A$87,0),1)</f>
        <v>0</v>
      </c>
      <c r="Z57" s="208"/>
      <c r="AA57" s="208"/>
      <c r="AB57" s="208"/>
      <c r="AC57" s="208"/>
      <c r="AD57" s="208"/>
      <c r="AE57" s="208"/>
      <c r="AF57" s="208"/>
      <c r="AG57" s="208"/>
      <c r="AH57" s="208"/>
      <c r="AI57" s="208" t="s">
        <v>50</v>
      </c>
      <c r="AJ57" s="208" t="s">
        <v>445</v>
      </c>
      <c r="AK57" s="215" t="s">
        <v>187</v>
      </c>
      <c r="AL57" s="207" t="s">
        <v>76</v>
      </c>
    </row>
    <row r="58" spans="1:38" s="216" customFormat="1" ht="13.2" x14ac:dyDescent="0.25">
      <c r="A58" s="206" t="str">
        <f>"AG_"&amp;VLOOKUP($E58,MeasureTypeCode,2,0)&amp;"_"&amp;VLOOKUP($G58,State,2,0)&amp;COUNTIFS($E$3:$E58,$E58,$G$3:$G58,$G58)</f>
        <v>AG_IrrUpg_MT1</v>
      </c>
      <c r="B58" s="207" t="s">
        <v>37</v>
      </c>
      <c r="C58" s="208" t="s">
        <v>34</v>
      </c>
      <c r="D58" s="208" t="s">
        <v>33</v>
      </c>
      <c r="E58" s="208" t="s">
        <v>36</v>
      </c>
      <c r="F58" s="208" t="str">
        <f>[3]M_Input!A62</f>
        <v>Pivot and Linear_Upgrade from high pressure to MESA - Montana</v>
      </c>
      <c r="G58" s="208" t="s">
        <v>25</v>
      </c>
      <c r="H58" s="207" t="s">
        <v>21</v>
      </c>
      <c r="I58" s="207" t="s">
        <v>171</v>
      </c>
      <c r="J58" s="208" t="str">
        <f>[3]M_Input!B62</f>
        <v>Pump</v>
      </c>
      <c r="K58" s="209">
        <f>INDEX([3]M_Input!C$8:C$87,MATCH($F58,[3]M_Input!$A$8:$A$87,0),1)</f>
        <v>16.16060761111439</v>
      </c>
      <c r="L58" s="210">
        <f>INDEX([3]M_Input!D$8:D$87,MATCH($F58,[3]M_Input!$A$8:$A$87,0),1)</f>
        <v>10</v>
      </c>
      <c r="M58" s="211">
        <f>INDEX([3]M_Input!E$8:E$87,MATCH($F58,[3]M_Input!$A$8:$A$87,0),1)</f>
        <v>29.948384458157712</v>
      </c>
      <c r="N58" s="212">
        <f>INDEX([3]M_Input!F$8:F$87,MATCH($F58,[3]M_Input!$A$8:$A$87,0),1)</f>
        <v>0</v>
      </c>
      <c r="O58" s="208" t="str">
        <f>[3]M_Input!G62</f>
        <v>A-Irr-Irr-Irrigation-All-All-E</v>
      </c>
      <c r="P58" s="208"/>
      <c r="Q58" s="213">
        <f>INDEX([3]!MeasureOutput,MATCH($F58,[3]M_Input_Out!$A$4:$A$83,0),14)</f>
        <v>0</v>
      </c>
      <c r="R58" s="213">
        <f>INDEX([3]!MeasureOutput,MATCH($F58,[3]M_Input_Out!$A$4:$A$83,0),3)</f>
        <v>17.824761843572055</v>
      </c>
      <c r="S58" s="213">
        <f>INDEX([3]!MeasureOutput,MATCH($F58,[3]M_Input_Out!$A$4:$A$83,0),11)</f>
        <v>246.72175496559223</v>
      </c>
      <c r="T58" s="214">
        <f>SUM([3]forRPM!$L57:$AE57)</f>
        <v>2.5249460106278154E-2</v>
      </c>
      <c r="U58" s="214">
        <f>[3]forRPM!AF57</f>
        <v>2.3799067771805349E-2</v>
      </c>
      <c r="V58" s="213">
        <f>INDEX([3]!MeasureOutput,MATCH($F58,[3]M_Input_Out!$A$4:$A$83,0),12)</f>
        <v>0.1137128335565262</v>
      </c>
      <c r="W58" s="214" t="str">
        <f>[3]forRPM!A57</f>
        <v>Retro5Med</v>
      </c>
      <c r="X58" s="208">
        <f>INDEX([3]M_Input!I$8:I$87,MATCH($F58,[3]M_Input!$A$8:$A$87,0),1)</f>
        <v>1.6582412769936674</v>
      </c>
      <c r="Y58" s="208">
        <f>INDEX([3]M_Input!J$8:J$87,MATCH($F58,[3]M_Input!$A$8:$A$87,0),1)</f>
        <v>5</v>
      </c>
      <c r="Z58" s="208"/>
      <c r="AA58" s="208"/>
      <c r="AB58" s="208"/>
      <c r="AC58" s="208"/>
      <c r="AD58" s="208"/>
      <c r="AE58" s="208"/>
      <c r="AF58" s="208"/>
      <c r="AG58" s="208"/>
      <c r="AH58" s="208"/>
      <c r="AI58" s="208" t="s">
        <v>52</v>
      </c>
      <c r="AJ58" s="208" t="s">
        <v>445</v>
      </c>
      <c r="AK58" s="215" t="s">
        <v>187</v>
      </c>
      <c r="AL58" s="207" t="s">
        <v>76</v>
      </c>
    </row>
    <row r="59" spans="1:38" s="216" customFormat="1" ht="13.2" x14ac:dyDescent="0.25">
      <c r="A59" s="206" t="str">
        <f>"AG_"&amp;VLOOKUP($E59,MeasureTypeCode,2,0)&amp;"_"&amp;VLOOKUP($G59,State,2,0)&amp;COUNTIFS($E$3:$E59,$E59,$G$3:$G59,$G59)</f>
        <v>AG_IrrUpg_MT2</v>
      </c>
      <c r="B59" s="207" t="s">
        <v>37</v>
      </c>
      <c r="C59" s="208" t="s">
        <v>34</v>
      </c>
      <c r="D59" s="208" t="s">
        <v>33</v>
      </c>
      <c r="E59" s="208" t="s">
        <v>36</v>
      </c>
      <c r="F59" s="208" t="str">
        <f>[3]M_Input!A63</f>
        <v>Pivot and Linear_Upgrade from MESA to LESA/LEPA/MDI - Montana</v>
      </c>
      <c r="G59" s="208" t="s">
        <v>25</v>
      </c>
      <c r="H59" s="207" t="s">
        <v>21</v>
      </c>
      <c r="I59" s="207" t="s">
        <v>171</v>
      </c>
      <c r="J59" s="208" t="str">
        <f>[3]M_Input!B63</f>
        <v>Pump</v>
      </c>
      <c r="K59" s="209">
        <f>INDEX([3]M_Input!C$8:C$87,MATCH($F59,[3]M_Input!$A$8:$A$87,0),1)</f>
        <v>27.473032938894431</v>
      </c>
      <c r="L59" s="210">
        <f>INDEX([3]M_Input!D$8:D$87,MATCH($F59,[3]M_Input!$A$8:$A$87,0),1)</f>
        <v>10</v>
      </c>
      <c r="M59" s="211">
        <f>INDEX([3]M_Input!E$8:E$87,MATCH($F59,[3]M_Input!$A$8:$A$87,0),1)</f>
        <v>36.438280264834965</v>
      </c>
      <c r="N59" s="212">
        <f>INDEX([3]M_Input!F$8:F$87,MATCH($F59,[3]M_Input!$A$8:$A$87,0),1)</f>
        <v>0</v>
      </c>
      <c r="O59" s="208" t="str">
        <f>[3]M_Input!G63</f>
        <v>A-Irr-Irr-Irrigation-All-All-E</v>
      </c>
      <c r="P59" s="208"/>
      <c r="Q59" s="213">
        <f>INDEX([3]!MeasureOutput,MATCH($F59,[3]M_Input_Out!$A$4:$A$83,0),14)</f>
        <v>0</v>
      </c>
      <c r="R59" s="213">
        <f>INDEX([3]!MeasureOutput,MATCH($F59,[3]M_Input_Out!$A$4:$A$83,0),3)</f>
        <v>30.302095134072459</v>
      </c>
      <c r="S59" s="213">
        <f>INDEX([3]!MeasureOutput,MATCH($F59,[3]M_Input_Out!$A$4:$A$83,0),11)</f>
        <v>179.9298740463131</v>
      </c>
      <c r="T59" s="214">
        <f>SUM([3]forRPM!$L58:$AE58)</f>
        <v>6.8749096028432377E-2</v>
      </c>
      <c r="U59" s="214">
        <f>[3]forRPM!AF58</f>
        <v>5.8372391010031367E-2</v>
      </c>
      <c r="V59" s="213">
        <f>INDEX([3]!MeasureOutput,MATCH($F59,[3]M_Input_Out!$A$4:$A$83,0),12)</f>
        <v>0.15524574799842331</v>
      </c>
      <c r="W59" s="214" t="str">
        <f>[3]forRPM!A58</f>
        <v>Retro1Slow</v>
      </c>
      <c r="X59" s="208">
        <f>INDEX([3]M_Input!I$8:I$87,MATCH($F59,[3]M_Input!$A$8:$A$87,0),1)</f>
        <v>3.3164825539873348</v>
      </c>
      <c r="Y59" s="208">
        <f>INDEX([3]M_Input!J$8:J$87,MATCH($F59,[3]M_Input!$A$8:$A$87,0),1)</f>
        <v>5</v>
      </c>
      <c r="Z59" s="208"/>
      <c r="AA59" s="208"/>
      <c r="AB59" s="208"/>
      <c r="AC59" s="208"/>
      <c r="AD59" s="208"/>
      <c r="AE59" s="208"/>
      <c r="AF59" s="208"/>
      <c r="AG59" s="208"/>
      <c r="AH59" s="208"/>
      <c r="AI59" s="208" t="s">
        <v>53</v>
      </c>
      <c r="AJ59" s="208" t="s">
        <v>445</v>
      </c>
      <c r="AK59" s="215" t="s">
        <v>187</v>
      </c>
      <c r="AL59" s="207" t="s">
        <v>76</v>
      </c>
    </row>
    <row r="60" spans="1:38" s="45" customFormat="1" ht="13.2" x14ac:dyDescent="0.25">
      <c r="A60" s="158" t="str">
        <f>"AG_"&amp;VLOOKUP($E60,MeasureTypeCode,2,0)&amp;"_"&amp;VLOOKUP($G60,State,2,0)&amp;COUNTIFS($E$3:$E60,$E60,$G$3:$G60,$G60)</f>
        <v>AG_IrrPRed_ID1</v>
      </c>
      <c r="B60" s="7" t="s">
        <v>479</v>
      </c>
      <c r="C60" s="8" t="s">
        <v>34</v>
      </c>
      <c r="D60" s="8" t="s">
        <v>33</v>
      </c>
      <c r="E60" s="8" t="s">
        <v>182</v>
      </c>
      <c r="F60" s="8" t="str">
        <f>[3]M_Input!A64</f>
        <v>Pivot and Linear_Pressure Reduction_High to Medium - Idaho</v>
      </c>
      <c r="G60" s="8" t="s">
        <v>22</v>
      </c>
      <c r="H60" s="7" t="s">
        <v>21</v>
      </c>
      <c r="I60" s="7" t="s">
        <v>171</v>
      </c>
      <c r="J60" s="8" t="str">
        <f>[3]M_Input!B64</f>
        <v>Pump</v>
      </c>
      <c r="K60" s="12">
        <f>INDEX([3]M_Input!C$8:C$87,MATCH($F60,[3]M_Input!$A$8:$A$87,0),1)</f>
        <v>275.49937480044798</v>
      </c>
      <c r="L60" s="14">
        <f>INDEX([3]M_Input!D$8:D$87,MATCH($F60,[3]M_Input!$A$8:$A$87,0),1)</f>
        <v>10</v>
      </c>
      <c r="M60" s="9">
        <f>INDEX([3]M_Input!E$8:E$87,MATCH($F60,[3]M_Input!$A$8:$A$87,0),1)</f>
        <v>62.768561959299596</v>
      </c>
      <c r="N60" s="10">
        <f>INDEX([3]M_Input!F$8:F$87,MATCH($F60,[3]M_Input!$A$8:$A$87,0),1)</f>
        <v>0</v>
      </c>
      <c r="O60" s="8" t="str">
        <f>[3]M_Input!G64</f>
        <v>A-Irr-Irr-Irrigation-All-All-E</v>
      </c>
      <c r="P60" s="8"/>
      <c r="Q60" s="178">
        <f>INDEX([3]!MeasureOutput,MATCH($F60,[3]M_Input_Out!$A$4:$A$83,0),14)</f>
        <v>0</v>
      </c>
      <c r="R60" s="178">
        <f>INDEX([3]!MeasureOutput,MATCH($F60,[3]M_Input_Out!$A$4:$A$83,0),3)</f>
        <v>303.86918994887674</v>
      </c>
      <c r="S60" s="178">
        <f>INDEX([3]!MeasureOutput,MATCH($F60,[3]M_Input_Out!$A$4:$A$83,0),11)</f>
        <v>26.638187253469432</v>
      </c>
      <c r="T60" s="13">
        <f>SUM([3]forRPM!$L59:$AE59)</f>
        <v>3.2686307989210976</v>
      </c>
      <c r="U60" s="13">
        <f>[3]forRPM!AF59</f>
        <v>2.9979225120384108</v>
      </c>
      <c r="V60" s="178">
        <f>INDEX([3]!MeasureOutput,MATCH($F60,[3]M_Input_Out!$A$4:$A$83,0),12)</f>
        <v>0.95983741245217402</v>
      </c>
      <c r="W60" s="170" t="str">
        <f>[3]forRPM!A59</f>
        <v>Retro3Slow</v>
      </c>
      <c r="X60" s="8">
        <f>INDEX([3]M_Input!I$8:I$87,MATCH($F60,[3]M_Input!$A$8:$A$87,0),1)</f>
        <v>0</v>
      </c>
      <c r="Y60" s="8">
        <f>INDEX([3]M_Input!J$8:J$87,MATCH($F60,[3]M_Input!$A$8:$A$87,0),1)</f>
        <v>0</v>
      </c>
      <c r="Z60" s="8"/>
      <c r="AA60" s="8"/>
      <c r="AB60" s="8"/>
      <c r="AC60" s="8"/>
      <c r="AD60" s="8"/>
      <c r="AE60" s="8"/>
      <c r="AF60" s="8"/>
      <c r="AG60" s="8"/>
      <c r="AH60" s="8"/>
      <c r="AI60" s="8" t="s">
        <v>188</v>
      </c>
      <c r="AJ60" s="15" t="s">
        <v>516</v>
      </c>
      <c r="AK60" s="15" t="s">
        <v>187</v>
      </c>
      <c r="AL60" s="7" t="s">
        <v>190</v>
      </c>
    </row>
    <row r="61" spans="1:38" s="45" customFormat="1" ht="13.2" x14ac:dyDescent="0.25">
      <c r="A61" s="158" t="str">
        <f>"AG_"&amp;VLOOKUP($E61,MeasureTypeCode,2,0)&amp;"_"&amp;VLOOKUP($G61,State,2,0)&amp;COUNTIFS($E$3:$E61,$E61,$G$3:$G61,$G61)</f>
        <v>AG_IrrPRed_ID2</v>
      </c>
      <c r="B61" s="7" t="s">
        <v>479</v>
      </c>
      <c r="C61" s="8" t="s">
        <v>34</v>
      </c>
      <c r="D61" s="8" t="s">
        <v>33</v>
      </c>
      <c r="E61" s="8" t="s">
        <v>182</v>
      </c>
      <c r="F61" s="8" t="str">
        <f>[3]M_Input!A65</f>
        <v>Pivot and Linear_Pressure Reduction_Medium to Low - Idaho</v>
      </c>
      <c r="G61" s="8" t="s">
        <v>22</v>
      </c>
      <c r="H61" s="7" t="s">
        <v>21</v>
      </c>
      <c r="I61" s="7" t="s">
        <v>171</v>
      </c>
      <c r="J61" s="8" t="str">
        <f>[3]M_Input!B65</f>
        <v>Pump</v>
      </c>
      <c r="K61" s="12">
        <f>INDEX([3]M_Input!C$8:C$87,MATCH($F61,[3]M_Input!$A$8:$A$87,0),1)</f>
        <v>247.57167010074016</v>
      </c>
      <c r="L61" s="14">
        <f>INDEX([3]M_Input!D$8:D$87,MATCH($F61,[3]M_Input!$A$8:$A$87,0),1)</f>
        <v>10</v>
      </c>
      <c r="M61" s="9">
        <f>INDEX([3]M_Input!E$8:E$87,MATCH($F61,[3]M_Input!$A$8:$A$87,0),1)</f>
        <v>46.026573045679669</v>
      </c>
      <c r="N61" s="10">
        <f>INDEX([3]M_Input!F$8:F$87,MATCH($F61,[3]M_Input!$A$8:$A$87,0),1)</f>
        <v>0</v>
      </c>
      <c r="O61" s="8" t="str">
        <f>[3]M_Input!G65</f>
        <v>A-Irr-Irr-Irrigation-All-All-E</v>
      </c>
      <c r="P61" s="8"/>
      <c r="Q61" s="178">
        <f>INDEX([3]!MeasureOutput,MATCH($F61,[3]M_Input_Out!$A$4:$A$83,0),14)</f>
        <v>0</v>
      </c>
      <c r="R61" s="178">
        <f>INDEX([3]!MeasureOutput,MATCH($F61,[3]M_Input_Out!$A$4:$A$83,0),3)</f>
        <v>273.06560278872956</v>
      </c>
      <c r="S61" s="178">
        <f>INDEX([3]!MeasureOutput,MATCH($F61,[3]M_Input_Out!$A$4:$A$83,0),11)</f>
        <v>21.195686894071368</v>
      </c>
      <c r="T61" s="13">
        <f>SUM([3]forRPM!$L60:$AE60)</f>
        <v>3.9586133477199206</v>
      </c>
      <c r="U61" s="13">
        <f>[3]forRPM!AF60</f>
        <v>3.7040708884457452</v>
      </c>
      <c r="V61" s="178">
        <f>INDEX([3]!MeasureOutput,MATCH($F61,[3]M_Input_Out!$A$4:$A$83,0),12)</f>
        <v>1.1762822437611151</v>
      </c>
      <c r="W61" s="170" t="str">
        <f>[3]forRPM!A60</f>
        <v>Retro1Slow</v>
      </c>
      <c r="X61" s="8">
        <f>INDEX([3]M_Input!I$8:I$87,MATCH($F61,[3]M_Input!$A$8:$A$87,0),1)</f>
        <v>0</v>
      </c>
      <c r="Y61" s="8">
        <f>INDEX([3]M_Input!J$8:J$87,MATCH($F61,[3]M_Input!$A$8:$A$87,0),1)</f>
        <v>0</v>
      </c>
      <c r="Z61" s="8"/>
      <c r="AA61" s="8"/>
      <c r="AB61" s="8"/>
      <c r="AC61" s="8"/>
      <c r="AD61" s="8"/>
      <c r="AE61" s="8"/>
      <c r="AF61" s="8"/>
      <c r="AG61" s="8"/>
      <c r="AH61" s="8"/>
      <c r="AI61" s="8" t="s">
        <v>188</v>
      </c>
      <c r="AJ61" s="15" t="s">
        <v>516</v>
      </c>
      <c r="AK61" s="15" t="s">
        <v>187</v>
      </c>
      <c r="AL61" s="7" t="s">
        <v>190</v>
      </c>
    </row>
    <row r="62" spans="1:38" s="45" customFormat="1" ht="13.2" x14ac:dyDescent="0.25">
      <c r="A62" s="158" t="str">
        <f>"AG_"&amp;VLOOKUP($E62,MeasureTypeCode,2,0)&amp;"_"&amp;VLOOKUP($G62,State,2,0)&amp;COUNTIFS($E$3:$E62,$E62,$G$3:$G62,$G62)</f>
        <v>AG_IrrConvert_ID1</v>
      </c>
      <c r="B62" s="7" t="s">
        <v>479</v>
      </c>
      <c r="C62" s="8" t="s">
        <v>34</v>
      </c>
      <c r="D62" s="8" t="s">
        <v>33</v>
      </c>
      <c r="E62" s="8" t="s">
        <v>183</v>
      </c>
      <c r="F62" s="8" t="str">
        <f>[3]M_Input!A66</f>
        <v>Pivot and Linear_Pressure Reduction_Medium2 to Low - Idaho</v>
      </c>
      <c r="G62" s="8" t="s">
        <v>22</v>
      </c>
      <c r="H62" s="7" t="s">
        <v>21</v>
      </c>
      <c r="I62" s="7" t="s">
        <v>171</v>
      </c>
      <c r="J62" s="8" t="str">
        <f>[3]M_Input!B66</f>
        <v>Pump</v>
      </c>
      <c r="K62" s="12">
        <f>INDEX([3]M_Input!C$8:C$87,MATCH($F62,[3]M_Input!$A$8:$A$87,0),1)</f>
        <v>247.57167010074016</v>
      </c>
      <c r="L62" s="14">
        <f>INDEX([3]M_Input!D$8:D$87,MATCH($F62,[3]M_Input!$A$8:$A$87,0),1)</f>
        <v>10</v>
      </c>
      <c r="M62" s="9">
        <f>INDEX([3]M_Input!E$8:E$87,MATCH($F62,[3]M_Input!$A$8:$A$87,0),1)</f>
        <v>0.01</v>
      </c>
      <c r="N62" s="10">
        <f>INDEX([3]M_Input!F$8:F$87,MATCH($F62,[3]M_Input!$A$8:$A$87,0),1)</f>
        <v>0</v>
      </c>
      <c r="O62" s="8" t="str">
        <f>[3]M_Input!G66</f>
        <v>A-Irr-Irr-Irrigation-All-All-E</v>
      </c>
      <c r="P62" s="8"/>
      <c r="Q62" s="178">
        <f>INDEX([3]!MeasureOutput,MATCH($F62,[3]M_Input_Out!$A$4:$A$83,0),14)</f>
        <v>0</v>
      </c>
      <c r="R62" s="178">
        <f>INDEX([3]!MeasureOutput,MATCH($F62,[3]M_Input_Out!$A$4:$A$83,0),3)</f>
        <v>273.06560278872956</v>
      </c>
      <c r="S62" s="178">
        <f>INDEX([3]!MeasureOutput,MATCH($F62,[3]M_Input_Out!$A$4:$A$83,0),11)</f>
        <v>-2.9341592773636926</v>
      </c>
      <c r="T62" s="13">
        <f>SUM([3]forRPM!$L61:$AE61)</f>
        <v>0.52480610284321272</v>
      </c>
      <c r="U62" s="13">
        <f>[3]forRPM!AF61</f>
        <v>0.88118572292705233</v>
      </c>
      <c r="V62" s="178">
        <f>INDEX([3]!MeasureOutput,MATCH($F62,[3]M_Input_Out!$A$4:$A$83,0),12)</f>
        <v>5414.0240614806944</v>
      </c>
      <c r="W62" s="170" t="str">
        <f>[3]forRPM!A61</f>
        <v>Retro1Slow</v>
      </c>
      <c r="X62" s="8">
        <f>INDEX([3]M_Input!I$8:I$87,MATCH($F62,[3]M_Input!$A$8:$A$87,0),1)</f>
        <v>0</v>
      </c>
      <c r="Y62" s="8">
        <f>INDEX([3]M_Input!J$8:J$87,MATCH($F62,[3]M_Input!$A$8:$A$87,0),1)</f>
        <v>0</v>
      </c>
      <c r="Z62" s="8"/>
      <c r="AA62" s="8"/>
      <c r="AB62" s="8"/>
      <c r="AC62" s="8"/>
      <c r="AD62" s="8"/>
      <c r="AE62" s="8"/>
      <c r="AF62" s="8"/>
      <c r="AG62" s="8"/>
      <c r="AH62" s="8"/>
      <c r="AI62" s="8" t="s">
        <v>188</v>
      </c>
      <c r="AJ62" s="15" t="s">
        <v>516</v>
      </c>
      <c r="AK62" s="15" t="s">
        <v>187</v>
      </c>
      <c r="AL62" s="7" t="s">
        <v>190</v>
      </c>
    </row>
    <row r="63" spans="1:38" s="45" customFormat="1" ht="13.2" x14ac:dyDescent="0.25">
      <c r="A63" s="158" t="str">
        <f>"AG_"&amp;VLOOKUP($E63,MeasureTypeCode,2,0)&amp;"_"&amp;VLOOKUP($G63,State,2,0)&amp;COUNTIFS($E$3:$E63,$E63,$G$3:$G63,$G63)</f>
        <v>AG_IrrConvert_ID2</v>
      </c>
      <c r="B63" s="7" t="s">
        <v>479</v>
      </c>
      <c r="C63" s="8" t="s">
        <v>34</v>
      </c>
      <c r="D63" s="8" t="s">
        <v>33</v>
      </c>
      <c r="E63" s="8" t="s">
        <v>183</v>
      </c>
      <c r="F63" s="8" t="str">
        <f>[3]M_Input!A67</f>
        <v>Wheel-Line_Conversion to Low Pressure System (Alfalfa) - Idaho</v>
      </c>
      <c r="G63" s="8" t="s">
        <v>22</v>
      </c>
      <c r="H63" s="7" t="s">
        <v>21</v>
      </c>
      <c r="I63" s="7" t="s">
        <v>171</v>
      </c>
      <c r="J63" s="8" t="str">
        <f>[3]M_Input!B67</f>
        <v>Pump</v>
      </c>
      <c r="K63" s="12">
        <f>INDEX([3]M_Input!C$8:C$87,MATCH($F63,[3]M_Input!$A$8:$A$87,0),1)</f>
        <v>131.00658286499751</v>
      </c>
      <c r="L63" s="14">
        <f>INDEX([3]M_Input!D$8:D$87,MATCH($F63,[3]M_Input!$A$8:$A$87,0),1)</f>
        <v>10</v>
      </c>
      <c r="M63" s="9">
        <f>INDEX([3]M_Input!E$8:E$87,MATCH($F63,[3]M_Input!$A$8:$A$87,0),1)</f>
        <v>117.11916365051205</v>
      </c>
      <c r="N63" s="10">
        <f>INDEX([3]M_Input!F$8:F$87,MATCH($F63,[3]M_Input!$A$8:$A$87,0),1)</f>
        <v>7.5</v>
      </c>
      <c r="O63" s="8" t="str">
        <f>[3]M_Input!G67</f>
        <v>A-Irr-Irr-Irrigation-All-All-E</v>
      </c>
      <c r="P63" s="8"/>
      <c r="Q63" s="178">
        <f>INDEX([3]!MeasureOutput,MATCH($F63,[3]M_Input_Out!$A$4:$A$83,0),14)</f>
        <v>0</v>
      </c>
      <c r="R63" s="178">
        <f>INDEX([3]!MeasureOutput,MATCH($F63,[3]M_Input_Out!$A$4:$A$83,0),3)</f>
        <v>144.4971127139286</v>
      </c>
      <c r="S63" s="178">
        <f>INDEX([3]!MeasureOutput,MATCH($F63,[3]M_Input_Out!$A$4:$A$83,0),11)</f>
        <v>165.02354169695315</v>
      </c>
      <c r="T63" s="13">
        <f>SUM([3]forRPM!$L62:$AE62)</f>
        <v>0.16497273417282643</v>
      </c>
      <c r="U63" s="13">
        <f>[3]forRPM!AF62</f>
        <v>0.15436483646194668</v>
      </c>
      <c r="V63" s="178">
        <f>INDEX([3]!MeasureOutput,MATCH($F63,[3]M_Input_Out!$A$4:$A$83,0),12)</f>
        <v>0.16902345783537681</v>
      </c>
      <c r="W63" s="170" t="str">
        <f>[3]forRPM!A62</f>
        <v>Retro1Slow</v>
      </c>
      <c r="X63" s="170">
        <f>INDEX([3]M_Input!I$8:I$87,MATCH($F63,[3]M_Input!$A$8:$A$87,0),1)</f>
        <v>0</v>
      </c>
      <c r="Y63" s="8">
        <f>INDEX([3]M_Input!J$8:J$87,MATCH($F63,[3]M_Input!$A$8:$A$87,0),1)</f>
        <v>5</v>
      </c>
      <c r="Z63" s="8"/>
      <c r="AA63" s="8"/>
      <c r="AB63" s="8"/>
      <c r="AC63" s="8"/>
      <c r="AD63" s="8"/>
      <c r="AE63" s="8"/>
      <c r="AF63" s="8"/>
      <c r="AG63" s="8"/>
      <c r="AH63" s="8"/>
      <c r="AI63" s="8" t="s">
        <v>411</v>
      </c>
      <c r="AJ63" s="15" t="s">
        <v>516</v>
      </c>
      <c r="AK63" s="8" t="s">
        <v>186</v>
      </c>
      <c r="AL63" s="7" t="s">
        <v>190</v>
      </c>
    </row>
    <row r="64" spans="1:38" s="45" customFormat="1" ht="13.2" x14ac:dyDescent="0.25">
      <c r="A64" s="158" t="str">
        <f>"AG_"&amp;VLOOKUP($E64,MeasureTypeCode,2,0)&amp;"_"&amp;VLOOKUP($G64,State,2,0)&amp;COUNTIFS($E$3:$E64,$E64,$G$3:$G64,$G64)</f>
        <v>AG_IrrPRed_ID3</v>
      </c>
      <c r="B64" s="7" t="s">
        <v>479</v>
      </c>
      <c r="C64" s="8" t="s">
        <v>34</v>
      </c>
      <c r="D64" s="8" t="s">
        <v>33</v>
      </c>
      <c r="E64" s="8" t="s">
        <v>182</v>
      </c>
      <c r="F64" s="8" t="str">
        <f>[3]M_Input!A68</f>
        <v>Hand-Line_Conversion to Low Pressure System (Alfalfa) - Idaho</v>
      </c>
      <c r="G64" s="8" t="s">
        <v>22</v>
      </c>
      <c r="H64" s="7" t="s">
        <v>21</v>
      </c>
      <c r="I64" s="7" t="s">
        <v>171</v>
      </c>
      <c r="J64" s="8" t="str">
        <f>[3]M_Input!B68</f>
        <v>Pump</v>
      </c>
      <c r="K64" s="12">
        <f>INDEX([3]M_Input!C$8:C$87,MATCH($F64,[3]M_Input!$A$8:$A$87,0),1)</f>
        <v>131.00658286499751</v>
      </c>
      <c r="L64" s="14">
        <f>INDEX([3]M_Input!D$8:D$87,MATCH($F64,[3]M_Input!$A$8:$A$87,0),1)</f>
        <v>10</v>
      </c>
      <c r="M64" s="9">
        <f>INDEX([3]M_Input!E$8:E$87,MATCH($F64,[3]M_Input!$A$8:$A$87,0),1)</f>
        <v>117.11916365051205</v>
      </c>
      <c r="N64" s="10">
        <f>INDEX([3]M_Input!F$8:F$87,MATCH($F64,[3]M_Input!$A$8:$A$87,0),1)</f>
        <v>7.5</v>
      </c>
      <c r="O64" s="8" t="str">
        <f>[3]M_Input!G68</f>
        <v>A-Irr-Irr-Irrigation-All-All-E</v>
      </c>
      <c r="P64" s="8"/>
      <c r="Q64" s="178">
        <f>INDEX([3]!MeasureOutput,MATCH($F64,[3]M_Input_Out!$A$4:$A$83,0),14)</f>
        <v>0</v>
      </c>
      <c r="R64" s="178">
        <f>INDEX([3]!MeasureOutput,MATCH($F64,[3]M_Input_Out!$A$4:$A$83,0),3)</f>
        <v>144.4971127139286</v>
      </c>
      <c r="S64" s="178">
        <f>INDEX([3]!MeasureOutput,MATCH($F64,[3]M_Input_Out!$A$4:$A$83,0),11)</f>
        <v>165.02354169695315</v>
      </c>
      <c r="T64" s="13">
        <f>SUM([3]forRPM!$L63:$AE63)</f>
        <v>2.536462281027731E-2</v>
      </c>
      <c r="U64" s="13">
        <f>[3]forRPM!AF63</f>
        <v>2.3733654362093657E-2</v>
      </c>
      <c r="V64" s="178">
        <f>INDEX([3]!MeasureOutput,MATCH($F64,[3]M_Input_Out!$A$4:$A$83,0),12)</f>
        <v>0.16902345783537681</v>
      </c>
      <c r="W64" s="170" t="str">
        <f>[3]forRPM!A63</f>
        <v>Retro1Slow</v>
      </c>
      <c r="X64" s="170">
        <f>INDEX([3]M_Input!I$8:I$87,MATCH($F64,[3]M_Input!$A$8:$A$87,0),1)</f>
        <v>0</v>
      </c>
      <c r="Y64" s="8">
        <f>INDEX([3]M_Input!J$8:J$87,MATCH($F64,[3]M_Input!$A$8:$A$87,0),1)</f>
        <v>5</v>
      </c>
      <c r="Z64" s="8"/>
      <c r="AA64" s="8"/>
      <c r="AB64" s="8"/>
      <c r="AC64" s="8"/>
      <c r="AD64" s="8"/>
      <c r="AE64" s="8"/>
      <c r="AF64" s="8"/>
      <c r="AG64" s="8"/>
      <c r="AH64" s="8"/>
      <c r="AI64" s="8" t="s">
        <v>411</v>
      </c>
      <c r="AJ64" s="15" t="s">
        <v>516</v>
      </c>
      <c r="AK64" s="8" t="s">
        <v>186</v>
      </c>
      <c r="AL64" s="7" t="s">
        <v>190</v>
      </c>
    </row>
    <row r="65" spans="1:38" s="45" customFormat="1" ht="13.2" x14ac:dyDescent="0.25">
      <c r="A65" s="158" t="str">
        <f>"AG_"&amp;VLOOKUP($E65,MeasureTypeCode,2,0)&amp;"_"&amp;VLOOKUP($G65,State,2,0)&amp;COUNTIFS($E$3:$E65,$E65,$G$3:$G65,$G65)</f>
        <v>AG_IrrPRed_MT1</v>
      </c>
      <c r="B65" s="7" t="s">
        <v>479</v>
      </c>
      <c r="C65" s="8" t="s">
        <v>34</v>
      </c>
      <c r="D65" s="8" t="s">
        <v>33</v>
      </c>
      <c r="E65" s="8" t="s">
        <v>182</v>
      </c>
      <c r="F65" s="8" t="str">
        <f>[3]M_Input!A69</f>
        <v>Pivot and Linear_Pressure Reduction_High to Medium - Montana</v>
      </c>
      <c r="G65" s="8" t="s">
        <v>25</v>
      </c>
      <c r="H65" s="7" t="s">
        <v>21</v>
      </c>
      <c r="I65" s="7" t="s">
        <v>171</v>
      </c>
      <c r="J65" s="8" t="str">
        <f>[3]M_Input!B69</f>
        <v>Pump</v>
      </c>
      <c r="K65" s="12">
        <f>INDEX([3]M_Input!C$8:C$87,MATCH($F65,[3]M_Input!$A$8:$A$87,0),1)</f>
        <v>54.706624668663423</v>
      </c>
      <c r="L65" s="14">
        <f>INDEX([3]M_Input!D$8:D$87,MATCH($F65,[3]M_Input!$A$8:$A$87,0),1)</f>
        <v>10</v>
      </c>
      <c r="M65" s="9">
        <f>INDEX([3]M_Input!E$8:E$87,MATCH($F65,[3]M_Input!$A$8:$A$87,0),1)</f>
        <v>33.676751173193985</v>
      </c>
      <c r="N65" s="10">
        <f>INDEX([3]M_Input!F$8:F$87,MATCH($F65,[3]M_Input!$A$8:$A$87,0),1)</f>
        <v>0</v>
      </c>
      <c r="O65" s="8" t="str">
        <f>[3]M_Input!G69</f>
        <v>A-Irr-Irr-Irrigation-All-All-E</v>
      </c>
      <c r="P65" s="8"/>
      <c r="Q65" s="178">
        <f>INDEX([3]!MeasureOutput,MATCH($F65,[3]M_Input_Out!$A$4:$A$83,0),14)</f>
        <v>0</v>
      </c>
      <c r="R65" s="178">
        <f>INDEX([3]!MeasureOutput,MATCH($F65,[3]M_Input_Out!$A$4:$A$83,0),3)</f>
        <v>60.340092368430888</v>
      </c>
      <c r="S65" s="178">
        <f>INDEX([3]!MeasureOutput,MATCH($F65,[3]M_Input_Out!$A$4:$A$83,0),11)</f>
        <v>76.976184191563974</v>
      </c>
      <c r="T65" s="13">
        <f>SUM([3]forRPM!$L64:$AE64)</f>
        <v>4.1349077076669336E-2</v>
      </c>
      <c r="U65" s="13">
        <f>[3]forRPM!AF64</f>
        <v>4.0282107560139536E-2</v>
      </c>
      <c r="V65" s="178">
        <f>INDEX([3]!MeasureOutput,MATCH($F65,[3]M_Input_Out!$A$4:$A$83,0),12)</f>
        <v>0.35524581245408521</v>
      </c>
      <c r="W65" s="170" t="str">
        <f>[3]forRPM!A64</f>
        <v>Retro3Slow</v>
      </c>
      <c r="X65" s="8">
        <f>INDEX([3]M_Input!I$8:I$87,MATCH($F65,[3]M_Input!$A$8:$A$87,0),1)</f>
        <v>0</v>
      </c>
      <c r="Y65" s="8">
        <f>INDEX([3]M_Input!J$8:J$87,MATCH($F65,[3]M_Input!$A$8:$A$87,0),1)</f>
        <v>0</v>
      </c>
      <c r="Z65" s="8"/>
      <c r="AA65" s="8"/>
      <c r="AB65" s="8"/>
      <c r="AC65" s="8"/>
      <c r="AD65" s="8"/>
      <c r="AE65" s="8"/>
      <c r="AF65" s="8"/>
      <c r="AG65" s="8"/>
      <c r="AH65" s="8"/>
      <c r="AI65" s="8" t="s">
        <v>188</v>
      </c>
      <c r="AJ65" s="15" t="s">
        <v>516</v>
      </c>
      <c r="AK65" s="15" t="s">
        <v>187</v>
      </c>
      <c r="AL65" s="7" t="s">
        <v>190</v>
      </c>
    </row>
    <row r="66" spans="1:38" s="45" customFormat="1" ht="13.2" x14ac:dyDescent="0.25">
      <c r="A66" s="158" t="str">
        <f>"AG_"&amp;VLOOKUP($E66,MeasureTypeCode,2,0)&amp;"_"&amp;VLOOKUP($G66,State,2,0)&amp;COUNTIFS($E$3:$E66,$E66,$G$3:$G66,$G66)</f>
        <v>AG_IrrConvert_MT1</v>
      </c>
      <c r="B66" s="7" t="s">
        <v>479</v>
      </c>
      <c r="C66" s="8" t="s">
        <v>34</v>
      </c>
      <c r="D66" s="8" t="s">
        <v>33</v>
      </c>
      <c r="E66" s="8" t="s">
        <v>183</v>
      </c>
      <c r="F66" s="8" t="str">
        <f>[3]M_Input!A70</f>
        <v>Pivot and Linear_Pressure Reduction_Medium to Low - Montana</v>
      </c>
      <c r="G66" s="8" t="s">
        <v>25</v>
      </c>
      <c r="H66" s="7" t="s">
        <v>21</v>
      </c>
      <c r="I66" s="7" t="s">
        <v>171</v>
      </c>
      <c r="J66" s="8" t="str">
        <f>[3]M_Input!B70</f>
        <v>Pump</v>
      </c>
      <c r="K66" s="12">
        <f>INDEX([3]M_Input!C$8:C$87,MATCH($F66,[3]M_Input!$A$8:$A$87,0),1)</f>
        <v>130.32338258095652</v>
      </c>
      <c r="L66" s="14">
        <f>INDEX([3]M_Input!D$8:D$87,MATCH($F66,[3]M_Input!$A$8:$A$87,0),1)</f>
        <v>10</v>
      </c>
      <c r="M66" s="9">
        <f>INDEX([3]M_Input!E$8:E$87,MATCH($F66,[3]M_Input!$A$8:$A$87,0),1)</f>
        <v>28.178627478849705</v>
      </c>
      <c r="N66" s="10">
        <f>INDEX([3]M_Input!F$8:F$87,MATCH($F66,[3]M_Input!$A$8:$A$87,0),1)</f>
        <v>0</v>
      </c>
      <c r="O66" s="8" t="str">
        <f>[3]M_Input!G70</f>
        <v>A-Irr-Irr-Irrigation-All-All-E</v>
      </c>
      <c r="P66" s="8"/>
      <c r="Q66" s="178">
        <f>INDEX([3]!MeasureOutput,MATCH($F66,[3]M_Input_Out!$A$4:$A$83,0),14)</f>
        <v>0</v>
      </c>
      <c r="R66" s="178">
        <f>INDEX([3]!MeasureOutput,MATCH($F66,[3]M_Input_Out!$A$4:$A$83,0),3)</f>
        <v>143.74355921844517</v>
      </c>
      <c r="S66" s="178">
        <f>INDEX([3]!MeasureOutput,MATCH($F66,[3]M_Input_Out!$A$4:$A$83,0),11)</f>
        <v>25.130358263298813</v>
      </c>
      <c r="T66" s="13">
        <f>SUM([3]forRPM!$L65:$AE65)</f>
        <v>0.14084427603038419</v>
      </c>
      <c r="U66" s="13">
        <f>[3]forRPM!AF65</f>
        <v>0.13845008417318991</v>
      </c>
      <c r="V66" s="178">
        <f>INDEX([3]!MeasureOutput,MATCH($F66,[3]M_Input_Out!$A$4:$A$83,0),12)</f>
        <v>1.0113971910486534</v>
      </c>
      <c r="W66" s="170" t="str">
        <f>[3]forRPM!A65</f>
        <v>Retro1Slow</v>
      </c>
      <c r="X66" s="8">
        <f>INDEX([3]M_Input!I$8:I$87,MATCH($F66,[3]M_Input!$A$8:$A$87,0),1)</f>
        <v>0</v>
      </c>
      <c r="Y66" s="8">
        <f>INDEX([3]M_Input!J$8:J$87,MATCH($F66,[3]M_Input!$A$8:$A$87,0),1)</f>
        <v>0</v>
      </c>
      <c r="Z66" s="8"/>
      <c r="AA66" s="8"/>
      <c r="AB66" s="8"/>
      <c r="AC66" s="8"/>
      <c r="AD66" s="8"/>
      <c r="AE66" s="8"/>
      <c r="AF66" s="8"/>
      <c r="AG66" s="8"/>
      <c r="AH66" s="8"/>
      <c r="AI66" s="8" t="s">
        <v>188</v>
      </c>
      <c r="AJ66" s="15" t="s">
        <v>516</v>
      </c>
      <c r="AK66" s="15" t="s">
        <v>187</v>
      </c>
      <c r="AL66" s="7" t="s">
        <v>190</v>
      </c>
    </row>
    <row r="67" spans="1:38" s="45" customFormat="1" ht="13.2" x14ac:dyDescent="0.25">
      <c r="A67" s="158" t="str">
        <f>"AG_"&amp;VLOOKUP($E67,MeasureTypeCode,2,0)&amp;"_"&amp;VLOOKUP($G67,State,2,0)&amp;COUNTIFS($E$3:$E67,$E67,$G$3:$G67,$G67)</f>
        <v>AG_IrrConvert_MT2</v>
      </c>
      <c r="B67" s="7" t="s">
        <v>479</v>
      </c>
      <c r="C67" s="8" t="s">
        <v>34</v>
      </c>
      <c r="D67" s="8" t="s">
        <v>33</v>
      </c>
      <c r="E67" s="8" t="s">
        <v>183</v>
      </c>
      <c r="F67" s="8" t="str">
        <f>[3]M_Input!A71</f>
        <v>Pivot and Linear_Pressure Reduction_Medium2 to Low - Montana</v>
      </c>
      <c r="G67" s="8" t="s">
        <v>25</v>
      </c>
      <c r="H67" s="7" t="s">
        <v>21</v>
      </c>
      <c r="I67" s="7" t="s">
        <v>171</v>
      </c>
      <c r="J67" s="8" t="str">
        <f>[3]M_Input!B71</f>
        <v>Pump</v>
      </c>
      <c r="K67" s="12">
        <f>INDEX([3]M_Input!C$8:C$87,MATCH($F67,[3]M_Input!$A$8:$A$87,0),1)</f>
        <v>130.32338258095652</v>
      </c>
      <c r="L67" s="14">
        <f>INDEX([3]M_Input!D$8:D$87,MATCH($F67,[3]M_Input!$A$8:$A$87,0),1)</f>
        <v>10</v>
      </c>
      <c r="M67" s="9">
        <f>INDEX([3]M_Input!E$8:E$87,MATCH($F67,[3]M_Input!$A$8:$A$87,0),1)</f>
        <v>0.01</v>
      </c>
      <c r="N67" s="10">
        <f>INDEX([3]M_Input!F$8:F$87,MATCH($F67,[3]M_Input!$A$8:$A$87,0),1)</f>
        <v>0</v>
      </c>
      <c r="O67" s="8" t="str">
        <f>[3]M_Input!G71</f>
        <v>A-Irr-Irr-Irrigation-All-All-E</v>
      </c>
      <c r="P67" s="8"/>
      <c r="Q67" s="178">
        <f>INDEX([3]!MeasureOutput,MATCH($F67,[3]M_Input_Out!$A$4:$A$83,0),14)</f>
        <v>0</v>
      </c>
      <c r="R67" s="178">
        <f>INDEX([3]!MeasureOutput,MATCH($F67,[3]M_Input_Out!$A$4:$A$83,0),3)</f>
        <v>143.74355921844517</v>
      </c>
      <c r="S67" s="178">
        <f>INDEX([3]!MeasureOutput,MATCH($F67,[3]M_Input_Out!$A$4:$A$83,0),11)</f>
        <v>-2.9294416411860009</v>
      </c>
      <c r="T67" s="13">
        <f>SUM([3]forRPM!$L66:$AE66)</f>
        <v>1.7488150243208302E-2</v>
      </c>
      <c r="U67" s="13">
        <f>[3]forRPM!AF66</f>
        <v>2.9550817422221487E-2</v>
      </c>
      <c r="V67" s="178">
        <f>INDEX([3]!MeasureOutput,MATCH($F67,[3]M_Input_Out!$A$4:$A$83,0),12)</f>
        <v>2849.9784679714994</v>
      </c>
      <c r="W67" s="170" t="str">
        <f>[3]forRPM!A66</f>
        <v>Retro1Slow</v>
      </c>
      <c r="X67" s="8">
        <f>INDEX([3]M_Input!I$8:I$87,MATCH($F67,[3]M_Input!$A$8:$A$87,0),1)</f>
        <v>0</v>
      </c>
      <c r="Y67" s="8">
        <f>INDEX([3]M_Input!J$8:J$87,MATCH($F67,[3]M_Input!$A$8:$A$87,0),1)</f>
        <v>0</v>
      </c>
      <c r="Z67" s="8"/>
      <c r="AA67" s="8"/>
      <c r="AB67" s="8"/>
      <c r="AC67" s="8"/>
      <c r="AD67" s="8"/>
      <c r="AE67" s="8"/>
      <c r="AF67" s="8"/>
      <c r="AG67" s="8"/>
      <c r="AH67" s="8"/>
      <c r="AI67" s="8" t="s">
        <v>188</v>
      </c>
      <c r="AJ67" s="15" t="s">
        <v>516</v>
      </c>
      <c r="AK67" s="15" t="s">
        <v>187</v>
      </c>
      <c r="AL67" s="7" t="s">
        <v>190</v>
      </c>
    </row>
    <row r="68" spans="1:38" s="45" customFormat="1" ht="13.2" x14ac:dyDescent="0.25">
      <c r="A68" s="158" t="str">
        <f>"AG_"&amp;VLOOKUP($E68,MeasureTypeCode,2,0)&amp;"_"&amp;VLOOKUP($G68,State,2,0)&amp;COUNTIFS($E$3:$E68,$E68,$G$3:$G68,$G68)</f>
        <v>AG_IrrPRed_MT2</v>
      </c>
      <c r="B68" s="7" t="s">
        <v>479</v>
      </c>
      <c r="C68" s="8" t="s">
        <v>34</v>
      </c>
      <c r="D68" s="8" t="s">
        <v>33</v>
      </c>
      <c r="E68" s="8" t="s">
        <v>182</v>
      </c>
      <c r="F68" s="8" t="str">
        <f>[3]M_Input!A72</f>
        <v>Wheel-Line_Conversion to Low Pressure System (Alfalfa) - Montana</v>
      </c>
      <c r="G68" s="8" t="s">
        <v>25</v>
      </c>
      <c r="H68" s="7" t="s">
        <v>21</v>
      </c>
      <c r="I68" s="7" t="s">
        <v>171</v>
      </c>
      <c r="J68" s="8" t="str">
        <f>[3]M_Input!B72</f>
        <v>Pump</v>
      </c>
      <c r="K68" s="12">
        <f>INDEX([3]M_Input!C$8:C$87,MATCH($F68,[3]M_Input!$A$8:$A$87,0),1)</f>
        <v>73.326602740188392</v>
      </c>
      <c r="L68" s="14">
        <f>INDEX([3]M_Input!D$8:D$87,MATCH($F68,[3]M_Input!$A$8:$A$87,0),1)</f>
        <v>10</v>
      </c>
      <c r="M68" s="9">
        <f>INDEX([3]M_Input!E$8:E$87,MATCH($F68,[3]M_Input!$A$8:$A$87,0),1)</f>
        <v>67.881278415155279</v>
      </c>
      <c r="N68" s="10">
        <f>INDEX([3]M_Input!F$8:F$87,MATCH($F68,[3]M_Input!$A$8:$A$87,0),1)</f>
        <v>7.5</v>
      </c>
      <c r="O68" s="8" t="str">
        <f>[3]M_Input!G72</f>
        <v>A-Irr-Irr-Irrigation-All-All-E</v>
      </c>
      <c r="P68" s="8"/>
      <c r="Q68" s="178">
        <f>INDEX([3]!MeasureOutput,MATCH($F68,[3]M_Input_Out!$A$4:$A$83,0),14)</f>
        <v>0</v>
      </c>
      <c r="R68" s="178">
        <f>INDEX([3]!MeasureOutput,MATCH($F68,[3]M_Input_Out!$A$4:$A$83,0),3)</f>
        <v>80.877480729324333</v>
      </c>
      <c r="S68" s="178">
        <f>INDEX([3]!MeasureOutput,MATCH($F68,[3]M_Input_Out!$A$4:$A$83,0),11)</f>
        <v>209.97370287237663</v>
      </c>
      <c r="T68" s="13">
        <f>SUM([3]forRPM!$L67:$AE67)</f>
        <v>2.8392843259157804E-2</v>
      </c>
      <c r="U68" s="13">
        <f>[3]forRPM!AF67</f>
        <v>2.791019734659686E-2</v>
      </c>
      <c r="V68" s="178">
        <f>INDEX([3]!MeasureOutput,MATCH($F68,[3]M_Input_Out!$A$4:$A$83,0),12)</f>
        <v>0.13333926807752944</v>
      </c>
      <c r="W68" s="170" t="str">
        <f>[3]forRPM!A67</f>
        <v>Retro1Slow</v>
      </c>
      <c r="X68" s="170">
        <f>INDEX([3]M_Input!I$8:I$87,MATCH($F68,[3]M_Input!$A$8:$A$87,0),1)</f>
        <v>0</v>
      </c>
      <c r="Y68" s="8">
        <f>INDEX([3]M_Input!J$8:J$87,MATCH($F68,[3]M_Input!$A$8:$A$87,0),1)</f>
        <v>5</v>
      </c>
      <c r="Z68" s="8"/>
      <c r="AA68" s="8"/>
      <c r="AB68" s="8"/>
      <c r="AC68" s="8"/>
      <c r="AD68" s="8"/>
      <c r="AE68" s="8"/>
      <c r="AF68" s="8"/>
      <c r="AG68" s="8"/>
      <c r="AH68" s="8"/>
      <c r="AI68" s="8" t="s">
        <v>411</v>
      </c>
      <c r="AJ68" s="15" t="s">
        <v>516</v>
      </c>
      <c r="AK68" s="8" t="s">
        <v>186</v>
      </c>
      <c r="AL68" s="7" t="s">
        <v>190</v>
      </c>
    </row>
    <row r="69" spans="1:38" s="45" customFormat="1" ht="13.2" x14ac:dyDescent="0.25">
      <c r="A69" s="158" t="str">
        <f>"AG_"&amp;VLOOKUP($E69,MeasureTypeCode,2,0)&amp;"_"&amp;VLOOKUP($G69,State,2,0)&amp;COUNTIFS($E$3:$E69,$E69,$G$3:$G69,$G69)</f>
        <v>AG_IrrPRed_MT3</v>
      </c>
      <c r="B69" s="7" t="s">
        <v>479</v>
      </c>
      <c r="C69" s="8" t="s">
        <v>34</v>
      </c>
      <c r="D69" s="8" t="s">
        <v>33</v>
      </c>
      <c r="E69" s="8" t="s">
        <v>182</v>
      </c>
      <c r="F69" s="8" t="str">
        <f>[3]M_Input!A73</f>
        <v>Hand-Line_Conversion to Low Pressure System (Alfalfa) - Montana</v>
      </c>
      <c r="G69" s="8" t="s">
        <v>25</v>
      </c>
      <c r="H69" s="7" t="s">
        <v>21</v>
      </c>
      <c r="I69" s="7" t="s">
        <v>171</v>
      </c>
      <c r="J69" s="8" t="str">
        <f>[3]M_Input!B73</f>
        <v>Pump</v>
      </c>
      <c r="K69" s="12">
        <f>INDEX([3]M_Input!C$8:C$87,MATCH($F69,[3]M_Input!$A$8:$A$87,0),1)</f>
        <v>73.326602740188392</v>
      </c>
      <c r="L69" s="14">
        <f>INDEX([3]M_Input!D$8:D$87,MATCH($F69,[3]M_Input!$A$8:$A$87,0),1)</f>
        <v>10</v>
      </c>
      <c r="M69" s="9">
        <f>INDEX([3]M_Input!E$8:E$87,MATCH($F69,[3]M_Input!$A$8:$A$87,0),1)</f>
        <v>67.881278415155279</v>
      </c>
      <c r="N69" s="10">
        <f>INDEX([3]M_Input!F$8:F$87,MATCH($F69,[3]M_Input!$A$8:$A$87,0),1)</f>
        <v>7.5</v>
      </c>
      <c r="O69" s="8" t="str">
        <f>[3]M_Input!G73</f>
        <v>A-Irr-Irr-Irrigation-All-All-E</v>
      </c>
      <c r="P69" s="8"/>
      <c r="Q69" s="178">
        <f>INDEX([3]!MeasureOutput,MATCH($F69,[3]M_Input_Out!$A$4:$A$83,0),14)</f>
        <v>0</v>
      </c>
      <c r="R69" s="178">
        <f>INDEX([3]!MeasureOutput,MATCH($F69,[3]M_Input_Out!$A$4:$A$83,0),3)</f>
        <v>80.877480729324333</v>
      </c>
      <c r="S69" s="178">
        <f>INDEX([3]!MeasureOutput,MATCH($F69,[3]M_Input_Out!$A$4:$A$83,0),11)</f>
        <v>209.97370287237663</v>
      </c>
      <c r="T69" s="13">
        <f>SUM([3]forRPM!$L68:$AE68)</f>
        <v>4.350311978189335E-3</v>
      </c>
      <c r="U69" s="13">
        <f>[3]forRPM!AF68</f>
        <v>4.2763616423433211E-3</v>
      </c>
      <c r="V69" s="178">
        <f>INDEX([3]!MeasureOutput,MATCH($F69,[3]M_Input_Out!$A$4:$A$83,0),12)</f>
        <v>0.13333926807752944</v>
      </c>
      <c r="W69" s="170" t="str">
        <f>[3]forRPM!A68</f>
        <v>Retro1Slow</v>
      </c>
      <c r="X69" s="170">
        <f>INDEX([3]M_Input!I$8:I$87,MATCH($F69,[3]M_Input!$A$8:$A$87,0),1)</f>
        <v>0</v>
      </c>
      <c r="Y69" s="8">
        <f>INDEX([3]M_Input!J$8:J$87,MATCH($F69,[3]M_Input!$A$8:$A$87,0),1)</f>
        <v>5</v>
      </c>
      <c r="Z69" s="8"/>
      <c r="AA69" s="8"/>
      <c r="AB69" s="8"/>
      <c r="AC69" s="8"/>
      <c r="AD69" s="8"/>
      <c r="AE69" s="8"/>
      <c r="AF69" s="8"/>
      <c r="AG69" s="8"/>
      <c r="AH69" s="8"/>
      <c r="AI69" s="8" t="s">
        <v>411</v>
      </c>
      <c r="AJ69" s="15" t="s">
        <v>516</v>
      </c>
      <c r="AK69" s="8" t="s">
        <v>186</v>
      </c>
      <c r="AL69" s="7" t="s">
        <v>190</v>
      </c>
    </row>
    <row r="70" spans="1:38" s="45" customFormat="1" ht="13.2" x14ac:dyDescent="0.25">
      <c r="A70" s="158" t="str">
        <f>"AG_"&amp;VLOOKUP($E70,MeasureTypeCode,2,0)&amp;"_"&amp;VLOOKUP($G70,State,2,0)&amp;COUNTIFS($E$3:$E70,$E70,$G$3:$G70,$G70)</f>
        <v>AG_IrrConvert_OR1</v>
      </c>
      <c r="B70" s="7" t="s">
        <v>479</v>
      </c>
      <c r="C70" s="8" t="s">
        <v>34</v>
      </c>
      <c r="D70" s="8" t="s">
        <v>33</v>
      </c>
      <c r="E70" s="8" t="s">
        <v>183</v>
      </c>
      <c r="F70" s="8" t="str">
        <f>[3]M_Input!A74</f>
        <v>Pivot and Linear_Pressure Reduction_High to Medium - Oregon</v>
      </c>
      <c r="G70" s="8" t="s">
        <v>24</v>
      </c>
      <c r="H70" s="7" t="s">
        <v>21</v>
      </c>
      <c r="I70" s="7" t="s">
        <v>171</v>
      </c>
      <c r="J70" s="8" t="str">
        <f>[3]M_Input!B74</f>
        <v>Pump</v>
      </c>
      <c r="K70" s="12">
        <f>INDEX([3]M_Input!C$8:C$87,MATCH($F70,[3]M_Input!$A$8:$A$87,0),1)</f>
        <v>213.45106676362514</v>
      </c>
      <c r="L70" s="14">
        <f>INDEX([3]M_Input!D$8:D$87,MATCH($F70,[3]M_Input!$A$8:$A$87,0),1)</f>
        <v>10</v>
      </c>
      <c r="M70" s="9">
        <f>INDEX([3]M_Input!E$8:E$87,MATCH($F70,[3]M_Input!$A$8:$A$87,0),1)</f>
        <v>47.407842670896066</v>
      </c>
      <c r="N70" s="10">
        <f>INDEX([3]M_Input!F$8:F$87,MATCH($F70,[3]M_Input!$A$8:$A$87,0),1)</f>
        <v>0</v>
      </c>
      <c r="O70" s="8" t="str">
        <f>[3]M_Input!G74</f>
        <v>A-Irr-Irr-Irrigation-All-All-E</v>
      </c>
      <c r="P70" s="8"/>
      <c r="Q70" s="178">
        <f>INDEX([3]!MeasureOutput,MATCH($F70,[3]M_Input_Out!$A$4:$A$83,0),14)</f>
        <v>0</v>
      </c>
      <c r="R70" s="178">
        <f>INDEX([3]!MeasureOutput,MATCH($F70,[3]M_Input_Out!$A$4:$A$83,0),3)</f>
        <v>235.43139725150806</v>
      </c>
      <c r="S70" s="178">
        <f>INDEX([3]!MeasureOutput,MATCH($F70,[3]M_Input_Out!$A$4:$A$83,0),11)</f>
        <v>25.89381331233276</v>
      </c>
      <c r="T70" s="13">
        <f>SUM([3]forRPM!$L69:$AE69)</f>
        <v>0.31497156724363412</v>
      </c>
      <c r="U70" s="13">
        <f>[3]forRPM!AF69</f>
        <v>0.34846752087079758</v>
      </c>
      <c r="V70" s="178">
        <f>INDEX([3]!MeasureOutput,MATCH($F70,[3]M_Input_Out!$A$4:$A$83,0),12)</f>
        <v>0.98461709535843811</v>
      </c>
      <c r="W70" s="170" t="str">
        <f>[3]forRPM!A69</f>
        <v>Retro3Slow</v>
      </c>
      <c r="X70" s="8">
        <f>INDEX([3]M_Input!I$8:I$87,MATCH($F70,[3]M_Input!$A$8:$A$87,0),1)</f>
        <v>0</v>
      </c>
      <c r="Y70" s="8">
        <f>INDEX([3]M_Input!J$8:J$87,MATCH($F70,[3]M_Input!$A$8:$A$87,0),1)</f>
        <v>0</v>
      </c>
      <c r="Z70" s="8"/>
      <c r="AA70" s="8"/>
      <c r="AB70" s="8"/>
      <c r="AC70" s="8"/>
      <c r="AD70" s="8"/>
      <c r="AE70" s="8"/>
      <c r="AF70" s="8"/>
      <c r="AG70" s="8"/>
      <c r="AH70" s="8"/>
      <c r="AI70" s="8" t="s">
        <v>188</v>
      </c>
      <c r="AJ70" s="15" t="s">
        <v>516</v>
      </c>
      <c r="AK70" s="8" t="s">
        <v>186</v>
      </c>
      <c r="AL70" s="7" t="s">
        <v>190</v>
      </c>
    </row>
    <row r="71" spans="1:38" s="45" customFormat="1" ht="13.2" x14ac:dyDescent="0.25">
      <c r="A71" s="158" t="str">
        <f>"AG_"&amp;VLOOKUP($E71,MeasureTypeCode,2,0)&amp;"_"&amp;VLOOKUP($G71,State,2,0)&amp;COUNTIFS($E$3:$E71,$E71,$G$3:$G71,$G71)</f>
        <v>AG_IrrConvert_OR2</v>
      </c>
      <c r="B71" s="7" t="s">
        <v>479</v>
      </c>
      <c r="C71" s="8" t="s">
        <v>34</v>
      </c>
      <c r="D71" s="8" t="s">
        <v>33</v>
      </c>
      <c r="E71" s="8" t="s">
        <v>183</v>
      </c>
      <c r="F71" s="8" t="str">
        <f>[3]M_Input!A75</f>
        <v>Pivot and Linear_Pressure Reduction_Medium to Low - Oregon</v>
      </c>
      <c r="G71" s="8" t="s">
        <v>24</v>
      </c>
      <c r="H71" s="7" t="s">
        <v>21</v>
      </c>
      <c r="I71" s="7" t="s">
        <v>171</v>
      </c>
      <c r="J71" s="8" t="str">
        <f>[3]M_Input!B75</f>
        <v>Pump</v>
      </c>
      <c r="K71" s="12">
        <f>INDEX([3]M_Input!C$8:C$87,MATCH($F71,[3]M_Input!$A$8:$A$87,0),1)</f>
        <v>206.58121197288978</v>
      </c>
      <c r="L71" s="14">
        <f>INDEX([3]M_Input!D$8:D$87,MATCH($F71,[3]M_Input!$A$8:$A$87,0),1)</f>
        <v>10</v>
      </c>
      <c r="M71" s="9">
        <f>INDEX([3]M_Input!E$8:E$87,MATCH($F71,[3]M_Input!$A$8:$A$87,0),1)</f>
        <v>32.770851672462449</v>
      </c>
      <c r="N71" s="10">
        <f>INDEX([3]M_Input!F$8:F$87,MATCH($F71,[3]M_Input!$A$8:$A$87,0),1)</f>
        <v>0</v>
      </c>
      <c r="O71" s="8" t="str">
        <f>[3]M_Input!G75</f>
        <v>A-Irr-Irr-Irrigation-All-All-E</v>
      </c>
      <c r="P71" s="8"/>
      <c r="Q71" s="178">
        <f>INDEX([3]!MeasureOutput,MATCH($F71,[3]M_Input_Out!$A$4:$A$83,0),14)</f>
        <v>0</v>
      </c>
      <c r="R71" s="178">
        <f>INDEX([3]!MeasureOutput,MATCH($F71,[3]M_Input_Out!$A$4:$A$83,0),3)</f>
        <v>227.85411250507542</v>
      </c>
      <c r="S71" s="178">
        <f>INDEX([3]!MeasureOutput,MATCH($F71,[3]M_Input_Out!$A$4:$A$83,0),11)</f>
        <v>17.654474928755633</v>
      </c>
      <c r="T71" s="13">
        <f>SUM([3]forRPM!$L70:$AE70)</f>
        <v>0.68784177305418004</v>
      </c>
      <c r="U71" s="13">
        <f>[3]forRPM!AF70</f>
        <v>0.74685678841480374</v>
      </c>
      <c r="V71" s="178">
        <f>INDEX([3]!MeasureOutput,MATCH($F71,[3]M_Input_Out!$A$4:$A$83,0),12)</f>
        <v>1.378549382044481</v>
      </c>
      <c r="W71" s="170" t="str">
        <f>[3]forRPM!A70</f>
        <v>Retro1Slow</v>
      </c>
      <c r="X71" s="8">
        <f>INDEX([3]M_Input!I$8:I$87,MATCH($F71,[3]M_Input!$A$8:$A$87,0),1)</f>
        <v>0</v>
      </c>
      <c r="Y71" s="8">
        <f>INDEX([3]M_Input!J$8:J$87,MATCH($F71,[3]M_Input!$A$8:$A$87,0),1)</f>
        <v>0</v>
      </c>
      <c r="Z71" s="8"/>
      <c r="AA71" s="8"/>
      <c r="AB71" s="8"/>
      <c r="AC71" s="8"/>
      <c r="AD71" s="8"/>
      <c r="AE71" s="8"/>
      <c r="AF71" s="8"/>
      <c r="AG71" s="8"/>
      <c r="AH71" s="8"/>
      <c r="AI71" s="8" t="s">
        <v>188</v>
      </c>
      <c r="AJ71" s="15" t="s">
        <v>516</v>
      </c>
      <c r="AK71" s="15" t="s">
        <v>187</v>
      </c>
      <c r="AL71" s="7" t="s">
        <v>190</v>
      </c>
    </row>
    <row r="72" spans="1:38" s="45" customFormat="1" ht="13.2" x14ac:dyDescent="0.25">
      <c r="A72" s="158" t="str">
        <f>"AG_"&amp;VLOOKUP($E72,MeasureTypeCode,2,0)&amp;"_"&amp;VLOOKUP($G72,State,2,0)&amp;COUNTIFS($E$3:$E72,$E72,$G$3:$G72,$G72)</f>
        <v>AG_IrrPRed_OR1</v>
      </c>
      <c r="B72" s="7" t="s">
        <v>479</v>
      </c>
      <c r="C72" s="8" t="s">
        <v>34</v>
      </c>
      <c r="D72" s="8" t="s">
        <v>33</v>
      </c>
      <c r="E72" s="8" t="s">
        <v>182</v>
      </c>
      <c r="F72" s="8" t="str">
        <f>[3]M_Input!A76</f>
        <v>Pivot and Linear_Pressure Reduction_Medium2 to Low - Oregon</v>
      </c>
      <c r="G72" s="8" t="s">
        <v>24</v>
      </c>
      <c r="H72" s="7" t="s">
        <v>21</v>
      </c>
      <c r="I72" s="7" t="s">
        <v>171</v>
      </c>
      <c r="J72" s="8" t="str">
        <f>[3]M_Input!B76</f>
        <v>Pump</v>
      </c>
      <c r="K72" s="12">
        <f>INDEX([3]M_Input!C$8:C$87,MATCH($F72,[3]M_Input!$A$8:$A$87,0),1)</f>
        <v>206.58121197288978</v>
      </c>
      <c r="L72" s="14">
        <f>INDEX([3]M_Input!D$8:D$87,MATCH($F72,[3]M_Input!$A$8:$A$87,0),1)</f>
        <v>10</v>
      </c>
      <c r="M72" s="9">
        <f>INDEX([3]M_Input!E$8:E$87,MATCH($F72,[3]M_Input!$A$8:$A$87,0),1)</f>
        <v>0.01</v>
      </c>
      <c r="N72" s="10">
        <f>INDEX([3]M_Input!F$8:F$87,MATCH($F72,[3]M_Input!$A$8:$A$87,0),1)</f>
        <v>0</v>
      </c>
      <c r="O72" s="8" t="str">
        <f>[3]M_Input!G76</f>
        <v>A-Irr-Irr-Irrigation-All-All-E</v>
      </c>
      <c r="P72" s="8"/>
      <c r="Q72" s="178">
        <f>INDEX([3]!MeasureOutput,MATCH($F72,[3]M_Input_Out!$A$4:$A$83,0),14)</f>
        <v>0</v>
      </c>
      <c r="R72" s="178">
        <f>INDEX([3]!MeasureOutput,MATCH($F72,[3]M_Input_Out!$A$4:$A$83,0),3)</f>
        <v>227.85411250507542</v>
      </c>
      <c r="S72" s="178">
        <f>INDEX([3]!MeasureOutput,MATCH($F72,[3]M_Input_Out!$A$4:$A$83,0),11)</f>
        <v>-2.9331188009690581</v>
      </c>
      <c r="T72" s="13">
        <f>SUM([3]forRPM!$L71:$AE71)</f>
        <v>5.3163733214518297E-2</v>
      </c>
      <c r="U72" s="13">
        <f>[3]forRPM!AF71</f>
        <v>9.1450292216499834E-2</v>
      </c>
      <c r="V72" s="178">
        <f>INDEX([3]!MeasureOutput,MATCH($F72,[3]M_Input_Out!$A$4:$A$83,0),12)</f>
        <v>4517.6237322144461</v>
      </c>
      <c r="W72" s="170" t="str">
        <f>[3]forRPM!A71</f>
        <v>Retro1Slow</v>
      </c>
      <c r="X72" s="8">
        <f>INDEX([3]M_Input!I$8:I$87,MATCH($F72,[3]M_Input!$A$8:$A$87,0),1)</f>
        <v>0</v>
      </c>
      <c r="Y72" s="8">
        <f>INDEX([3]M_Input!J$8:J$87,MATCH($F72,[3]M_Input!$A$8:$A$87,0),1)</f>
        <v>0</v>
      </c>
      <c r="Z72" s="8"/>
      <c r="AA72" s="8"/>
      <c r="AB72" s="8"/>
      <c r="AC72" s="8"/>
      <c r="AD72" s="8"/>
      <c r="AE72" s="8"/>
      <c r="AF72" s="8"/>
      <c r="AG72" s="8"/>
      <c r="AH72" s="8"/>
      <c r="AI72" s="8" t="s">
        <v>188</v>
      </c>
      <c r="AJ72" s="15" t="s">
        <v>516</v>
      </c>
      <c r="AK72" s="15" t="s">
        <v>187</v>
      </c>
      <c r="AL72" s="7" t="s">
        <v>190</v>
      </c>
    </row>
    <row r="73" spans="1:38" s="45" customFormat="1" ht="13.2" x14ac:dyDescent="0.25">
      <c r="A73" s="158" t="str">
        <f>"AG_"&amp;VLOOKUP($E73,MeasureTypeCode,2,0)&amp;"_"&amp;VLOOKUP($G73,State,2,0)&amp;COUNTIFS($E$3:$E73,$E73,$G$3:$G73,$G73)</f>
        <v>AG_IrrPRed_OR2</v>
      </c>
      <c r="B73" s="7" t="s">
        <v>479</v>
      </c>
      <c r="C73" s="8" t="s">
        <v>34</v>
      </c>
      <c r="D73" s="8" t="s">
        <v>33</v>
      </c>
      <c r="E73" s="8" t="s">
        <v>182</v>
      </c>
      <c r="F73" s="8" t="str">
        <f>[3]M_Input!A77</f>
        <v>Wheel-Line_Conversion to Low Pressure System (Alfalfa) - Oregon</v>
      </c>
      <c r="G73" s="8" t="s">
        <v>24</v>
      </c>
      <c r="H73" s="7" t="s">
        <v>21</v>
      </c>
      <c r="I73" s="7" t="s">
        <v>171</v>
      </c>
      <c r="J73" s="8" t="str">
        <f>[3]M_Input!B77</f>
        <v>Pump</v>
      </c>
      <c r="K73" s="12">
        <f>INDEX([3]M_Input!C$8:C$87,MATCH($F73,[3]M_Input!$A$8:$A$87,0),1)</f>
        <v>176.08152870102978</v>
      </c>
      <c r="L73" s="14">
        <f>INDEX([3]M_Input!D$8:D$87,MATCH($F73,[3]M_Input!$A$8:$A$87,0),1)</f>
        <v>10</v>
      </c>
      <c r="M73" s="9">
        <f>INDEX([3]M_Input!E$8:E$87,MATCH($F73,[3]M_Input!$A$8:$A$87,0),1)</f>
        <v>93.264188785754115</v>
      </c>
      <c r="N73" s="10">
        <f>INDEX([3]M_Input!F$8:F$87,MATCH($F73,[3]M_Input!$A$8:$A$87,0),1)</f>
        <v>7.5000000000000009</v>
      </c>
      <c r="O73" s="8" t="str">
        <f>[3]M_Input!G77</f>
        <v>A-Irr-Irr-Irrigation-All-All-E</v>
      </c>
      <c r="P73" s="8"/>
      <c r="Q73" s="178">
        <f>INDEX([3]!MeasureOutput,MATCH($F73,[3]M_Input_Out!$A$4:$A$83,0),14)</f>
        <v>0</v>
      </c>
      <c r="R73" s="178">
        <f>INDEX([3]!MeasureOutput,MATCH($F73,[3]M_Input_Out!$A$4:$A$83,0),3)</f>
        <v>194.21369478641301</v>
      </c>
      <c r="S73" s="178">
        <f>INDEX([3]!MeasureOutput,MATCH($F73,[3]M_Input_Out!$A$4:$A$83,0),11)</f>
        <v>104.43927225893803</v>
      </c>
      <c r="T73" s="13">
        <f>SUM([3]forRPM!$L72:$AE72)</f>
        <v>0.17551314075833127</v>
      </c>
      <c r="U73" s="13">
        <f>[3]forRPM!AF72</f>
        <v>0.19057170670126991</v>
      </c>
      <c r="V73" s="178">
        <f>INDEX([3]!MeasureOutput,MATCH($F73,[3]M_Input_Out!$A$4:$A$83,0),12)</f>
        <v>0.26438841447592965</v>
      </c>
      <c r="W73" s="170" t="str">
        <f>[3]forRPM!A72</f>
        <v>Retro1Slow</v>
      </c>
      <c r="X73" s="170">
        <f>INDEX([3]M_Input!I$8:I$87,MATCH($F73,[3]M_Input!$A$8:$A$87,0),1)</f>
        <v>0</v>
      </c>
      <c r="Y73" s="8">
        <f>INDEX([3]M_Input!J$8:J$87,MATCH($F73,[3]M_Input!$A$8:$A$87,0),1)</f>
        <v>5</v>
      </c>
      <c r="Z73" s="8"/>
      <c r="AA73" s="8"/>
      <c r="AB73" s="8"/>
      <c r="AC73" s="8"/>
      <c r="AD73" s="8"/>
      <c r="AE73" s="8"/>
      <c r="AF73" s="8"/>
      <c r="AG73" s="8"/>
      <c r="AH73" s="8"/>
      <c r="AI73" s="8" t="s">
        <v>411</v>
      </c>
      <c r="AJ73" s="15" t="s">
        <v>516</v>
      </c>
      <c r="AK73" s="8" t="s">
        <v>186</v>
      </c>
      <c r="AL73" s="7" t="s">
        <v>190</v>
      </c>
    </row>
    <row r="74" spans="1:38" s="45" customFormat="1" ht="13.2" x14ac:dyDescent="0.25">
      <c r="A74" s="158" t="str">
        <f>"AG_"&amp;VLOOKUP($E74,MeasureTypeCode,2,0)&amp;"_"&amp;VLOOKUP($G74,State,2,0)&amp;COUNTIFS($E$3:$E74,$E74,$G$3:$G74,$G74)</f>
        <v>AG_IrrConvert_OR3</v>
      </c>
      <c r="B74" s="7" t="s">
        <v>479</v>
      </c>
      <c r="C74" s="8" t="s">
        <v>34</v>
      </c>
      <c r="D74" s="8" t="s">
        <v>33</v>
      </c>
      <c r="E74" s="8" t="s">
        <v>183</v>
      </c>
      <c r="F74" s="8" t="str">
        <f>[3]M_Input!A78</f>
        <v>Hand-Line_Conversion to Low Pressure System (Alfalfa) - Oregon</v>
      </c>
      <c r="G74" s="8" t="s">
        <v>24</v>
      </c>
      <c r="H74" s="7" t="s">
        <v>21</v>
      </c>
      <c r="I74" s="7" t="s">
        <v>171</v>
      </c>
      <c r="J74" s="8" t="str">
        <f>[3]M_Input!B78</f>
        <v>Pump</v>
      </c>
      <c r="K74" s="12">
        <f>INDEX([3]M_Input!C$8:C$87,MATCH($F74,[3]M_Input!$A$8:$A$87,0),1)</f>
        <v>176.08152870102978</v>
      </c>
      <c r="L74" s="14">
        <f>INDEX([3]M_Input!D$8:D$87,MATCH($F74,[3]M_Input!$A$8:$A$87,0),1)</f>
        <v>10</v>
      </c>
      <c r="M74" s="9">
        <f>INDEX([3]M_Input!E$8:E$87,MATCH($F74,[3]M_Input!$A$8:$A$87,0),1)</f>
        <v>93.264188785754115</v>
      </c>
      <c r="N74" s="10">
        <f>INDEX([3]M_Input!F$8:F$87,MATCH($F74,[3]M_Input!$A$8:$A$87,0),1)</f>
        <v>7.5000000000000009</v>
      </c>
      <c r="O74" s="8" t="str">
        <f>[3]M_Input!G78</f>
        <v>A-Irr-Irr-Irrigation-All-All-E</v>
      </c>
      <c r="P74" s="8"/>
      <c r="Q74" s="178">
        <f>INDEX([3]!MeasureOutput,MATCH($F74,[3]M_Input_Out!$A$4:$A$83,0),14)</f>
        <v>0</v>
      </c>
      <c r="R74" s="178">
        <f>INDEX([3]!MeasureOutput,MATCH($F74,[3]M_Input_Out!$A$4:$A$83,0),3)</f>
        <v>194.21369478641301</v>
      </c>
      <c r="S74" s="178">
        <f>INDEX([3]!MeasureOutput,MATCH($F74,[3]M_Input_Out!$A$4:$A$83,0),11)</f>
        <v>104.43927225893803</v>
      </c>
      <c r="T74" s="13">
        <f>SUM([3]forRPM!$L73:$AE73)</f>
        <v>5.5395669036590822E-2</v>
      </c>
      <c r="U74" s="13">
        <f>[3]forRPM!AF73</f>
        <v>6.0148471769973129E-2</v>
      </c>
      <c r="V74" s="178">
        <f>INDEX([3]!MeasureOutput,MATCH($F74,[3]M_Input_Out!$A$4:$A$83,0),12)</f>
        <v>0.26438841447592965</v>
      </c>
      <c r="W74" s="170" t="str">
        <f>[3]forRPM!A73</f>
        <v>Retro1Slow</v>
      </c>
      <c r="X74" s="170">
        <f>INDEX([3]M_Input!I$8:I$87,MATCH($F74,[3]M_Input!$A$8:$A$87,0),1)</f>
        <v>0</v>
      </c>
      <c r="Y74" s="8">
        <f>INDEX([3]M_Input!J$8:J$87,MATCH($F74,[3]M_Input!$A$8:$A$87,0),1)</f>
        <v>5</v>
      </c>
      <c r="Z74" s="8"/>
      <c r="AA74" s="8"/>
      <c r="AB74" s="8"/>
      <c r="AC74" s="8"/>
      <c r="AD74" s="8"/>
      <c r="AE74" s="8"/>
      <c r="AF74" s="8"/>
      <c r="AG74" s="8"/>
      <c r="AH74" s="8"/>
      <c r="AI74" s="8" t="s">
        <v>411</v>
      </c>
      <c r="AJ74" s="15" t="s">
        <v>516</v>
      </c>
      <c r="AK74" s="8" t="s">
        <v>186</v>
      </c>
      <c r="AL74" s="7" t="s">
        <v>190</v>
      </c>
    </row>
    <row r="75" spans="1:38" s="45" customFormat="1" ht="13.2" x14ac:dyDescent="0.25">
      <c r="A75" s="158" t="str">
        <f>"AG_"&amp;VLOOKUP($E75,MeasureTypeCode,2,0)&amp;"_"&amp;VLOOKUP($G75,State,2,0)&amp;COUNTIFS($E$3:$E75,$E75,$G$3:$G75,$G75)</f>
        <v>AG_IrrConvert_WA1</v>
      </c>
      <c r="B75" s="7" t="s">
        <v>479</v>
      </c>
      <c r="C75" s="8" t="s">
        <v>34</v>
      </c>
      <c r="D75" s="8" t="s">
        <v>33</v>
      </c>
      <c r="E75" s="8" t="s">
        <v>183</v>
      </c>
      <c r="F75" s="8" t="str">
        <f>[3]M_Input!A79</f>
        <v>Pivot and Linear_Pressure Reduction_High to Medium - Washington</v>
      </c>
      <c r="G75" s="8" t="s">
        <v>23</v>
      </c>
      <c r="H75" s="7" t="s">
        <v>21</v>
      </c>
      <c r="I75" s="7" t="s">
        <v>171</v>
      </c>
      <c r="J75" s="8" t="str">
        <f>[3]M_Input!B79</f>
        <v>Pump</v>
      </c>
      <c r="K75" s="12">
        <f>INDEX([3]M_Input!C$8:C$87,MATCH($F75,[3]M_Input!$A$8:$A$87,0),1)</f>
        <v>280.92250339291985</v>
      </c>
      <c r="L75" s="14">
        <f>INDEX([3]M_Input!D$8:D$87,MATCH($F75,[3]M_Input!$A$8:$A$87,0),1)</f>
        <v>10</v>
      </c>
      <c r="M75" s="9">
        <f>INDEX([3]M_Input!E$8:E$87,MATCH($F75,[3]M_Input!$A$8:$A$87,0),1)</f>
        <v>50.822779311810613</v>
      </c>
      <c r="N75" s="10">
        <f>INDEX([3]M_Input!F$8:F$87,MATCH($F75,[3]M_Input!$A$8:$A$87,0),1)</f>
        <v>0</v>
      </c>
      <c r="O75" s="8" t="str">
        <f>[3]M_Input!G79</f>
        <v>A-Irr-Irr-Irrigation-All-All-E</v>
      </c>
      <c r="P75" s="8"/>
      <c r="Q75" s="178">
        <f>INDEX([3]!MeasureOutput,MATCH($F75,[3]M_Input_Out!$A$4:$A$83,0),14)</f>
        <v>0</v>
      </c>
      <c r="R75" s="178">
        <f>INDEX([3]!MeasureOutput,MATCH($F75,[3]M_Input_Out!$A$4:$A$83,0),3)</f>
        <v>309.85077046453728</v>
      </c>
      <c r="S75" s="178">
        <f>INDEX([3]!MeasureOutput,MATCH($F75,[3]M_Input_Out!$A$4:$A$83,0),11)</f>
        <v>20.546816113824374</v>
      </c>
      <c r="T75" s="13">
        <f>SUM([3]forRPM!$L74:$AE74)</f>
        <v>1.4607342368444569</v>
      </c>
      <c r="U75" s="13">
        <f>[3]forRPM!AF74</f>
        <v>1.5805108963806418</v>
      </c>
      <c r="V75" s="178">
        <f>INDEX([3]!MeasureOutput,MATCH($F75,[3]M_Input_Out!$A$4:$A$83,0),12)</f>
        <v>1.2087802449667491</v>
      </c>
      <c r="W75" s="170" t="str">
        <f>[3]forRPM!A74</f>
        <v>Retro3Slow</v>
      </c>
      <c r="X75" s="8">
        <f>INDEX([3]M_Input!I$8:I$87,MATCH($F75,[3]M_Input!$A$8:$A$87,0),1)</f>
        <v>0</v>
      </c>
      <c r="Y75" s="8">
        <f>INDEX([3]M_Input!J$8:J$87,MATCH($F75,[3]M_Input!$A$8:$A$87,0),1)</f>
        <v>0</v>
      </c>
      <c r="Z75" s="8"/>
      <c r="AA75" s="8"/>
      <c r="AB75" s="8"/>
      <c r="AC75" s="8"/>
      <c r="AD75" s="8"/>
      <c r="AE75" s="8"/>
      <c r="AF75" s="8"/>
      <c r="AG75" s="8"/>
      <c r="AH75" s="8"/>
      <c r="AI75" s="8" t="s">
        <v>188</v>
      </c>
      <c r="AJ75" s="15" t="s">
        <v>516</v>
      </c>
      <c r="AK75" s="15" t="s">
        <v>187</v>
      </c>
      <c r="AL75" s="7" t="s">
        <v>190</v>
      </c>
    </row>
    <row r="76" spans="1:38" s="173" customFormat="1" ht="13.2" x14ac:dyDescent="0.25">
      <c r="A76" s="158" t="str">
        <f>"AG_"&amp;VLOOKUP($E76,MeasureTypeCode,2,0)&amp;"_"&amp;VLOOKUP($G76,State,2,0)&amp;COUNTIFS($E$3:$E76,$E76,$G$3:$G76,$G76)</f>
        <v>AG_IrrConvert_WA2</v>
      </c>
      <c r="B76" s="7" t="s">
        <v>479</v>
      </c>
      <c r="C76" s="8" t="s">
        <v>34</v>
      </c>
      <c r="D76" s="8" t="s">
        <v>33</v>
      </c>
      <c r="E76" s="8" t="s">
        <v>183</v>
      </c>
      <c r="F76" s="8" t="str">
        <f>[3]M_Input!A80</f>
        <v>Pivot and Linear_Pressure Reduction_Medium to Low - Washington</v>
      </c>
      <c r="G76" s="8" t="s">
        <v>23</v>
      </c>
      <c r="H76" s="7" t="s">
        <v>21</v>
      </c>
      <c r="I76" s="7" t="s">
        <v>171</v>
      </c>
      <c r="J76" s="8" t="str">
        <f>[3]M_Input!B80</f>
        <v>Pump</v>
      </c>
      <c r="K76" s="12">
        <f>INDEX([3]M_Input!C$8:C$87,MATCH($F76,[3]M_Input!$A$8:$A$87,0),1)</f>
        <v>272.0321030754979</v>
      </c>
      <c r="L76" s="14">
        <f>INDEX([3]M_Input!D$8:D$87,MATCH($F76,[3]M_Input!$A$8:$A$87,0),1)</f>
        <v>10</v>
      </c>
      <c r="M76" s="9">
        <f>INDEX([3]M_Input!E$8:E$87,MATCH($F76,[3]M_Input!$A$8:$A$87,0),1)</f>
        <v>35.989643204399584</v>
      </c>
      <c r="N76" s="10">
        <f>INDEX([3]M_Input!F$8:F$87,MATCH($F76,[3]M_Input!$A$8:$A$87,0),1)</f>
        <v>0</v>
      </c>
      <c r="O76" s="8" t="str">
        <f>[3]M_Input!G80</f>
        <v>A-Irr-Irr-Irrigation-All-All-E</v>
      </c>
      <c r="P76" s="8"/>
      <c r="Q76" s="178">
        <f>INDEX([3]!MeasureOutput,MATCH($F76,[3]M_Input_Out!$A$4:$A$83,0),14)</f>
        <v>0</v>
      </c>
      <c r="R76" s="178">
        <f>INDEX([3]!MeasureOutput,MATCH($F76,[3]M_Input_Out!$A$4:$A$83,0),3)</f>
        <v>300.04487255738945</v>
      </c>
      <c r="S76" s="178">
        <f>INDEX([3]!MeasureOutput,MATCH($F76,[3]M_Input_Out!$A$4:$A$83,0),11)</f>
        <v>14.235670682982754</v>
      </c>
      <c r="T76" s="170">
        <f>SUM([3]forRPM!$L75:$AE75)</f>
        <v>2.6792080775700526</v>
      </c>
      <c r="U76" s="170">
        <f>[3]forRPM!AF75</f>
        <v>2.8500378024367619</v>
      </c>
      <c r="V76" s="178">
        <f>INDEX([3]!MeasureOutput,MATCH($F76,[3]M_Input_Out!$A$4:$A$83,0),12)</f>
        <v>1.6529581307607444</v>
      </c>
      <c r="W76" s="170" t="str">
        <f>[3]forRPM!A75</f>
        <v>Retro1Slow</v>
      </c>
      <c r="X76" s="8">
        <f>INDEX([3]M_Input!I$8:I$87,MATCH($F76,[3]M_Input!$A$8:$A$87,0),1)</f>
        <v>0</v>
      </c>
      <c r="Y76" s="8">
        <f>INDEX([3]M_Input!J$8:J$87,MATCH($F76,[3]M_Input!$A$8:$A$87,0),1)</f>
        <v>0</v>
      </c>
      <c r="Z76" s="8"/>
      <c r="AA76" s="8"/>
      <c r="AB76" s="8"/>
      <c r="AC76" s="8"/>
      <c r="AD76" s="8"/>
      <c r="AE76" s="8"/>
      <c r="AF76" s="8"/>
      <c r="AG76" s="8"/>
      <c r="AH76" s="8"/>
      <c r="AI76" s="8" t="s">
        <v>188</v>
      </c>
      <c r="AJ76" s="15" t="s">
        <v>516</v>
      </c>
      <c r="AK76" s="15" t="s">
        <v>187</v>
      </c>
      <c r="AL76" s="7" t="s">
        <v>190</v>
      </c>
    </row>
    <row r="77" spans="1:38" s="173" customFormat="1" ht="13.2" x14ac:dyDescent="0.25">
      <c r="A77" s="158" t="str">
        <f>"AG_"&amp;VLOOKUP($E77,MeasureTypeCode,2,0)&amp;"_"&amp;VLOOKUP($G77,State,2,0)&amp;COUNTIFS($E$3:$E77,$E77,$G$3:$G77,$G77)</f>
        <v>AG_IrrConvert_WA3</v>
      </c>
      <c r="B77" s="7" t="s">
        <v>479</v>
      </c>
      <c r="C77" s="8" t="s">
        <v>34</v>
      </c>
      <c r="D77" s="8" t="s">
        <v>33</v>
      </c>
      <c r="E77" s="8" t="s">
        <v>183</v>
      </c>
      <c r="F77" s="8" t="str">
        <f>[3]M_Input!A81</f>
        <v>Pivot and Linear_Pressure Reduction_Medium2 to Low - Washington</v>
      </c>
      <c r="G77" s="8" t="s">
        <v>23</v>
      </c>
      <c r="H77" s="7" t="s">
        <v>21</v>
      </c>
      <c r="I77" s="7" t="s">
        <v>171</v>
      </c>
      <c r="J77" s="8" t="str">
        <f>[3]M_Input!B81</f>
        <v>Pump</v>
      </c>
      <c r="K77" s="12">
        <f>INDEX([3]M_Input!C$8:C$87,MATCH($F77,[3]M_Input!$A$8:$A$87,0),1)</f>
        <v>272.0321030754979</v>
      </c>
      <c r="L77" s="14">
        <f>INDEX([3]M_Input!D$8:D$87,MATCH($F77,[3]M_Input!$A$8:$A$87,0),1)</f>
        <v>10</v>
      </c>
      <c r="M77" s="9">
        <f>INDEX([3]M_Input!E$8:E$87,MATCH($F77,[3]M_Input!$A$8:$A$87,0),1)</f>
        <v>0.01</v>
      </c>
      <c r="N77" s="10">
        <f>INDEX([3]M_Input!F$8:F$87,MATCH($F77,[3]M_Input!$A$8:$A$87,0),1)</f>
        <v>0</v>
      </c>
      <c r="O77" s="8" t="str">
        <f>[3]M_Input!G81</f>
        <v>A-Irr-Irr-Irrigation-All-All-E</v>
      </c>
      <c r="P77" s="8"/>
      <c r="Q77" s="178">
        <f>INDEX([3]!MeasureOutput,MATCH($F77,[3]M_Input_Out!$A$4:$A$83,0),14)</f>
        <v>0</v>
      </c>
      <c r="R77" s="178">
        <f>INDEX([3]!MeasureOutput,MATCH($F77,[3]M_Input_Out!$A$4:$A$83,0),3)</f>
        <v>300.04487255738945</v>
      </c>
      <c r="S77" s="178">
        <f>INDEX([3]!MeasureOutput,MATCH($F77,[3]M_Input_Out!$A$4:$A$83,0),11)</f>
        <v>-2.9346307801481122</v>
      </c>
      <c r="T77" s="170">
        <f>SUM([3]forRPM!$L76:$AE76)</f>
        <v>0.24689238135960326</v>
      </c>
      <c r="U77" s="170">
        <f>[3]forRPM!AF76</f>
        <v>0.42435184260841413</v>
      </c>
      <c r="V77" s="178">
        <f>INDEX([3]!MeasureOutput,MATCH($F77,[3]M_Input_Out!$A$4:$A$83,0),12)</f>
        <v>5948.9373357890472</v>
      </c>
      <c r="W77" s="170" t="str">
        <f>[3]forRPM!A76</f>
        <v>Retro1Slow</v>
      </c>
      <c r="X77" s="8">
        <f>INDEX([3]M_Input!I$8:I$87,MATCH($F77,[3]M_Input!$A$8:$A$87,0),1)</f>
        <v>0</v>
      </c>
      <c r="Y77" s="8">
        <f>INDEX([3]M_Input!J$8:J$87,MATCH($F77,[3]M_Input!$A$8:$A$87,0),1)</f>
        <v>0</v>
      </c>
      <c r="Z77" s="8"/>
      <c r="AA77" s="8"/>
      <c r="AB77" s="8"/>
      <c r="AC77" s="8"/>
      <c r="AD77" s="8"/>
      <c r="AE77" s="8"/>
      <c r="AF77" s="8"/>
      <c r="AG77" s="8"/>
      <c r="AH77" s="8"/>
      <c r="AI77" s="8" t="s">
        <v>188</v>
      </c>
      <c r="AJ77" s="15" t="s">
        <v>516</v>
      </c>
      <c r="AK77" s="15" t="s">
        <v>187</v>
      </c>
      <c r="AL77" s="7" t="s">
        <v>190</v>
      </c>
    </row>
    <row r="78" spans="1:38" s="173" customFormat="1" ht="13.2" x14ac:dyDescent="0.25">
      <c r="A78" s="158" t="str">
        <f>"AG_"&amp;VLOOKUP($E78,MeasureTypeCode,2,0)&amp;"_"&amp;VLOOKUP($G78,State,2,0)&amp;COUNTIFS($E$3:$E78,$E78,$G$3:$G78,$G78)</f>
        <v>AG_IrrConvert_WA4</v>
      </c>
      <c r="B78" s="7" t="s">
        <v>479</v>
      </c>
      <c r="C78" s="8" t="s">
        <v>34</v>
      </c>
      <c r="D78" s="8" t="s">
        <v>33</v>
      </c>
      <c r="E78" s="8" t="s">
        <v>183</v>
      </c>
      <c r="F78" s="8" t="str">
        <f>[3]M_Input!A82</f>
        <v>Wheel-Line_Conversion to Low Pressure System (Alfalfa) - Washington</v>
      </c>
      <c r="G78" s="8" t="s">
        <v>23</v>
      </c>
      <c r="H78" s="7" t="s">
        <v>21</v>
      </c>
      <c r="I78" s="7" t="s">
        <v>171</v>
      </c>
      <c r="J78" s="8" t="str">
        <f>[3]M_Input!B82</f>
        <v>Pump</v>
      </c>
      <c r="K78" s="12">
        <f>INDEX([3]M_Input!C$8:C$87,MATCH($F78,[3]M_Input!$A$8:$A$87,0),1)</f>
        <v>176.08152870103007</v>
      </c>
      <c r="L78" s="14">
        <f>INDEX([3]M_Input!D$8:D$87,MATCH($F78,[3]M_Input!$A$8:$A$87,0),1)</f>
        <v>10</v>
      </c>
      <c r="M78" s="9">
        <f>INDEX([3]M_Input!E$8:E$87,MATCH($F78,[3]M_Input!$A$8:$A$87,0),1)</f>
        <v>93.264188785754101</v>
      </c>
      <c r="N78" s="10">
        <f>INDEX([3]M_Input!F$8:F$87,MATCH($F78,[3]M_Input!$A$8:$A$87,0),1)</f>
        <v>7.5</v>
      </c>
      <c r="O78" s="8" t="str">
        <f>[3]M_Input!G82</f>
        <v>A-Irr-Irr-Irrigation-All-All-E</v>
      </c>
      <c r="P78" s="8"/>
      <c r="Q78" s="178">
        <f>INDEX([3]!MeasureOutput,MATCH($F78,[3]M_Input_Out!$A$4:$A$83,0),14)</f>
        <v>0</v>
      </c>
      <c r="R78" s="178">
        <f>INDEX([3]!MeasureOutput,MATCH($F78,[3]M_Input_Out!$A$4:$A$83,0),3)</f>
        <v>194.21369478641333</v>
      </c>
      <c r="S78" s="178">
        <f>INDEX([3]!MeasureOutput,MATCH($F78,[3]M_Input_Out!$A$4:$A$83,0),11)</f>
        <v>104.43927225893788</v>
      </c>
      <c r="T78" s="170">
        <f>SUM([3]forRPM!$L77:$AE77)</f>
        <v>0.19275405835794759</v>
      </c>
      <c r="U78" s="170">
        <f>[3]forRPM!AF77</f>
        <v>0.20504430301341106</v>
      </c>
      <c r="V78" s="178">
        <f>INDEX([3]!MeasureOutput,MATCH($F78,[3]M_Input_Out!$A$4:$A$83,0),12)</f>
        <v>0.26438841447593009</v>
      </c>
      <c r="W78" s="170" t="str">
        <f>[3]forRPM!A77</f>
        <v>Retro1Slow</v>
      </c>
      <c r="X78" s="8">
        <f>INDEX([3]M_Input!I$8:I$87,MATCH($F78,[3]M_Input!$A$8:$A$87,0),1)</f>
        <v>0</v>
      </c>
      <c r="Y78" s="8">
        <f>INDEX([3]M_Input!J$8:J$87,MATCH($F78,[3]M_Input!$A$8:$A$87,0),1)</f>
        <v>5</v>
      </c>
      <c r="Z78" s="8"/>
      <c r="AA78" s="8"/>
      <c r="AB78" s="8"/>
      <c r="AC78" s="8"/>
      <c r="AD78" s="8"/>
      <c r="AE78" s="8"/>
      <c r="AF78" s="8"/>
      <c r="AG78" s="8"/>
      <c r="AH78" s="8"/>
      <c r="AI78" s="8" t="s">
        <v>411</v>
      </c>
      <c r="AJ78" s="15" t="s">
        <v>516</v>
      </c>
      <c r="AK78" s="8" t="s">
        <v>186</v>
      </c>
      <c r="AL78" s="7" t="s">
        <v>190</v>
      </c>
    </row>
    <row r="79" spans="1:38" s="173" customFormat="1" ht="13.2" x14ac:dyDescent="0.25">
      <c r="A79" s="158" t="str">
        <f>"AG_"&amp;VLOOKUP($E79,MeasureTypeCode,2,0)&amp;"_"&amp;VLOOKUP($G79,State,2,0)&amp;COUNTIFS($E$3:$E79,$E79,$G$3:$G79,$G79)</f>
        <v>AG_IrrConvert_WA5</v>
      </c>
      <c r="B79" s="7" t="s">
        <v>479</v>
      </c>
      <c r="C79" s="8" t="s">
        <v>34</v>
      </c>
      <c r="D79" s="8" t="s">
        <v>33</v>
      </c>
      <c r="E79" s="8" t="s">
        <v>183</v>
      </c>
      <c r="F79" s="8" t="str">
        <f>[3]M_Input!A83</f>
        <v>Hand-Line_Conversion to Low Pressure System (Alfalfa) - Washington</v>
      </c>
      <c r="G79" s="8" t="s">
        <v>23</v>
      </c>
      <c r="H79" s="7" t="s">
        <v>21</v>
      </c>
      <c r="I79" s="7" t="s">
        <v>171</v>
      </c>
      <c r="J79" s="8" t="str">
        <f>[3]M_Input!B83</f>
        <v>Pump</v>
      </c>
      <c r="K79" s="12">
        <f>INDEX([3]M_Input!C$8:C$87,MATCH($F79,[3]M_Input!$A$8:$A$87,0),1)</f>
        <v>176.08152870103007</v>
      </c>
      <c r="L79" s="14">
        <f>INDEX([3]M_Input!D$8:D$87,MATCH($F79,[3]M_Input!$A$8:$A$87,0),1)</f>
        <v>10</v>
      </c>
      <c r="M79" s="9">
        <f>INDEX([3]M_Input!E$8:E$87,MATCH($F79,[3]M_Input!$A$8:$A$87,0),1)</f>
        <v>93.264188785754101</v>
      </c>
      <c r="N79" s="10">
        <f>INDEX([3]M_Input!F$8:F$87,MATCH($F79,[3]M_Input!$A$8:$A$87,0),1)</f>
        <v>7.5</v>
      </c>
      <c r="O79" s="8" t="str">
        <f>[3]M_Input!G83</f>
        <v>A-Irr-Irr-Irrigation-All-All-E</v>
      </c>
      <c r="P79" s="8"/>
      <c r="Q79" s="178">
        <f>INDEX([3]!MeasureOutput,MATCH($F79,[3]M_Input_Out!$A$4:$A$83,0),14)</f>
        <v>0</v>
      </c>
      <c r="R79" s="178">
        <f>INDEX([3]!MeasureOutput,MATCH($F79,[3]M_Input_Out!$A$4:$A$83,0),3)</f>
        <v>194.21369478641333</v>
      </c>
      <c r="S79" s="178">
        <f>INDEX([3]!MeasureOutput,MATCH($F79,[3]M_Input_Out!$A$4:$A$83,0),11)</f>
        <v>104.43927225893788</v>
      </c>
      <c r="T79" s="170">
        <f>SUM([3]forRPM!$L78:$AE78)</f>
        <v>5.851516578946285E-2</v>
      </c>
      <c r="U79" s="170">
        <f>[3]forRPM!AF78</f>
        <v>6.2246167407452112E-2</v>
      </c>
      <c r="V79" s="178">
        <f>INDEX([3]!MeasureOutput,MATCH($F79,[3]M_Input_Out!$A$4:$A$83,0),12)</f>
        <v>0.26438841447593009</v>
      </c>
      <c r="W79" s="170" t="str">
        <f>[3]forRPM!A78</f>
        <v>Retro1Slow</v>
      </c>
      <c r="X79" s="8">
        <f>INDEX([3]M_Input!I$8:I$87,MATCH($F79,[3]M_Input!$A$8:$A$87,0),1)</f>
        <v>0</v>
      </c>
      <c r="Y79" s="8">
        <f>INDEX([3]M_Input!J$8:J$87,MATCH($F79,[3]M_Input!$A$8:$A$87,0),1)</f>
        <v>5</v>
      </c>
      <c r="Z79" s="8"/>
      <c r="AA79" s="8"/>
      <c r="AB79" s="8"/>
      <c r="AC79" s="8"/>
      <c r="AD79" s="8"/>
      <c r="AE79" s="8"/>
      <c r="AF79" s="8"/>
      <c r="AG79" s="8"/>
      <c r="AH79" s="8"/>
      <c r="AI79" s="8" t="s">
        <v>411</v>
      </c>
      <c r="AJ79" s="15" t="s">
        <v>516</v>
      </c>
      <c r="AK79" s="8" t="s">
        <v>186</v>
      </c>
      <c r="AL79" s="7" t="s">
        <v>190</v>
      </c>
    </row>
    <row r="80" spans="1:38" s="216" customFormat="1" ht="13.2" x14ac:dyDescent="0.25">
      <c r="A80" s="206" t="str">
        <f>"AG_"&amp;VLOOKUP($E80,MeasureTypeCode,2,0)&amp;"_"&amp;VLOOKUP($G80,State,2,0)&amp;COUNTIFS($E$3:$E80,$E80,$G$3:$G80,$G80)</f>
        <v>AG_IrrCtrl_ID1</v>
      </c>
      <c r="B80" s="207" t="s">
        <v>37</v>
      </c>
      <c r="C80" s="208" t="s">
        <v>34</v>
      </c>
      <c r="D80" s="208" t="s">
        <v>57</v>
      </c>
      <c r="E80" s="208" t="s">
        <v>184</v>
      </c>
      <c r="F80" s="208" t="str">
        <f>[3]M_Input!A84</f>
        <v>Variable Rate Irrigation - Idaho</v>
      </c>
      <c r="G80" s="208" t="s">
        <v>22</v>
      </c>
      <c r="H80" s="207" t="s">
        <v>21</v>
      </c>
      <c r="I80" s="207" t="s">
        <v>171</v>
      </c>
      <c r="J80" s="208" t="str">
        <f>[3]M_Input!B80</f>
        <v>Pump</v>
      </c>
      <c r="K80" s="209">
        <f>INDEX([3]M_Input!C$8:C$87,MATCH($F80,[3]M_Input!$A$8:$A$87,0),1)</f>
        <v>56.93248276711963</v>
      </c>
      <c r="L80" s="210">
        <f>INDEX([3]M_Input!D$8:D$87,MATCH($F80,[3]M_Input!$A$8:$A$87,0),1)</f>
        <v>10</v>
      </c>
      <c r="M80" s="211">
        <f>INDEX([3]M_Input!E$8:E$87,MATCH($F80,[3]M_Input!$A$8:$A$87,0),1)</f>
        <v>317.01782041354164</v>
      </c>
      <c r="N80" s="212">
        <f>INDEX([3]M_Input!F$8:F$87,MATCH($F80,[3]M_Input!$A$8:$A$87,0),1)</f>
        <v>0</v>
      </c>
      <c r="O80" s="208" t="str">
        <f>[3]M_Input!G80</f>
        <v>A-Irr-Irr-Irrigation-All-All-E</v>
      </c>
      <c r="P80" s="208"/>
      <c r="Q80" s="213">
        <f>INDEX([3]!MeasureOutput,MATCH($F80,[3]M_Input_Out!$A$4:$A$83,0),14)</f>
        <v>0</v>
      </c>
      <c r="R80" s="213">
        <f>INDEX([3]!MeasureOutput,MATCH($F80,[3]M_Input_Out!$A$4:$A$83,0),3)</f>
        <v>62.795160361993304</v>
      </c>
      <c r="S80" s="213">
        <f>INDEX([3]!MeasureOutput,MATCH($F80,[3]M_Input_Out!$A$4:$A$83,0),11)</f>
        <v>719.93821700160993</v>
      </c>
      <c r="T80" s="214">
        <f>SUM([3]forRPM!$L79:$AE79)</f>
        <v>5.0791238202574345</v>
      </c>
      <c r="U80" s="214">
        <f>[3]forRPM!AF79</f>
        <v>4.7525315126477423</v>
      </c>
      <c r="V80" s="213">
        <f>INDEX([3]!MeasureOutput,MATCH($F80,[3]M_Input_Out!$A$4:$A$83,0),12)</f>
        <v>3.9273145157985294E-2</v>
      </c>
      <c r="W80" s="214" t="str">
        <f>[3]forRPM!A79</f>
        <v>Retro1Slow</v>
      </c>
      <c r="X80" s="208">
        <f>INDEX([3]M_Input!I$8:I$87,MATCH($F80,[3]M_Input!$A$8:$A$87,0),1)</f>
        <v>0</v>
      </c>
      <c r="Y80" s="208">
        <f>INDEX([3]M_Input!J$8:J$87,MATCH($F80,[3]M_Input!$A$8:$A$87,0),1)</f>
        <v>0</v>
      </c>
      <c r="Z80" s="208"/>
      <c r="AA80" s="208"/>
      <c r="AB80" s="208"/>
      <c r="AC80" s="208"/>
      <c r="AD80" s="208"/>
      <c r="AE80" s="208"/>
      <c r="AF80" s="208"/>
      <c r="AG80" s="208"/>
      <c r="AH80" s="208"/>
      <c r="AI80" s="208" t="s">
        <v>198</v>
      </c>
      <c r="AJ80" s="208" t="s">
        <v>515</v>
      </c>
      <c r="AK80" s="215" t="s">
        <v>63</v>
      </c>
      <c r="AL80" s="207" t="s">
        <v>185</v>
      </c>
    </row>
    <row r="81" spans="1:46" s="216" customFormat="1" ht="13.2" x14ac:dyDescent="0.25">
      <c r="A81" s="206" t="str">
        <f>"AG_"&amp;VLOOKUP($E81,MeasureTypeCode,2,0)&amp;"_"&amp;VLOOKUP($G81,State,2,0)&amp;COUNTIFS($E$3:$E81,$E81,$G$3:$G81,$G81)</f>
        <v>AG_IrrCtrl_MT1</v>
      </c>
      <c r="B81" s="207" t="s">
        <v>37</v>
      </c>
      <c r="C81" s="208" t="s">
        <v>34</v>
      </c>
      <c r="D81" s="208" t="s">
        <v>57</v>
      </c>
      <c r="E81" s="208" t="s">
        <v>184</v>
      </c>
      <c r="F81" s="208" t="str">
        <f>[3]M_Input!A85</f>
        <v>Variable Rate Irrigation - Montana</v>
      </c>
      <c r="G81" s="208" t="s">
        <v>25</v>
      </c>
      <c r="H81" s="207" t="s">
        <v>21</v>
      </c>
      <c r="I81" s="207" t="s">
        <v>171</v>
      </c>
      <c r="J81" s="208" t="str">
        <f>[3]M_Input!B81</f>
        <v>Pump</v>
      </c>
      <c r="K81" s="209">
        <f>INDEX([3]M_Input!C$8:C$87,MATCH($F81,[3]M_Input!$A$8:$A$87,0),1)</f>
        <v>20.13050790795193</v>
      </c>
      <c r="L81" s="210">
        <f>INDEX([3]M_Input!D$8:D$87,MATCH($F81,[3]M_Input!$A$8:$A$87,0),1)</f>
        <v>10</v>
      </c>
      <c r="M81" s="211">
        <f>INDEX([3]M_Input!E$8:E$87,MATCH($F81,[3]M_Input!$A$8:$A$87,0),1)</f>
        <v>300.41992642919615</v>
      </c>
      <c r="N81" s="212">
        <f>INDEX([3]M_Input!F$8:F$87,MATCH($F81,[3]M_Input!$A$8:$A$87,0),1)</f>
        <v>0</v>
      </c>
      <c r="O81" s="208" t="str">
        <f>[3]M_Input!G81</f>
        <v>A-Irr-Irr-Irrigation-All-All-E</v>
      </c>
      <c r="P81" s="208"/>
      <c r="Q81" s="213">
        <f>INDEX([3]!MeasureOutput,MATCH($F81,[3]M_Input_Out!$A$4:$A$83,0),14)</f>
        <v>0</v>
      </c>
      <c r="R81" s="213">
        <f>INDEX([3]!MeasureOutput,MATCH($F81,[3]M_Input_Out!$A$4:$A$83,0),3)</f>
        <v>22.203466471310715</v>
      </c>
      <c r="S81" s="213">
        <f>INDEX([3]!MeasureOutput,MATCH($F81,[3]M_Input_Out!$A$4:$A$83,0),11)</f>
        <v>1934.4424603632378</v>
      </c>
      <c r="T81" s="214">
        <f>SUM([3]forRPM!$L80:$AE80)</f>
        <v>0.13132700279333423</v>
      </c>
      <c r="U81" s="214">
        <f>[3]forRPM!AF80</f>
        <v>0.12909459371304119</v>
      </c>
      <c r="V81" s="213">
        <f>INDEX([3]!MeasureOutput,MATCH($F81,[3]M_Input_Out!$A$4:$A$83,0),12)</f>
        <v>1.4653630365191716E-2</v>
      </c>
      <c r="W81" s="214" t="str">
        <f>[3]forRPM!A80</f>
        <v>Retro1Slow</v>
      </c>
      <c r="X81" s="208">
        <f>INDEX([3]M_Input!I$8:I$87,MATCH($F81,[3]M_Input!$A$8:$A$87,0),1)</f>
        <v>0</v>
      </c>
      <c r="Y81" s="208">
        <f>INDEX([3]M_Input!J$8:J$87,MATCH($F81,[3]M_Input!$A$8:$A$87,0),1)</f>
        <v>0</v>
      </c>
      <c r="Z81" s="208"/>
      <c r="AA81" s="208"/>
      <c r="AB81" s="208"/>
      <c r="AC81" s="208"/>
      <c r="AD81" s="208"/>
      <c r="AE81" s="208"/>
      <c r="AF81" s="208"/>
      <c r="AG81" s="208"/>
      <c r="AH81" s="208"/>
      <c r="AI81" s="208" t="s">
        <v>198</v>
      </c>
      <c r="AJ81" s="208" t="s">
        <v>515</v>
      </c>
      <c r="AK81" s="215" t="s">
        <v>63</v>
      </c>
      <c r="AL81" s="207" t="s">
        <v>185</v>
      </c>
    </row>
    <row r="82" spans="1:46" s="216" customFormat="1" ht="13.2" x14ac:dyDescent="0.25">
      <c r="A82" s="206" t="str">
        <f>"AG_"&amp;VLOOKUP($E82,MeasureTypeCode,2,0)&amp;"_"&amp;VLOOKUP($G82,State,2,0)&amp;COUNTIFS($E$3:$E82,$E82,$G$3:$G82,$G82)</f>
        <v>AG_IrrCtrl_OR1</v>
      </c>
      <c r="B82" s="207" t="s">
        <v>37</v>
      </c>
      <c r="C82" s="208" t="s">
        <v>34</v>
      </c>
      <c r="D82" s="208" t="s">
        <v>57</v>
      </c>
      <c r="E82" s="208" t="s">
        <v>184</v>
      </c>
      <c r="F82" s="208" t="str">
        <f>[3]M_Input!A86</f>
        <v>Variable Rate Irrigation - Oregon</v>
      </c>
      <c r="G82" s="208" t="s">
        <v>24</v>
      </c>
      <c r="H82" s="207" t="s">
        <v>21</v>
      </c>
      <c r="I82" s="207" t="s">
        <v>171</v>
      </c>
      <c r="J82" s="208" t="str">
        <f>[3]M_Input!B82</f>
        <v>Pump</v>
      </c>
      <c r="K82" s="209">
        <f>INDEX([3]M_Input!C$8:C$87,MATCH($F82,[3]M_Input!$A$8:$A$87,0),1)</f>
        <v>42.258650370667098</v>
      </c>
      <c r="L82" s="210">
        <f>INDEX([3]M_Input!D$8:D$87,MATCH($F82,[3]M_Input!$A$8:$A$87,0),1)</f>
        <v>10</v>
      </c>
      <c r="M82" s="211">
        <f>INDEX([3]M_Input!E$8:E$87,MATCH($F82,[3]M_Input!$A$8:$A$87,0),1)</f>
        <v>620.12860576958815</v>
      </c>
      <c r="N82" s="212">
        <f>INDEX([3]M_Input!F$8:F$87,MATCH($F82,[3]M_Input!$A$8:$A$87,0),1)</f>
        <v>0</v>
      </c>
      <c r="O82" s="208" t="str">
        <f>[3]M_Input!G82</f>
        <v>A-Irr-Irr-Irrigation-All-All-E</v>
      </c>
      <c r="P82" s="208"/>
      <c r="Q82" s="213">
        <f>INDEX([3]!MeasureOutput,MATCH($F82,[3]M_Input_Out!$A$4:$A$83,0),14)</f>
        <v>0</v>
      </c>
      <c r="R82" s="213">
        <f>INDEX([3]!MeasureOutput,MATCH($F82,[3]M_Input_Out!$A$4:$A$83,0),3)</f>
        <v>46.610275851872935</v>
      </c>
      <c r="S82" s="213">
        <f>INDEX([3]!MeasureOutput,MATCH($F82,[3]M_Input_Out!$A$4:$A$83,0),11)</f>
        <v>1902.1149435237458</v>
      </c>
      <c r="T82" s="214">
        <f>SUM([3]forRPM!$L81:$AE81)</f>
        <v>1.1230814060654819</v>
      </c>
      <c r="U82" s="214">
        <f>[3]forRPM!AF81</f>
        <v>1.2194388374205047</v>
      </c>
      <c r="V82" s="213">
        <f>INDEX([3]!MeasureOutput,MATCH($F82,[3]M_Input_Out!$A$4:$A$83,0),12)</f>
        <v>1.4902292815821085E-2</v>
      </c>
      <c r="W82" s="214" t="str">
        <f>[3]forRPM!A81</f>
        <v>Retro1Slow</v>
      </c>
      <c r="X82" s="208">
        <f>INDEX([3]M_Input!I$8:I$87,MATCH($F82,[3]M_Input!$A$8:$A$87,0),1)</f>
        <v>0</v>
      </c>
      <c r="Y82" s="208">
        <f>INDEX([3]M_Input!J$8:J$87,MATCH($F82,[3]M_Input!$A$8:$A$87,0),1)</f>
        <v>0</v>
      </c>
      <c r="Z82" s="208"/>
      <c r="AA82" s="208"/>
      <c r="AB82" s="208"/>
      <c r="AC82" s="208"/>
      <c r="AD82" s="208"/>
      <c r="AE82" s="208"/>
      <c r="AF82" s="208"/>
      <c r="AG82" s="208"/>
      <c r="AH82" s="208"/>
      <c r="AI82" s="208" t="s">
        <v>198</v>
      </c>
      <c r="AJ82" s="208" t="s">
        <v>515</v>
      </c>
      <c r="AK82" s="215" t="s">
        <v>63</v>
      </c>
      <c r="AL82" s="207" t="s">
        <v>185</v>
      </c>
    </row>
    <row r="83" spans="1:46" s="216" customFormat="1" ht="13.2" x14ac:dyDescent="0.25">
      <c r="A83" s="206" t="str">
        <f>"AG_"&amp;VLOOKUP($E83,MeasureTypeCode,2,0)&amp;"_"&amp;VLOOKUP($G83,State,2,0)&amp;COUNTIFS($E$3:$E83,$E83,$G$3:$G83,$G83)</f>
        <v>AG_IrrCtrl_WA1</v>
      </c>
      <c r="B83" s="207" t="s">
        <v>37</v>
      </c>
      <c r="C83" s="208" t="s">
        <v>34</v>
      </c>
      <c r="D83" s="208" t="s">
        <v>57</v>
      </c>
      <c r="E83" s="208" t="s">
        <v>184</v>
      </c>
      <c r="F83" s="208" t="str">
        <f>[3]M_Input!A87</f>
        <v>Variable Rate Irrigation - Washington</v>
      </c>
      <c r="G83" s="208" t="s">
        <v>23</v>
      </c>
      <c r="H83" s="207" t="s">
        <v>21</v>
      </c>
      <c r="I83" s="207" t="s">
        <v>171</v>
      </c>
      <c r="J83" s="208" t="str">
        <f>[3]M_Input!B83</f>
        <v>Pump</v>
      </c>
      <c r="K83" s="209">
        <f>INDEX([3]M_Input!C$8:C$87,MATCH($F83,[3]M_Input!$A$8:$A$87,0),1)</f>
        <v>47.592217353772845</v>
      </c>
      <c r="L83" s="210">
        <f>INDEX([3]M_Input!D$8:D$87,MATCH($F83,[3]M_Input!$A$8:$A$87,0),1)</f>
        <v>10</v>
      </c>
      <c r="M83" s="211">
        <f>INDEX([3]M_Input!E$8:E$87,MATCH($F83,[3]M_Input!$A$8:$A$87,0),1)</f>
        <v>425.38373128882586</v>
      </c>
      <c r="N83" s="212">
        <f>INDEX([3]M_Input!F$8:F$87,MATCH($F83,[3]M_Input!$A$8:$A$87,0),1)</f>
        <v>0</v>
      </c>
      <c r="O83" s="208" t="str">
        <f>[3]M_Input!G83</f>
        <v>A-Irr-Irr-Irrigation-All-All-E</v>
      </c>
      <c r="P83" s="208"/>
      <c r="Q83" s="213">
        <f>INDEX([3]!MeasureOutput,MATCH($F83,[3]M_Input_Out!$A$4:$A$83,0),14)</f>
        <v>0</v>
      </c>
      <c r="R83" s="213">
        <f>INDEX([3]!MeasureOutput,MATCH($F83,[3]M_Input_Out!$A$4:$A$83,0),3)</f>
        <v>52.493072064635093</v>
      </c>
      <c r="S83" s="213">
        <f>INDEX([3]!MeasureOutput,MATCH($F83,[3]M_Input_Out!$A$4:$A$83,0),11)</f>
        <v>1157.4030022431725</v>
      </c>
      <c r="T83" s="214">
        <f>SUM([3]forRPM!$L82:$AE82)</f>
        <v>2.7566480798242377</v>
      </c>
      <c r="U83" s="214">
        <f>[3]forRPM!AF82</f>
        <v>2.9324154780241645</v>
      </c>
      <c r="V83" s="213">
        <f>INDEX([3]!MeasureOutput,MATCH($F83,[3]M_Input_Out!$A$4:$A$83,0),12)</f>
        <v>2.4466638100616701E-2</v>
      </c>
      <c r="W83" s="214" t="str">
        <f>[3]forRPM!A82</f>
        <v>Retro1Slow</v>
      </c>
      <c r="X83" s="208">
        <f>INDEX([3]M_Input!I$8:I$87,MATCH($F83,[3]M_Input!$A$8:$A$87,0),1)</f>
        <v>0</v>
      </c>
      <c r="Y83" s="208">
        <f>INDEX([3]M_Input!J$8:J$87,MATCH($F83,[3]M_Input!$A$8:$A$87,0),1)</f>
        <v>0</v>
      </c>
      <c r="Z83" s="208"/>
      <c r="AA83" s="208"/>
      <c r="AB83" s="208"/>
      <c r="AC83" s="208"/>
      <c r="AD83" s="208"/>
      <c r="AE83" s="208"/>
      <c r="AF83" s="208"/>
      <c r="AG83" s="208"/>
      <c r="AH83" s="208"/>
      <c r="AI83" s="208" t="s">
        <v>198</v>
      </c>
      <c r="AJ83" s="208" t="s">
        <v>515</v>
      </c>
      <c r="AK83" s="215" t="s">
        <v>63</v>
      </c>
      <c r="AL83" s="207" t="s">
        <v>185</v>
      </c>
    </row>
    <row r="84" spans="1:46" x14ac:dyDescent="0.3">
      <c r="A84" s="162" t="str">
        <f>"AG_"&amp;VLOOKUP($E84,MeasureTypeCode,2,0)&amp;"_"&amp;VLOOKUP($G84,State,2,0)&amp;COUNTIFS($E$3:$E84,$E84,$G$3:$G84,$G84)</f>
        <v>AG_HeatSys_ID1</v>
      </c>
      <c r="B84" s="111" t="s">
        <v>37</v>
      </c>
      <c r="C84" s="112" t="s">
        <v>455</v>
      </c>
      <c r="D84" s="112" t="s">
        <v>57</v>
      </c>
      <c r="E84" s="112" t="s">
        <v>55</v>
      </c>
      <c r="F84" s="112" t="str">
        <f>[4]M_Input!A8</f>
        <v>Energy-Free Stock Watering Tanks - Idaho</v>
      </c>
      <c r="G84" s="112" t="s">
        <v>22</v>
      </c>
      <c r="H84" s="111" t="s">
        <v>59</v>
      </c>
      <c r="I84" s="111" t="s">
        <v>171</v>
      </c>
      <c r="J84" s="112" t="str">
        <f>[4]M_Input!B8</f>
        <v>Process Heating</v>
      </c>
      <c r="K84" s="113">
        <f>[4]M_Input!C8</f>
        <v>673.54628420273048</v>
      </c>
      <c r="L84" s="114">
        <f>[4]M_Input!D8</f>
        <v>10</v>
      </c>
      <c r="M84" s="115">
        <f>[4]M_Input!E8</f>
        <v>600.96177710657821</v>
      </c>
      <c r="N84" s="116">
        <f>[4]M_Input!F8</f>
        <v>0</v>
      </c>
      <c r="O84" s="112" t="str">
        <f>[4]M_Input!G8</f>
        <v>A-StockTank</v>
      </c>
      <c r="P84" s="112"/>
      <c r="Q84" s="118">
        <f>[4]forRPM!F3</f>
        <v>0.13286329914613279</v>
      </c>
      <c r="R84" s="118">
        <f>[4]forRPM!H3</f>
        <v>752.33330496416238</v>
      </c>
      <c r="S84" s="118">
        <f>[4]forRPM!I3</f>
        <v>66.821144587876674</v>
      </c>
      <c r="T84" s="118">
        <f>SUM([4]forRPM!$L3:$AE3)</f>
        <v>1.411939372531156</v>
      </c>
      <c r="U84" s="118">
        <f>[4]forRPM!AF3</f>
        <v>1.5018657578434107</v>
      </c>
      <c r="V84" s="118">
        <f>[4]forRPM!BF3</f>
        <v>0.67912783532048204</v>
      </c>
      <c r="W84" s="176" t="str">
        <f>[4]forRPM!A3</f>
        <v>LO1Slow</v>
      </c>
      <c r="X84" s="112"/>
      <c r="Y84" s="112"/>
      <c r="Z84" s="112"/>
      <c r="AA84" s="112"/>
      <c r="AB84" s="112"/>
      <c r="AC84" s="112"/>
      <c r="AD84" s="112"/>
      <c r="AE84" s="112"/>
      <c r="AF84" s="112"/>
      <c r="AG84" s="112"/>
      <c r="AH84" s="112"/>
      <c r="AI84" s="112" t="s">
        <v>60</v>
      </c>
      <c r="AJ84" s="112" t="s">
        <v>459</v>
      </c>
      <c r="AK84" s="117" t="s">
        <v>458</v>
      </c>
      <c r="AL84" s="37" t="s">
        <v>65</v>
      </c>
      <c r="AM84" s="45"/>
      <c r="AN84" s="45"/>
      <c r="AO84" s="45"/>
      <c r="AP84" s="45"/>
      <c r="AQ84" s="45"/>
      <c r="AR84" s="45"/>
      <c r="AS84" s="45"/>
      <c r="AT84" s="45"/>
    </row>
    <row r="85" spans="1:46" x14ac:dyDescent="0.3">
      <c r="A85" s="162" t="str">
        <f>"AG_"&amp;VLOOKUP($E85,MeasureTypeCode,2,0)&amp;"_"&amp;VLOOKUP($G85,State,2,0)&amp;COUNTIFS($E$3:$E85,$E85,$G$3:$G85,$G85)</f>
        <v>AG_HeatSys_WA1</v>
      </c>
      <c r="B85" s="111" t="s">
        <v>37</v>
      </c>
      <c r="C85" s="112" t="s">
        <v>455</v>
      </c>
      <c r="D85" s="112" t="s">
        <v>57</v>
      </c>
      <c r="E85" s="112" t="s">
        <v>55</v>
      </c>
      <c r="F85" s="112" t="str">
        <f>[4]M_Input!A9</f>
        <v>Energy-Free Stock Watering Tanks - Montana</v>
      </c>
      <c r="G85" s="112" t="s">
        <v>23</v>
      </c>
      <c r="H85" s="111" t="s">
        <v>59</v>
      </c>
      <c r="I85" s="111" t="s">
        <v>171</v>
      </c>
      <c r="J85" s="112" t="str">
        <f>[4]M_Input!B9</f>
        <v>Process Heating</v>
      </c>
      <c r="K85" s="113">
        <f>[4]M_Input!C9</f>
        <v>1415.4847708369816</v>
      </c>
      <c r="L85" s="114">
        <f>[4]M_Input!D9</f>
        <v>10</v>
      </c>
      <c r="M85" s="115">
        <f>[4]M_Input!E9</f>
        <v>600.96177710657821</v>
      </c>
      <c r="N85" s="116">
        <f>[4]M_Input!F9</f>
        <v>0</v>
      </c>
      <c r="O85" s="112" t="str">
        <f>[4]M_Input!G9</f>
        <v>A-StockTank</v>
      </c>
      <c r="P85" s="112"/>
      <c r="Q85" s="118">
        <f>[4]forRPM!F4</f>
        <v>0.27921759937718427</v>
      </c>
      <c r="R85" s="118">
        <f>[4]forRPM!H4</f>
        <v>1581.058883029481</v>
      </c>
      <c r="S85" s="118">
        <f>[4]forRPM!I4</f>
        <v>30.909489799911992</v>
      </c>
      <c r="T85" s="118">
        <f>SUM([4]forRPM!$L4:$AE4)</f>
        <v>0.71160783603968292</v>
      </c>
      <c r="U85" s="118">
        <f>[4]forRPM!AF4</f>
        <v>0.78024125811826928</v>
      </c>
      <c r="V85" s="118">
        <f>[4]forRPM!BF4</f>
        <v>0.98550002467930098</v>
      </c>
      <c r="W85" s="176" t="str">
        <f>[4]forRPM!A4</f>
        <v>LO1Slow</v>
      </c>
      <c r="X85" s="112"/>
      <c r="Y85" s="112"/>
      <c r="Z85" s="112"/>
      <c r="AA85" s="112"/>
      <c r="AB85" s="112"/>
      <c r="AC85" s="112"/>
      <c r="AD85" s="112"/>
      <c r="AE85" s="112"/>
      <c r="AF85" s="112"/>
      <c r="AG85" s="112"/>
      <c r="AH85" s="112"/>
      <c r="AI85" s="112" t="s">
        <v>60</v>
      </c>
      <c r="AJ85" s="112" t="s">
        <v>459</v>
      </c>
      <c r="AK85" s="117" t="s">
        <v>458</v>
      </c>
      <c r="AL85" s="37" t="s">
        <v>65</v>
      </c>
      <c r="AM85" s="45"/>
      <c r="AN85" s="45"/>
      <c r="AO85" s="45"/>
      <c r="AP85" s="45"/>
      <c r="AQ85" s="45"/>
      <c r="AR85" s="45"/>
      <c r="AS85" s="45"/>
      <c r="AT85" s="45"/>
    </row>
    <row r="86" spans="1:46" x14ac:dyDescent="0.3">
      <c r="A86" s="162" t="str">
        <f>"AG_"&amp;VLOOKUP($E86,MeasureTypeCode,2,0)&amp;"_"&amp;VLOOKUP($G86,State,2,0)&amp;COUNTIFS($E$3:$E86,$E86,$G$3:$G86,$G86)</f>
        <v>AG_HeatSys_OR1</v>
      </c>
      <c r="B86" s="111" t="s">
        <v>37</v>
      </c>
      <c r="C86" s="112" t="s">
        <v>455</v>
      </c>
      <c r="D86" s="112" t="s">
        <v>57</v>
      </c>
      <c r="E86" s="112" t="s">
        <v>55</v>
      </c>
      <c r="F86" s="112" t="str">
        <f>[4]M_Input!A10</f>
        <v>Energy-Free Stock Watering Tanks - Oregon</v>
      </c>
      <c r="G86" s="112" t="s">
        <v>24</v>
      </c>
      <c r="H86" s="111" t="s">
        <v>59</v>
      </c>
      <c r="I86" s="111" t="s">
        <v>171</v>
      </c>
      <c r="J86" s="112" t="str">
        <f>[4]M_Input!B10</f>
        <v>Process Heating</v>
      </c>
      <c r="K86" s="113">
        <f>[4]M_Input!C10</f>
        <v>151.03278036960774</v>
      </c>
      <c r="L86" s="114">
        <f>[4]M_Input!D10</f>
        <v>10</v>
      </c>
      <c r="M86" s="115">
        <f>[4]M_Input!E10</f>
        <v>600.96177710657821</v>
      </c>
      <c r="N86" s="116">
        <f>[4]M_Input!F10</f>
        <v>0</v>
      </c>
      <c r="O86" s="112" t="str">
        <f>[4]M_Input!G10</f>
        <v>A-StockTank</v>
      </c>
      <c r="P86" s="112"/>
      <c r="Q86" s="118">
        <f>[4]forRPM!F5</f>
        <v>2.9792627395862064E-2</v>
      </c>
      <c r="R86" s="118">
        <f>[4]forRPM!H5</f>
        <v>168.69960309838618</v>
      </c>
      <c r="S86" s="118">
        <f>[4]forRPM!I5</f>
        <v>303.84834162018706</v>
      </c>
      <c r="T86" s="118">
        <f>SUM([4]forRPM!$L5:$AE5)</f>
        <v>0.56859535483866097</v>
      </c>
      <c r="U86" s="118">
        <f>[4]forRPM!AF5</f>
        <v>0.66651558038547598</v>
      </c>
      <c r="V86" s="118">
        <f>[4]forRPM!BF5</f>
        <v>0.46336474641066627</v>
      </c>
      <c r="W86" s="176" t="str">
        <f>[4]forRPM!A5</f>
        <v>LO1Slow</v>
      </c>
      <c r="X86" s="112"/>
      <c r="Y86" s="112"/>
      <c r="Z86" s="112"/>
      <c r="AA86" s="112"/>
      <c r="AB86" s="112"/>
      <c r="AC86" s="112"/>
      <c r="AD86" s="112"/>
      <c r="AE86" s="112"/>
      <c r="AF86" s="112"/>
      <c r="AG86" s="112"/>
      <c r="AH86" s="112"/>
      <c r="AI86" s="112" t="s">
        <v>60</v>
      </c>
      <c r="AJ86" s="112" t="s">
        <v>459</v>
      </c>
      <c r="AK86" s="117" t="s">
        <v>458</v>
      </c>
      <c r="AL86" s="37" t="s">
        <v>65</v>
      </c>
      <c r="AM86" s="45"/>
      <c r="AN86" s="45"/>
      <c r="AO86" s="45"/>
      <c r="AP86" s="45"/>
      <c r="AQ86" s="45"/>
      <c r="AR86" s="45"/>
      <c r="AS86" s="45"/>
      <c r="AT86" s="45"/>
    </row>
    <row r="87" spans="1:46" x14ac:dyDescent="0.3">
      <c r="A87" s="162" t="str">
        <f>"AG_"&amp;VLOOKUP($E87,MeasureTypeCode,2,0)&amp;"_"&amp;VLOOKUP($G87,State,2,0)&amp;COUNTIFS($E$3:$E87,$E87,$G$3:$G87,$G87)</f>
        <v>AG_HeatSys_MT1</v>
      </c>
      <c r="B87" s="111" t="s">
        <v>37</v>
      </c>
      <c r="C87" s="112" t="s">
        <v>455</v>
      </c>
      <c r="D87" s="112" t="s">
        <v>57</v>
      </c>
      <c r="E87" s="112" t="s">
        <v>55</v>
      </c>
      <c r="F87" s="112" t="str">
        <f>[4]M_Input!A11</f>
        <v>Energy-Free Stock Watering Tanks - Washington</v>
      </c>
      <c r="G87" s="112" t="s">
        <v>25</v>
      </c>
      <c r="H87" s="111" t="s">
        <v>59</v>
      </c>
      <c r="I87" s="111" t="s">
        <v>171</v>
      </c>
      <c r="J87" s="112" t="str">
        <f>[4]M_Input!B11</f>
        <v>Process Heating</v>
      </c>
      <c r="K87" s="113">
        <f>[4]M_Input!C11</f>
        <v>64.88490999913482</v>
      </c>
      <c r="L87" s="114">
        <f>[4]M_Input!D11</f>
        <v>10</v>
      </c>
      <c r="M87" s="115">
        <f>[4]M_Input!E11</f>
        <v>600.96177710657821</v>
      </c>
      <c r="N87" s="116">
        <f>[4]M_Input!F11</f>
        <v>0</v>
      </c>
      <c r="O87" s="112" t="str">
        <f>[4]M_Input!G11</f>
        <v>A-StockTank</v>
      </c>
      <c r="P87" s="112"/>
      <c r="Q87" s="118">
        <f>[4]forRPM!F6</f>
        <v>1.2799154875435663E-2</v>
      </c>
      <c r="R87" s="118">
        <f>[4]forRPM!H6</f>
        <v>72.474720634430057</v>
      </c>
      <c r="S87" s="118">
        <f>[4]forRPM!I6</f>
        <v>709.51475870842012</v>
      </c>
      <c r="T87" s="118">
        <f>SUM([4]forRPM!$L6:$AE6)</f>
        <v>0.25103798910327518</v>
      </c>
      <c r="U87" s="118">
        <f>[4]forRPM!AF6</f>
        <v>0.30569746728830394</v>
      </c>
      <c r="V87" s="118">
        <f>[4]forRPM!BF6</f>
        <v>0.42779135761674991</v>
      </c>
      <c r="W87" s="176" t="str">
        <f>[4]forRPM!A6</f>
        <v>LO1Slow</v>
      </c>
      <c r="X87" s="112"/>
      <c r="Y87" s="112"/>
      <c r="Z87" s="112"/>
      <c r="AA87" s="112"/>
      <c r="AB87" s="112"/>
      <c r="AC87" s="112"/>
      <c r="AD87" s="112"/>
      <c r="AE87" s="112"/>
      <c r="AF87" s="112"/>
      <c r="AG87" s="112"/>
      <c r="AH87" s="112"/>
      <c r="AI87" s="112" t="s">
        <v>60</v>
      </c>
      <c r="AJ87" s="112" t="s">
        <v>459</v>
      </c>
      <c r="AK87" s="117" t="s">
        <v>458</v>
      </c>
      <c r="AL87" s="37" t="s">
        <v>65</v>
      </c>
      <c r="AM87" s="45"/>
      <c r="AN87" s="45"/>
      <c r="AO87" s="45"/>
      <c r="AP87" s="45"/>
      <c r="AQ87" s="45"/>
      <c r="AR87" s="45"/>
      <c r="AS87" s="45"/>
      <c r="AT87" s="45"/>
    </row>
    <row r="88" spans="1:46" s="45" customFormat="1" ht="13.2" x14ac:dyDescent="0.25">
      <c r="A88" s="159" t="str">
        <f>"AG_"&amp;VLOOKUP($E88,MeasureTypeCode,2,0)&amp;"_"&amp;VLOOKUP($G88,State,2,0)&amp;COUNTIFS($E$3:$E88,$E88,$G$3:$G88,$G88)</f>
        <v>AG_MtrRewind_ID1</v>
      </c>
      <c r="B88" s="37" t="s">
        <v>479</v>
      </c>
      <c r="C88" s="38" t="s">
        <v>70</v>
      </c>
      <c r="D88" s="38" t="s">
        <v>71</v>
      </c>
      <c r="E88" s="38" t="s">
        <v>218</v>
      </c>
      <c r="F88" s="38" t="str">
        <f>[5]M_Input!A8</f>
        <v>Green Motor Rewind - Well Pump - 160HP - Idaho</v>
      </c>
      <c r="G88" s="38" t="s">
        <v>22</v>
      </c>
      <c r="H88" s="37" t="s">
        <v>67</v>
      </c>
      <c r="I88" s="37" t="s">
        <v>171</v>
      </c>
      <c r="J88" s="38" t="str">
        <f>[5]M_Input!B8</f>
        <v>Electric Motor</v>
      </c>
      <c r="K88" s="39">
        <f>[5]M_Input!C8</f>
        <v>794.9778510054457</v>
      </c>
      <c r="L88" s="40">
        <f>[5]M_Input!D8</f>
        <v>17.240304509707844</v>
      </c>
      <c r="M88" s="41">
        <f>[5]M_Input!E8</f>
        <v>593.70905756945012</v>
      </c>
      <c r="N88" s="42">
        <f>[5]M_Input!F8</f>
        <v>0</v>
      </c>
      <c r="O88" s="38" t="str">
        <f>[5]M_Input!G8</f>
        <v>A-Irr-Irr-Irrigation-All-All-E</v>
      </c>
      <c r="P88" s="38"/>
      <c r="Q88" s="120">
        <f>[5]forRPM!F3</f>
        <v>0</v>
      </c>
      <c r="R88" s="120">
        <f>[5]forRPM!H3</f>
        <v>876.84146574669762</v>
      </c>
      <c r="S88" s="120">
        <f>[5]forRPM!I3</f>
        <v>60.714674192013248</v>
      </c>
      <c r="T88" s="120">
        <f>SUM([5]forRPM!$L3:$AE3)</f>
        <v>0.15901882034388473</v>
      </c>
      <c r="U88" s="120">
        <f>[5]forRPM!AF3</f>
        <v>0.13880732269573362</v>
      </c>
      <c r="V88" s="120">
        <f>[5]forRPM!BF3</f>
        <v>0.50413696325185842</v>
      </c>
      <c r="W88" s="177" t="str">
        <f>[5]forRPM!A3</f>
        <v>Retro12Med</v>
      </c>
      <c r="X88" s="38"/>
      <c r="Y88" s="38"/>
      <c r="Z88" s="38"/>
      <c r="AA88" s="38"/>
      <c r="AB88" s="38"/>
      <c r="AC88" s="38"/>
      <c r="AD88" s="38"/>
      <c r="AE88" s="38"/>
      <c r="AF88" s="38"/>
      <c r="AG88" s="38"/>
      <c r="AH88" s="38"/>
      <c r="AI88" s="38" t="s">
        <v>68</v>
      </c>
      <c r="AJ88" s="43" t="s">
        <v>435</v>
      </c>
      <c r="AK88" s="43" t="s">
        <v>189</v>
      </c>
      <c r="AL88" s="37" t="s">
        <v>66</v>
      </c>
    </row>
    <row r="89" spans="1:46" s="45" customFormat="1" ht="13.2" x14ac:dyDescent="0.25">
      <c r="A89" s="159" t="str">
        <f>"AG_"&amp;VLOOKUP($E89,MeasureTypeCode,2,0)&amp;"_"&amp;VLOOKUP($G89,State,2,0)&amp;COUNTIFS($E$3:$E89,$E89,$G$3:$G89,$G89)</f>
        <v>AG_MtrRewind_WA1</v>
      </c>
      <c r="B89" s="37" t="s">
        <v>479</v>
      </c>
      <c r="C89" s="38" t="s">
        <v>70</v>
      </c>
      <c r="D89" s="38" t="s">
        <v>71</v>
      </c>
      <c r="E89" s="38" t="s">
        <v>218</v>
      </c>
      <c r="F89" s="38" t="str">
        <f>[5]M_Input!A9</f>
        <v>Green Motor Rewind - Well Pump - 40HP - Montana</v>
      </c>
      <c r="G89" s="38" t="s">
        <v>23</v>
      </c>
      <c r="H89" s="37" t="s">
        <v>67</v>
      </c>
      <c r="I89" s="37" t="s">
        <v>171</v>
      </c>
      <c r="J89" s="38" t="str">
        <f>[5]M_Input!B9</f>
        <v>Electric Motor</v>
      </c>
      <c r="K89" s="39">
        <f>[5]M_Input!C9</f>
        <v>275.12202824993074</v>
      </c>
      <c r="L89" s="40">
        <f>[5]M_Input!D9</f>
        <v>17.240304509707844</v>
      </c>
      <c r="M89" s="41">
        <f>[5]M_Input!E9</f>
        <v>271.08259220212858</v>
      </c>
      <c r="N89" s="42">
        <f>[5]M_Input!F9</f>
        <v>0</v>
      </c>
      <c r="O89" s="38" t="str">
        <f>[5]M_Input!G9</f>
        <v>A-Irr-Irr-Irrigation-All-All-E</v>
      </c>
      <c r="P89" s="38"/>
      <c r="Q89" s="120">
        <f>[5]forRPM!F4</f>
        <v>0</v>
      </c>
      <c r="R89" s="120">
        <f>[5]forRPM!H4</f>
        <v>303.45298577157604</v>
      </c>
      <c r="S89" s="120">
        <f>[5]forRPM!I4</f>
        <v>81.04213931856701</v>
      </c>
      <c r="T89" s="120">
        <f>SUM([5]forRPM!$L4:$AE4)</f>
        <v>4.1755845026285859E-3</v>
      </c>
      <c r="U89" s="120">
        <f>[5]forRPM!AF4</f>
        <v>3.942559550892258E-3</v>
      </c>
      <c r="V89" s="120">
        <f>[5]forRPM!BF4</f>
        <v>0.3821122152447558</v>
      </c>
      <c r="W89" s="177" t="str">
        <f>[5]forRPM!A4</f>
        <v>Retro12Med</v>
      </c>
      <c r="X89" s="38"/>
      <c r="Y89" s="38"/>
      <c r="Z89" s="38"/>
      <c r="AA89" s="38"/>
      <c r="AB89" s="38"/>
      <c r="AC89" s="38"/>
      <c r="AD89" s="38"/>
      <c r="AE89" s="38"/>
      <c r="AF89" s="38"/>
      <c r="AG89" s="38"/>
      <c r="AH89" s="38"/>
      <c r="AI89" s="38" t="s">
        <v>68</v>
      </c>
      <c r="AJ89" s="43" t="s">
        <v>435</v>
      </c>
      <c r="AK89" s="43" t="s">
        <v>189</v>
      </c>
      <c r="AL89" s="37" t="s">
        <v>66</v>
      </c>
    </row>
    <row r="90" spans="1:46" s="45" customFormat="1" ht="13.2" x14ac:dyDescent="0.25">
      <c r="A90" s="159" t="str">
        <f>"AG_"&amp;VLOOKUP($E90,MeasureTypeCode,2,0)&amp;"_"&amp;VLOOKUP($G90,State,2,0)&amp;COUNTIFS($E$3:$E90,$E90,$G$3:$G90,$G90)</f>
        <v>AG_MtrRewind_OR1</v>
      </c>
      <c r="B90" s="37" t="s">
        <v>479</v>
      </c>
      <c r="C90" s="38" t="s">
        <v>70</v>
      </c>
      <c r="D90" s="38" t="s">
        <v>71</v>
      </c>
      <c r="E90" s="38" t="s">
        <v>218</v>
      </c>
      <c r="F90" s="38" t="str">
        <f>[5]M_Input!A10</f>
        <v>Green Motor Rewind - Well Pump - 60HP - Oregon</v>
      </c>
      <c r="G90" s="38" t="s">
        <v>24</v>
      </c>
      <c r="H90" s="37" t="s">
        <v>67</v>
      </c>
      <c r="I90" s="37" t="s">
        <v>171</v>
      </c>
      <c r="J90" s="38" t="str">
        <f>[5]M_Input!B10</f>
        <v>Electric Motor</v>
      </c>
      <c r="K90" s="39">
        <f>[5]M_Input!C10</f>
        <v>631.31902255589375</v>
      </c>
      <c r="L90" s="40">
        <f>[5]M_Input!D10</f>
        <v>17.240304509707844</v>
      </c>
      <c r="M90" s="41">
        <f>[5]M_Input!E10</f>
        <v>353.93459573432824</v>
      </c>
      <c r="N90" s="42">
        <f>[5]M_Input!F10</f>
        <v>0</v>
      </c>
      <c r="O90" s="38" t="str">
        <f>[5]M_Input!G10</f>
        <v>A-Irr-Irr-Irrigation-All-All-E</v>
      </c>
      <c r="P90" s="38"/>
      <c r="Q90" s="120">
        <f>[5]forRPM!F5</f>
        <v>0</v>
      </c>
      <c r="R90" s="120">
        <f>[5]forRPM!H5</f>
        <v>696.32971081088692</v>
      </c>
      <c r="S90" s="120">
        <f>[5]forRPM!I5</f>
        <v>44.844511060229571</v>
      </c>
      <c r="T90" s="120">
        <f>SUM([5]forRPM!$L5:$AE5)</f>
        <v>0.26863456615610715</v>
      </c>
      <c r="U90" s="120">
        <f>[5]forRPM!AF5</f>
        <v>0.30657507016995805</v>
      </c>
      <c r="V90" s="120">
        <f>[5]forRPM!BF5</f>
        <v>0.67157272073992746</v>
      </c>
      <c r="W90" s="177" t="str">
        <f>[5]forRPM!A5</f>
        <v>Retro12Med</v>
      </c>
      <c r="X90" s="38"/>
      <c r="Y90" s="38"/>
      <c r="Z90" s="38"/>
      <c r="AA90" s="38"/>
      <c r="AB90" s="38"/>
      <c r="AC90" s="38"/>
      <c r="AD90" s="38"/>
      <c r="AE90" s="38"/>
      <c r="AF90" s="38"/>
      <c r="AG90" s="38"/>
      <c r="AH90" s="38"/>
      <c r="AI90" s="38" t="s">
        <v>68</v>
      </c>
      <c r="AJ90" s="43" t="s">
        <v>435</v>
      </c>
      <c r="AK90" s="43" t="s">
        <v>189</v>
      </c>
      <c r="AL90" s="37" t="s">
        <v>66</v>
      </c>
    </row>
    <row r="91" spans="1:46" s="45" customFormat="1" ht="13.2" x14ac:dyDescent="0.25">
      <c r="A91" s="159" t="str">
        <f>"AG_"&amp;VLOOKUP($E91,MeasureTypeCode,2,0)&amp;"_"&amp;VLOOKUP($G91,State,2,0)&amp;COUNTIFS($E$3:$E91,$E91,$G$3:$G91,$G91)</f>
        <v>AG_MtrRewind_MT1</v>
      </c>
      <c r="B91" s="37" t="s">
        <v>479</v>
      </c>
      <c r="C91" s="38" t="s">
        <v>70</v>
      </c>
      <c r="D91" s="38" t="s">
        <v>71</v>
      </c>
      <c r="E91" s="38" t="s">
        <v>218</v>
      </c>
      <c r="F91" s="38" t="str">
        <f>[5]M_Input!A11</f>
        <v>Green Motor Rewind - Well Pump - 90HP - Washington</v>
      </c>
      <c r="G91" s="38" t="s">
        <v>25</v>
      </c>
      <c r="H91" s="37" t="s">
        <v>67</v>
      </c>
      <c r="I91" s="37" t="s">
        <v>171</v>
      </c>
      <c r="J91" s="38" t="str">
        <f>[5]M_Input!B11</f>
        <v>Electric Motor</v>
      </c>
      <c r="K91" s="39">
        <f>[5]M_Input!C11</f>
        <v>802.84081813326338</v>
      </c>
      <c r="L91" s="40">
        <f>[5]M_Input!D11</f>
        <v>17.240304509707844</v>
      </c>
      <c r="M91" s="41">
        <f>[5]M_Input!E11</f>
        <v>382.57008082610241</v>
      </c>
      <c r="N91" s="42">
        <f>[5]M_Input!F11</f>
        <v>0</v>
      </c>
      <c r="O91" s="38" t="str">
        <f>[5]M_Input!G11</f>
        <v>A-Irr-Irr-Irrigation-All-All-E</v>
      </c>
      <c r="P91" s="38"/>
      <c r="Q91" s="120">
        <f>[5]forRPM!F6</f>
        <v>0</v>
      </c>
      <c r="R91" s="120">
        <f>[5]forRPM!H6</f>
        <v>885.51412953569991</v>
      </c>
      <c r="S91" s="120">
        <f>[5]forRPM!I6</f>
        <v>37.675847733783371</v>
      </c>
      <c r="T91" s="120">
        <f>SUM([5]forRPM!$L6:$AE6)</f>
        <v>0.26073057574338443</v>
      </c>
      <c r="U91" s="120">
        <f>[5]forRPM!AF6</f>
        <v>0.29024358215100637</v>
      </c>
      <c r="V91" s="120">
        <f>[5]forRPM!BF6</f>
        <v>0.79010648937160732</v>
      </c>
      <c r="W91" s="177" t="str">
        <f>[5]forRPM!A6</f>
        <v>Retro12Med</v>
      </c>
      <c r="X91" s="38"/>
      <c r="Y91" s="38"/>
      <c r="Z91" s="38"/>
      <c r="AA91" s="38"/>
      <c r="AB91" s="38"/>
      <c r="AC91" s="38"/>
      <c r="AD91" s="38"/>
      <c r="AE91" s="38"/>
      <c r="AF91" s="38"/>
      <c r="AG91" s="38"/>
      <c r="AH91" s="38"/>
      <c r="AI91" s="38" t="s">
        <v>68</v>
      </c>
      <c r="AJ91" s="43" t="s">
        <v>435</v>
      </c>
      <c r="AK91" s="43" t="s">
        <v>189</v>
      </c>
      <c r="AL91" s="37" t="s">
        <v>66</v>
      </c>
    </row>
    <row r="92" spans="1:46" s="45" customFormat="1" ht="13.2" x14ac:dyDescent="0.25">
      <c r="A92" s="159" t="str">
        <f>"AG_"&amp;VLOOKUP($E92,MeasureTypeCode,2,0)&amp;"_"&amp;VLOOKUP($G92,State,2,0)&amp;COUNTIFS($E$3:$E92,$E92,$G$3:$G92,$G92)</f>
        <v>AG_MtrRewind_ID2</v>
      </c>
      <c r="B92" s="37" t="s">
        <v>479</v>
      </c>
      <c r="C92" s="38" t="s">
        <v>70</v>
      </c>
      <c r="D92" s="38" t="s">
        <v>71</v>
      </c>
      <c r="E92" s="38" t="s">
        <v>218</v>
      </c>
      <c r="F92" s="38" t="str">
        <f>[5]M_Input!A12</f>
        <v>Green Motor Rewind - Booster Pump - 80HP - Idaho</v>
      </c>
      <c r="G92" s="38" t="s">
        <v>22</v>
      </c>
      <c r="H92" s="37" t="s">
        <v>67</v>
      </c>
      <c r="I92" s="37" t="s">
        <v>171</v>
      </c>
      <c r="J92" s="38" t="str">
        <f>[5]M_Input!B12</f>
        <v>Electric Motor</v>
      </c>
      <c r="K92" s="39">
        <f>[5]M_Input!C12</f>
        <v>413.29092519480037</v>
      </c>
      <c r="L92" s="40">
        <f>[5]M_Input!D12</f>
        <v>17.240304509707844</v>
      </c>
      <c r="M92" s="41">
        <f>[5]M_Input!E12</f>
        <v>382.57008082610241</v>
      </c>
      <c r="N92" s="42">
        <f>[5]M_Input!F12</f>
        <v>0</v>
      </c>
      <c r="O92" s="38" t="str">
        <f>[5]M_Input!G12</f>
        <v>A-Irr-Irr-Irrigation-All-All-E</v>
      </c>
      <c r="P92" s="38"/>
      <c r="Q92" s="120">
        <f>[5]forRPM!F7</f>
        <v>0</v>
      </c>
      <c r="R92" s="120">
        <f>[5]forRPM!H7</f>
        <v>455.84995879983967</v>
      </c>
      <c r="S92" s="120">
        <f>[5]forRPM!I7</f>
        <v>75.958001086731514</v>
      </c>
      <c r="T92" s="120">
        <f>SUM([5]forRPM!$L7:$AE7)</f>
        <v>6.8725500757003691E-2</v>
      </c>
      <c r="U92" s="120">
        <f>[5]forRPM!AF7</f>
        <v>5.9990400761202448E-2</v>
      </c>
      <c r="V92" s="120">
        <f>[5]forRPM!BF7</f>
        <v>0.40673547560035056</v>
      </c>
      <c r="W92" s="177" t="str">
        <f>[5]forRPM!A7</f>
        <v>Retro12Med</v>
      </c>
      <c r="X92" s="38"/>
      <c r="Y92" s="38"/>
      <c r="Z92" s="38"/>
      <c r="AA92" s="38"/>
      <c r="AB92" s="38"/>
      <c r="AC92" s="38"/>
      <c r="AD92" s="38"/>
      <c r="AE92" s="38"/>
      <c r="AF92" s="38"/>
      <c r="AG92" s="38"/>
      <c r="AH92" s="38"/>
      <c r="AI92" s="38" t="s">
        <v>68</v>
      </c>
      <c r="AJ92" s="43" t="s">
        <v>435</v>
      </c>
      <c r="AK92" s="43" t="s">
        <v>189</v>
      </c>
      <c r="AL92" s="37" t="s">
        <v>66</v>
      </c>
    </row>
    <row r="93" spans="1:46" s="45" customFormat="1" ht="13.2" x14ac:dyDescent="0.25">
      <c r="A93" s="159" t="str">
        <f>"AG_"&amp;VLOOKUP($E93,MeasureTypeCode,2,0)&amp;"_"&amp;VLOOKUP($G93,State,2,0)&amp;COUNTIFS($E$3:$E93,$E93,$G$3:$G93,$G93)</f>
        <v>AG_MtrRewind_WA2</v>
      </c>
      <c r="B93" s="37" t="s">
        <v>479</v>
      </c>
      <c r="C93" s="38" t="s">
        <v>70</v>
      </c>
      <c r="D93" s="38" t="s">
        <v>71</v>
      </c>
      <c r="E93" s="38" t="s">
        <v>218</v>
      </c>
      <c r="F93" s="38" t="str">
        <f>[5]M_Input!A13</f>
        <v>Green Motor Rewind - Booster Pump - 50HP - Montana</v>
      </c>
      <c r="G93" s="38" t="s">
        <v>23</v>
      </c>
      <c r="H93" s="37" t="s">
        <v>67</v>
      </c>
      <c r="I93" s="37" t="s">
        <v>171</v>
      </c>
      <c r="J93" s="38" t="str">
        <f>[5]M_Input!B13</f>
        <v>Electric Motor</v>
      </c>
      <c r="K93" s="39">
        <f>[5]M_Input!C13</f>
        <v>296.08742820579209</v>
      </c>
      <c r="L93" s="40">
        <f>[5]M_Input!D13</f>
        <v>17.240304509707844</v>
      </c>
      <c r="M93" s="41">
        <f>[5]M_Input!E13</f>
        <v>300.09988376179263</v>
      </c>
      <c r="N93" s="42">
        <f>[5]M_Input!F13</f>
        <v>0</v>
      </c>
      <c r="O93" s="38" t="str">
        <f>[5]M_Input!G13</f>
        <v>A-Irr-Irr-Irrigation-All-All-E</v>
      </c>
      <c r="P93" s="38"/>
      <c r="Q93" s="120">
        <f>[5]forRPM!F8</f>
        <v>0</v>
      </c>
      <c r="R93" s="120">
        <f>[5]forRPM!H8</f>
        <v>326.57731810865056</v>
      </c>
      <c r="S93" s="120">
        <f>[5]forRPM!I8</f>
        <v>83.448601110183944</v>
      </c>
      <c r="T93" s="120">
        <f>SUM([5]forRPM!$L8:$AE8)</f>
        <v>3.7756085001700024E-3</v>
      </c>
      <c r="U93" s="120">
        <f>[5]forRPM!AF8</f>
        <v>3.5649048279120148E-3</v>
      </c>
      <c r="V93" s="120">
        <f>[5]forRPM!BF8</f>
        <v>0.37146793129011457</v>
      </c>
      <c r="W93" s="177" t="str">
        <f>[5]forRPM!A8</f>
        <v>Retro12Med</v>
      </c>
      <c r="X93" s="38"/>
      <c r="Y93" s="38"/>
      <c r="Z93" s="38"/>
      <c r="AA93" s="38"/>
      <c r="AB93" s="38"/>
      <c r="AC93" s="38"/>
      <c r="AD93" s="38"/>
      <c r="AE93" s="38"/>
      <c r="AF93" s="38"/>
      <c r="AG93" s="38"/>
      <c r="AH93" s="38"/>
      <c r="AI93" s="38" t="s">
        <v>68</v>
      </c>
      <c r="AJ93" s="43" t="s">
        <v>435</v>
      </c>
      <c r="AK93" s="43" t="s">
        <v>189</v>
      </c>
      <c r="AL93" s="37" t="s">
        <v>66</v>
      </c>
    </row>
    <row r="94" spans="1:46" s="45" customFormat="1" ht="13.2" x14ac:dyDescent="0.25">
      <c r="A94" s="159" t="str">
        <f>"AG_"&amp;VLOOKUP($E94,MeasureTypeCode,2,0)&amp;"_"&amp;VLOOKUP($G94,State,2,0)&amp;COUNTIFS($E$3:$E94,$E94,$G$3:$G94,$G94)</f>
        <v>AG_MtrRewind_OR2</v>
      </c>
      <c r="B94" s="37" t="s">
        <v>479</v>
      </c>
      <c r="C94" s="38" t="s">
        <v>70</v>
      </c>
      <c r="D94" s="38" t="s">
        <v>71</v>
      </c>
      <c r="E94" s="38" t="s">
        <v>218</v>
      </c>
      <c r="F94" s="38" t="str">
        <f>[5]M_Input!A14</f>
        <v>Green Motor Rewind - Booster Pump - 70HP - Oregon</v>
      </c>
      <c r="G94" s="38" t="s">
        <v>24</v>
      </c>
      <c r="H94" s="37" t="s">
        <v>67</v>
      </c>
      <c r="I94" s="37" t="s">
        <v>171</v>
      </c>
      <c r="J94" s="38" t="str">
        <f>[5]M_Input!B14</f>
        <v>Electric Motor</v>
      </c>
      <c r="K94" s="39">
        <f>[5]M_Input!C14</f>
        <v>609.87119873090705</v>
      </c>
      <c r="L94" s="40">
        <f>[5]M_Input!D14</f>
        <v>17.240304509707844</v>
      </c>
      <c r="M94" s="41">
        <f>[5]M_Input!E14</f>
        <v>353.93459573432824</v>
      </c>
      <c r="N94" s="42">
        <f>[5]M_Input!F14</f>
        <v>0</v>
      </c>
      <c r="O94" s="38" t="str">
        <f>[5]M_Input!G14</f>
        <v>A-Irr-Irr-Irrigation-All-All-E</v>
      </c>
      <c r="P94" s="38"/>
      <c r="Q94" s="120">
        <f>[5]forRPM!F9</f>
        <v>0</v>
      </c>
      <c r="R94" s="120">
        <f>[5]forRPM!H9</f>
        <v>672.67327653917357</v>
      </c>
      <c r="S94" s="120">
        <f>[5]forRPM!I9</f>
        <v>46.52496583938953</v>
      </c>
      <c r="T94" s="120">
        <f>SUM([5]forRPM!$L9:$AE9)</f>
        <v>5.2724838418500113E-2</v>
      </c>
      <c r="U94" s="120">
        <f>[5]forRPM!AF9</f>
        <v>6.0171411554156375E-2</v>
      </c>
      <c r="V94" s="120">
        <f>[5]forRPM!BF9</f>
        <v>0.6487573565809579</v>
      </c>
      <c r="W94" s="177" t="str">
        <f>[5]forRPM!A9</f>
        <v>Retro12Med</v>
      </c>
      <c r="X94" s="38"/>
      <c r="Y94" s="38"/>
      <c r="Z94" s="38"/>
      <c r="AA94" s="38"/>
      <c r="AB94" s="38"/>
      <c r="AC94" s="38"/>
      <c r="AD94" s="38"/>
      <c r="AE94" s="38"/>
      <c r="AF94" s="38"/>
      <c r="AG94" s="38"/>
      <c r="AH94" s="38"/>
      <c r="AI94" s="38" t="s">
        <v>68</v>
      </c>
      <c r="AJ94" s="43" t="s">
        <v>435</v>
      </c>
      <c r="AK94" s="43" t="s">
        <v>189</v>
      </c>
      <c r="AL94" s="37" t="s">
        <v>66</v>
      </c>
    </row>
    <row r="95" spans="1:46" s="45" customFormat="1" ht="13.2" x14ac:dyDescent="0.25">
      <c r="A95" s="159" t="str">
        <f>"AG_"&amp;VLOOKUP($E95,MeasureTypeCode,2,0)&amp;"_"&amp;VLOOKUP($G95,State,2,0)&amp;COUNTIFS($E$3:$E95,$E95,$G$3:$G95,$G95)</f>
        <v>AG_MtrRewind_MT2</v>
      </c>
      <c r="B95" s="37" t="s">
        <v>479</v>
      </c>
      <c r="C95" s="38" t="s">
        <v>70</v>
      </c>
      <c r="D95" s="38" t="s">
        <v>71</v>
      </c>
      <c r="E95" s="38" t="s">
        <v>218</v>
      </c>
      <c r="F95" s="38" t="str">
        <f>[5]M_Input!A15</f>
        <v>Green Motor Rewind - Booster Pump - 80HP - Washington</v>
      </c>
      <c r="G95" s="38" t="s">
        <v>25</v>
      </c>
      <c r="H95" s="37" t="s">
        <v>67</v>
      </c>
      <c r="I95" s="37" t="s">
        <v>171</v>
      </c>
      <c r="J95" s="38" t="str">
        <f>[5]M_Input!B15</f>
        <v>Electric Motor</v>
      </c>
      <c r="K95" s="39">
        <f>[5]M_Input!C15</f>
        <v>717.09534524928313</v>
      </c>
      <c r="L95" s="40">
        <f>[5]M_Input!D15</f>
        <v>17.240304509707844</v>
      </c>
      <c r="M95" s="41">
        <f>[5]M_Input!E15</f>
        <v>382.57008082610241</v>
      </c>
      <c r="N95" s="42">
        <f>[5]M_Input!F15</f>
        <v>0</v>
      </c>
      <c r="O95" s="38" t="str">
        <f>[5]M_Input!G15</f>
        <v>A-Irr-Irr-Irrigation-All-All-E</v>
      </c>
      <c r="P95" s="38"/>
      <c r="Q95" s="120">
        <f>[5]forRPM!F10</f>
        <v>0</v>
      </c>
      <c r="R95" s="120">
        <f>[5]forRPM!H10</f>
        <v>790.93893347251048</v>
      </c>
      <c r="S95" s="120">
        <f>[5]forRPM!I10</f>
        <v>42.532348203533125</v>
      </c>
      <c r="T95" s="120">
        <f>SUM([5]forRPM!$L10:$AE10)</f>
        <v>0.1610141610441149</v>
      </c>
      <c r="U95" s="120">
        <f>[5]forRPM!AF10</f>
        <v>0.17923991747127765</v>
      </c>
      <c r="V95" s="120">
        <f>[5]forRPM!BF10</f>
        <v>0.70572107568848741</v>
      </c>
      <c r="W95" s="177" t="str">
        <f>[5]forRPM!A10</f>
        <v>Retro12Med</v>
      </c>
      <c r="X95" s="38"/>
      <c r="Y95" s="38"/>
      <c r="Z95" s="38"/>
      <c r="AA95" s="38"/>
      <c r="AB95" s="38"/>
      <c r="AC95" s="38"/>
      <c r="AD95" s="38"/>
      <c r="AE95" s="38"/>
      <c r="AF95" s="38"/>
      <c r="AG95" s="38"/>
      <c r="AH95" s="38"/>
      <c r="AI95" s="38" t="s">
        <v>68</v>
      </c>
      <c r="AJ95" s="43" t="s">
        <v>435</v>
      </c>
      <c r="AK95" s="43" t="s">
        <v>189</v>
      </c>
      <c r="AL95" s="37" t="s">
        <v>66</v>
      </c>
    </row>
    <row r="96" spans="1:46" s="45" customFormat="1" ht="13.2" x14ac:dyDescent="0.25">
      <c r="A96" s="159" t="str">
        <f>"AG_"&amp;VLOOKUP($E96,MeasureTypeCode,2,0)&amp;"_"&amp;VLOOKUP($G96,State,2,0)&amp;COUNTIFS($E$3:$E96,$E96,$G$3:$G96,$G96)</f>
        <v>AG_MtrRewind_ID3</v>
      </c>
      <c r="B96" s="37" t="s">
        <v>37</v>
      </c>
      <c r="C96" s="38" t="s">
        <v>70</v>
      </c>
      <c r="D96" s="38" t="s">
        <v>71</v>
      </c>
      <c r="E96" s="38" t="s">
        <v>218</v>
      </c>
      <c r="F96" s="38" t="str">
        <f>[5]M_Input!A16</f>
        <v>Green Motor Rewind - Surface and Tailwater Pump - 70HP - Idaho</v>
      </c>
      <c r="G96" s="38" t="s">
        <v>22</v>
      </c>
      <c r="H96" s="37" t="s">
        <v>67</v>
      </c>
      <c r="I96" s="37" t="s">
        <v>171</v>
      </c>
      <c r="J96" s="38" t="str">
        <f>[5]M_Input!B16</f>
        <v>Electric Motor</v>
      </c>
      <c r="K96" s="39">
        <f>[5]M_Input!C16</f>
        <v>363.62257806763228</v>
      </c>
      <c r="L96" s="40">
        <f>[5]M_Input!D16</f>
        <v>17.240304509707844</v>
      </c>
      <c r="M96" s="41">
        <f>[5]M_Input!E16</f>
        <v>353.93459573432824</v>
      </c>
      <c r="N96" s="42">
        <f>[5]M_Input!F16</f>
        <v>0</v>
      </c>
      <c r="O96" s="87" t="str">
        <f>[5]M_Input!G16</f>
        <v>A-Irr-Irr-Irrigation-All-All-E</v>
      </c>
      <c r="P96" s="38"/>
      <c r="Q96" s="120">
        <f>[5]forRPM!F11</f>
        <v>0</v>
      </c>
      <c r="R96" s="120">
        <f>[5]forRPM!H11</f>
        <v>401.0669654861008</v>
      </c>
      <c r="S96" s="120">
        <f>[5]forRPM!I11</f>
        <v>80.022700400043092</v>
      </c>
      <c r="T96" s="120">
        <f>SUM([5]forRPM!$L11:$AE11)</f>
        <v>0.19262182468656264</v>
      </c>
      <c r="U96" s="120">
        <f>[5]forRPM!AF11</f>
        <v>0.16813934174387776</v>
      </c>
      <c r="V96" s="120">
        <f>[5]forRPM!BF11</f>
        <v>0.38680761287170978</v>
      </c>
      <c r="W96" s="177" t="str">
        <f>[5]forRPM!A11</f>
        <v>Retro12Med</v>
      </c>
      <c r="X96" s="38"/>
      <c r="Y96" s="38"/>
      <c r="Z96" s="38"/>
      <c r="AA96" s="38"/>
      <c r="AB96" s="38"/>
      <c r="AC96" s="38"/>
      <c r="AD96" s="38"/>
      <c r="AE96" s="38"/>
      <c r="AF96" s="38"/>
      <c r="AG96" s="38"/>
      <c r="AH96" s="38"/>
      <c r="AI96" s="38" t="s">
        <v>68</v>
      </c>
      <c r="AJ96" s="43" t="s">
        <v>435</v>
      </c>
      <c r="AK96" s="43" t="s">
        <v>189</v>
      </c>
      <c r="AL96" s="37" t="s">
        <v>66</v>
      </c>
    </row>
    <row r="97" spans="1:38" s="45" customFormat="1" ht="13.2" x14ac:dyDescent="0.25">
      <c r="A97" s="159" t="str">
        <f>"AG_"&amp;VLOOKUP($E97,MeasureTypeCode,2,0)&amp;"_"&amp;VLOOKUP($G97,State,2,0)&amp;COUNTIFS($E$3:$E97,$E97,$G$3:$G97,$G97)</f>
        <v>AG_MtrRewind_WA3</v>
      </c>
      <c r="B97" s="37" t="s">
        <v>37</v>
      </c>
      <c r="C97" s="38" t="s">
        <v>70</v>
      </c>
      <c r="D97" s="38" t="s">
        <v>71</v>
      </c>
      <c r="E97" s="38" t="s">
        <v>218</v>
      </c>
      <c r="F97" s="38" t="str">
        <f>[5]M_Input!A17</f>
        <v>Green Motor Rewind - Surface and Tailwater Pump - 70HP - Montana</v>
      </c>
      <c r="G97" s="38" t="s">
        <v>23</v>
      </c>
      <c r="H97" s="37" t="s">
        <v>67</v>
      </c>
      <c r="I97" s="37" t="s">
        <v>171</v>
      </c>
      <c r="J97" s="38" t="str">
        <f>[5]M_Input!B17</f>
        <v>Electric Motor</v>
      </c>
      <c r="K97" s="39">
        <f>[5]M_Input!C17</f>
        <v>298.96682501387841</v>
      </c>
      <c r="L97" s="40">
        <f>[5]M_Input!D17</f>
        <v>17.240304509707844</v>
      </c>
      <c r="M97" s="41">
        <f>[5]M_Input!E17</f>
        <v>353.93459573432824</v>
      </c>
      <c r="N97" s="42">
        <f>[5]M_Input!F17</f>
        <v>0</v>
      </c>
      <c r="O97" s="87" t="str">
        <f>[5]M_Input!G17</f>
        <v>A-Irr-Irr-Irrigation-All-All-E</v>
      </c>
      <c r="P97" s="38"/>
      <c r="Q97" s="120">
        <f>[5]forRPM!F12</f>
        <v>0</v>
      </c>
      <c r="R97" s="120">
        <f>[5]forRPM!H12</f>
        <v>329.753223593911</v>
      </c>
      <c r="S97" s="120">
        <f>[5]forRPM!I12</f>
        <v>97.964414402752723</v>
      </c>
      <c r="T97" s="120">
        <f>SUM([5]forRPM!$L12:$AE12)</f>
        <v>2.3788281244999557E-2</v>
      </c>
      <c r="U97" s="120">
        <f>[5]forRPM!AF12</f>
        <v>2.2460739415701973E-2</v>
      </c>
      <c r="V97" s="120">
        <f>[5]forRPM!BF12</f>
        <v>0.3180293273481587</v>
      </c>
      <c r="W97" s="177" t="str">
        <f>[5]forRPM!A12</f>
        <v>Retro12Med</v>
      </c>
      <c r="X97" s="38"/>
      <c r="Y97" s="38"/>
      <c r="Z97" s="38"/>
      <c r="AA97" s="38"/>
      <c r="AB97" s="38"/>
      <c r="AC97" s="38"/>
      <c r="AD97" s="38"/>
      <c r="AE97" s="38"/>
      <c r="AF97" s="38"/>
      <c r="AG97" s="38"/>
      <c r="AH97" s="38"/>
      <c r="AI97" s="38" t="s">
        <v>68</v>
      </c>
      <c r="AJ97" s="43" t="s">
        <v>435</v>
      </c>
      <c r="AK97" s="43" t="s">
        <v>189</v>
      </c>
      <c r="AL97" s="37" t="s">
        <v>66</v>
      </c>
    </row>
    <row r="98" spans="1:38" s="45" customFormat="1" ht="13.2" x14ac:dyDescent="0.25">
      <c r="A98" s="159" t="str">
        <f>"AG_"&amp;VLOOKUP($E98,MeasureTypeCode,2,0)&amp;"_"&amp;VLOOKUP($G98,State,2,0)&amp;COUNTIFS($E$3:$E98,$E98,$G$3:$G98,$G98)</f>
        <v>AG_MtrRewind_OR3</v>
      </c>
      <c r="B98" s="37" t="s">
        <v>37</v>
      </c>
      <c r="C98" s="38" t="s">
        <v>70</v>
      </c>
      <c r="D98" s="38" t="s">
        <v>71</v>
      </c>
      <c r="E98" s="38" t="s">
        <v>218</v>
      </c>
      <c r="F98" s="38" t="str">
        <f>[5]M_Input!A18</f>
        <v>Green Motor Rewind - Surface and Tailwater Pump - 70HP - Oregon</v>
      </c>
      <c r="G98" s="38" t="s">
        <v>24</v>
      </c>
      <c r="H98" s="37" t="s">
        <v>67</v>
      </c>
      <c r="I98" s="37" t="s">
        <v>171</v>
      </c>
      <c r="J98" s="38" t="str">
        <f>[5]M_Input!B18</f>
        <v>Electric Motor</v>
      </c>
      <c r="K98" s="39">
        <f>[5]M_Input!C18</f>
        <v>609.87119873090705</v>
      </c>
      <c r="L98" s="40">
        <f>[5]M_Input!D18</f>
        <v>17.240304509707844</v>
      </c>
      <c r="M98" s="41">
        <f>[5]M_Input!E18</f>
        <v>353.93459573432824</v>
      </c>
      <c r="N98" s="42">
        <f>[5]M_Input!F18</f>
        <v>0</v>
      </c>
      <c r="O98" s="87" t="str">
        <f>[5]M_Input!G18</f>
        <v>A-Irr-Irr-Irrigation-All-All-E</v>
      </c>
      <c r="P98" s="38"/>
      <c r="Q98" s="120">
        <f>[5]forRPM!F13</f>
        <v>0</v>
      </c>
      <c r="R98" s="120">
        <f>[5]forRPM!H13</f>
        <v>672.67327653917357</v>
      </c>
      <c r="S98" s="120">
        <f>[5]forRPM!I13</f>
        <v>46.52496583938953</v>
      </c>
      <c r="T98" s="120">
        <f>SUM([5]forRPM!$L13:$AE13)</f>
        <v>0.24443571323980853</v>
      </c>
      <c r="U98" s="120">
        <f>[5]forRPM!AF13</f>
        <v>0.27895850117438203</v>
      </c>
      <c r="V98" s="120">
        <f>[5]forRPM!BF13</f>
        <v>0.6487573565809579</v>
      </c>
      <c r="W98" s="177" t="str">
        <f>[5]forRPM!A13</f>
        <v>Retro12Med</v>
      </c>
      <c r="X98" s="38"/>
      <c r="Y98" s="38"/>
      <c r="Z98" s="38"/>
      <c r="AA98" s="38"/>
      <c r="AB98" s="38"/>
      <c r="AC98" s="38"/>
      <c r="AD98" s="38"/>
      <c r="AE98" s="38"/>
      <c r="AF98" s="38"/>
      <c r="AG98" s="38"/>
      <c r="AH98" s="38"/>
      <c r="AI98" s="38" t="s">
        <v>68</v>
      </c>
      <c r="AJ98" s="43" t="s">
        <v>435</v>
      </c>
      <c r="AK98" s="43" t="s">
        <v>189</v>
      </c>
      <c r="AL98" s="37" t="s">
        <v>66</v>
      </c>
    </row>
    <row r="99" spans="1:38" s="45" customFormat="1" ht="13.2" x14ac:dyDescent="0.25">
      <c r="A99" s="159" t="str">
        <f>"AG_"&amp;VLOOKUP($E99,MeasureTypeCode,2,0)&amp;"_"&amp;VLOOKUP($G99,State,2,0)&amp;COUNTIFS($E$3:$E99,$E99,$G$3:$G99,$G99)</f>
        <v>AG_MtrRewind_MT3</v>
      </c>
      <c r="B99" s="37" t="s">
        <v>37</v>
      </c>
      <c r="C99" s="38" t="s">
        <v>70</v>
      </c>
      <c r="D99" s="38" t="s">
        <v>71</v>
      </c>
      <c r="E99" s="38" t="s">
        <v>218</v>
      </c>
      <c r="F99" s="38" t="str">
        <f>[5]M_Input!A19</f>
        <v>Green Motor Rewind - Surface and Tailwater Pump - 90HP - Washington</v>
      </c>
      <c r="G99" s="38" t="s">
        <v>25</v>
      </c>
      <c r="H99" s="37" t="s">
        <v>67</v>
      </c>
      <c r="I99" s="37" t="s">
        <v>171</v>
      </c>
      <c r="J99" s="38" t="str">
        <f>[5]M_Input!B19</f>
        <v>Electric Motor</v>
      </c>
      <c r="K99" s="39">
        <f>[5]M_Input!C19</f>
        <v>802.84081813326338</v>
      </c>
      <c r="L99" s="40">
        <f>[5]M_Input!D19</f>
        <v>17.240304509707844</v>
      </c>
      <c r="M99" s="41">
        <f>[5]M_Input!E19</f>
        <v>382.57008082610241</v>
      </c>
      <c r="N99" s="42">
        <f>[5]M_Input!F19</f>
        <v>0</v>
      </c>
      <c r="O99" s="87" t="str">
        <f>[5]M_Input!G19</f>
        <v>A-Irr-Irr-Irrigation-All-All-E</v>
      </c>
      <c r="P99" s="38"/>
      <c r="Q99" s="120">
        <f>[5]forRPM!F14</f>
        <v>0</v>
      </c>
      <c r="R99" s="120">
        <f>[5]forRPM!H14</f>
        <v>885.51412953569991</v>
      </c>
      <c r="S99" s="120">
        <f>[5]forRPM!I14</f>
        <v>37.675847733783371</v>
      </c>
      <c r="T99" s="120">
        <f>SUM([5]forRPM!$L14:$AE14)</f>
        <v>0.3668917326118718</v>
      </c>
      <c r="U99" s="120">
        <f>[5]forRPM!AF14</f>
        <v>0.40842149192224458</v>
      </c>
      <c r="V99" s="120">
        <f>[5]forRPM!BF14</f>
        <v>0.79010648937160732</v>
      </c>
      <c r="W99" s="177" t="str">
        <f>[5]forRPM!A14</f>
        <v>Retro12Med</v>
      </c>
      <c r="X99" s="38"/>
      <c r="Y99" s="38"/>
      <c r="Z99" s="38"/>
      <c r="AA99" s="38"/>
      <c r="AB99" s="38"/>
      <c r="AC99" s="38"/>
      <c r="AD99" s="38"/>
      <c r="AE99" s="38"/>
      <c r="AF99" s="38"/>
      <c r="AG99" s="38"/>
      <c r="AH99" s="38"/>
      <c r="AI99" s="38" t="s">
        <v>68</v>
      </c>
      <c r="AJ99" s="43" t="s">
        <v>435</v>
      </c>
      <c r="AK99" s="43" t="s">
        <v>189</v>
      </c>
      <c r="AL99" s="37" t="s">
        <v>66</v>
      </c>
    </row>
    <row r="100" spans="1:38" s="45" customFormat="1" ht="13.2" x14ac:dyDescent="0.25">
      <c r="A100" s="162" t="str">
        <f>"AG_"&amp;VLOOKUP($E100,MeasureTypeCode,2,0)&amp;"_"&amp;VLOOKUP($G100,State,2,0)&amp;COUNTIFS($E$3:$E100,$E100,$G$3:$G100,$G100)</f>
        <v>AG_PmpImprov_ID1</v>
      </c>
      <c r="B100" s="111" t="s">
        <v>37</v>
      </c>
      <c r="C100" s="112" t="s">
        <v>70</v>
      </c>
      <c r="D100" s="112" t="s">
        <v>71</v>
      </c>
      <c r="E100" s="112" t="s">
        <v>69</v>
      </c>
      <c r="F100" s="112" t="str">
        <f>[5]M_Input!A20</f>
        <v>CS to CS Pump Replacement - 0.07 Change in PEI - 100 HP - Idaho</v>
      </c>
      <c r="G100" s="112" t="s">
        <v>22</v>
      </c>
      <c r="H100" s="111" t="s">
        <v>67</v>
      </c>
      <c r="I100" s="111" t="s">
        <v>171</v>
      </c>
      <c r="J100" s="112" t="str">
        <f>[5]M_Input!B20</f>
        <v>Pump</v>
      </c>
      <c r="K100" s="113">
        <f>[5]M_Input!C20</f>
        <v>5677.5103243322837</v>
      </c>
      <c r="L100" s="114">
        <f>[5]M_Input!D20</f>
        <v>17.240304509707844</v>
      </c>
      <c r="M100" s="115">
        <f>[5]M_Input!E20</f>
        <v>740.64014135599609</v>
      </c>
      <c r="N100" s="116">
        <f>[5]M_Input!F20</f>
        <v>0</v>
      </c>
      <c r="O100" s="119" t="str">
        <f>[5]M_Input!G20</f>
        <v>A-Irr-Irr-Irrigation-All-All-E</v>
      </c>
      <c r="P100" s="112"/>
      <c r="Q100" s="118">
        <f>[5]forRPM!F15</f>
        <v>0</v>
      </c>
      <c r="R100" s="118">
        <f>[5]forRPM!H15</f>
        <v>6262.1574529193094</v>
      </c>
      <c r="S100" s="118">
        <f>[5]forRPM!I15</f>
        <v>8.1793707801167539</v>
      </c>
      <c r="T100" s="118">
        <f>SUM([5]forRPM!$L15:$AE15)</f>
        <v>1.7190365470086555</v>
      </c>
      <c r="U100" s="118">
        <f>[5]forRPM!AF15</f>
        <v>1.500544779481924</v>
      </c>
      <c r="V100" s="118">
        <f>[5]forRPM!BF15</f>
        <v>2.8861431838113214</v>
      </c>
      <c r="W100" s="176" t="str">
        <f>[5]forRPM!A15</f>
        <v>Retro12Med</v>
      </c>
      <c r="X100" s="112"/>
      <c r="Y100" s="112"/>
      <c r="Z100" s="112"/>
      <c r="AA100" s="112"/>
      <c r="AB100" s="112"/>
      <c r="AC100" s="112"/>
      <c r="AD100" s="112"/>
      <c r="AE100" s="112"/>
      <c r="AF100" s="112"/>
      <c r="AG100" s="112"/>
      <c r="AH100" s="112"/>
      <c r="AI100" s="112" t="s">
        <v>72</v>
      </c>
      <c r="AJ100" s="117" t="s">
        <v>517</v>
      </c>
      <c r="AK100" s="112" t="s">
        <v>189</v>
      </c>
      <c r="AL100" s="111" t="s">
        <v>66</v>
      </c>
    </row>
    <row r="101" spans="1:38" s="45" customFormat="1" ht="13.2" x14ac:dyDescent="0.25">
      <c r="A101" s="162" t="str">
        <f>"AG_"&amp;VLOOKUP($E101,MeasureTypeCode,2,0)&amp;"_"&amp;VLOOKUP($G101,State,2,0)&amp;COUNTIFS($E$3:$E101,$E101,$G$3:$G101,$G101)</f>
        <v>AG_PmpImprov_WA1</v>
      </c>
      <c r="B101" s="111" t="s">
        <v>37</v>
      </c>
      <c r="C101" s="112" t="s">
        <v>70</v>
      </c>
      <c r="D101" s="112" t="s">
        <v>71</v>
      </c>
      <c r="E101" s="112" t="s">
        <v>69</v>
      </c>
      <c r="F101" s="112" t="str">
        <f>[5]M_Input!A21</f>
        <v>CS to CS Pump Replacement - 0.07 Change in PEI - 60 HP - Montana</v>
      </c>
      <c r="G101" s="112" t="s">
        <v>23</v>
      </c>
      <c r="H101" s="111" t="s">
        <v>67</v>
      </c>
      <c r="I101" s="111" t="s">
        <v>171</v>
      </c>
      <c r="J101" s="112" t="str">
        <f>[5]M_Input!B21</f>
        <v>Pump</v>
      </c>
      <c r="K101" s="113">
        <f>[5]M_Input!C21</f>
        <v>2800.795117843445</v>
      </c>
      <c r="L101" s="114">
        <f>[5]M_Input!D21</f>
        <v>17.240304509707844</v>
      </c>
      <c r="M101" s="115">
        <f>[5]M_Input!E21</f>
        <v>444.38408481359767</v>
      </c>
      <c r="N101" s="116">
        <f>[5]M_Input!F21</f>
        <v>0</v>
      </c>
      <c r="O101" s="119" t="str">
        <f>[5]M_Input!G21</f>
        <v>A-Irr-Irr-Irrigation-All-All-E</v>
      </c>
      <c r="P101" s="112"/>
      <c r="Q101" s="118">
        <f>[5]forRPM!F16</f>
        <v>0</v>
      </c>
      <c r="R101" s="118">
        <f>[5]forRPM!H16</f>
        <v>3089.2097097799751</v>
      </c>
      <c r="S101" s="118">
        <f>[5]forRPM!I16</f>
        <v>10.583960962316533</v>
      </c>
      <c r="T101" s="118">
        <f>SUM([5]forRPM!$L16:$AE16)</f>
        <v>9.0588306383230038E-2</v>
      </c>
      <c r="U101" s="118">
        <f>[5]forRPM!AF16</f>
        <v>8.5532885828445607E-2</v>
      </c>
      <c r="V101" s="118">
        <f>[5]forRPM!BF16</f>
        <v>2.3729578861272462</v>
      </c>
      <c r="W101" s="176" t="str">
        <f>[5]forRPM!A16</f>
        <v>Retro12Med</v>
      </c>
      <c r="X101" s="112"/>
      <c r="Y101" s="112"/>
      <c r="Z101" s="112"/>
      <c r="AA101" s="112"/>
      <c r="AB101" s="112"/>
      <c r="AC101" s="112"/>
      <c r="AD101" s="112"/>
      <c r="AE101" s="112"/>
      <c r="AF101" s="112"/>
      <c r="AG101" s="112"/>
      <c r="AH101" s="112"/>
      <c r="AI101" s="112" t="s">
        <v>72</v>
      </c>
      <c r="AJ101" s="117" t="s">
        <v>517</v>
      </c>
      <c r="AK101" s="112" t="s">
        <v>189</v>
      </c>
      <c r="AL101" s="111" t="s">
        <v>66</v>
      </c>
    </row>
    <row r="102" spans="1:38" s="45" customFormat="1" ht="13.2" x14ac:dyDescent="0.25">
      <c r="A102" s="162" t="str">
        <f>"AG_"&amp;VLOOKUP($E102,MeasureTypeCode,2,0)&amp;"_"&amp;VLOOKUP($G102,State,2,0)&amp;COUNTIFS($E$3:$E102,$E102,$G$3:$G102,$G102)</f>
        <v>AG_PmpImprov_OR1</v>
      </c>
      <c r="B102" s="111" t="s">
        <v>37</v>
      </c>
      <c r="C102" s="112" t="s">
        <v>70</v>
      </c>
      <c r="D102" s="112" t="s">
        <v>71</v>
      </c>
      <c r="E102" s="112" t="s">
        <v>69</v>
      </c>
      <c r="F102" s="112" t="str">
        <f>[5]M_Input!A22</f>
        <v>CS to CS Pump Replacement - 0.07 Change in PEI - 70 HP - Oregon</v>
      </c>
      <c r="G102" s="112" t="s">
        <v>24</v>
      </c>
      <c r="H102" s="111" t="s">
        <v>67</v>
      </c>
      <c r="I102" s="111" t="s">
        <v>171</v>
      </c>
      <c r="J102" s="112" t="str">
        <f>[5]M_Input!B22</f>
        <v>Pump</v>
      </c>
      <c r="K102" s="113">
        <f>[5]M_Input!C22</f>
        <v>6665.6614998876848</v>
      </c>
      <c r="L102" s="114">
        <f>[5]M_Input!D22</f>
        <v>17.240304509707844</v>
      </c>
      <c r="M102" s="115">
        <f>[5]M_Input!E22</f>
        <v>518.44809894919729</v>
      </c>
      <c r="N102" s="116">
        <f>[5]M_Input!F22</f>
        <v>0</v>
      </c>
      <c r="O102" s="119" t="str">
        <f>[5]M_Input!G22</f>
        <v>A-Irr-Irr-Irrigation-All-All-E</v>
      </c>
      <c r="P102" s="112"/>
      <c r="Q102" s="118">
        <f>[5]forRPM!F17</f>
        <v>0</v>
      </c>
      <c r="R102" s="118">
        <f>[5]forRPM!H17</f>
        <v>7352.0644535451484</v>
      </c>
      <c r="S102" s="118">
        <f>[5]forRPM!I17</f>
        <v>3.6899265922141651</v>
      </c>
      <c r="T102" s="118">
        <f>SUM([5]forRPM!$L17:$AE17)</f>
        <v>1.8306096740609636</v>
      </c>
      <c r="U102" s="118">
        <f>[5]forRPM!AF17</f>
        <v>2.0891551571695794</v>
      </c>
      <c r="V102" s="118">
        <f>[5]forRPM!BF17</f>
        <v>4.8406664200390965</v>
      </c>
      <c r="W102" s="176" t="str">
        <f>[5]forRPM!A17</f>
        <v>Retro12Med</v>
      </c>
      <c r="X102" s="112"/>
      <c r="Y102" s="112"/>
      <c r="Z102" s="112"/>
      <c r="AA102" s="112"/>
      <c r="AB102" s="112"/>
      <c r="AC102" s="112"/>
      <c r="AD102" s="112"/>
      <c r="AE102" s="112"/>
      <c r="AF102" s="112"/>
      <c r="AG102" s="112"/>
      <c r="AH102" s="112"/>
      <c r="AI102" s="112" t="s">
        <v>72</v>
      </c>
      <c r="AJ102" s="117" t="s">
        <v>517</v>
      </c>
      <c r="AK102" s="112" t="s">
        <v>189</v>
      </c>
      <c r="AL102" s="111" t="s">
        <v>66</v>
      </c>
    </row>
    <row r="103" spans="1:38" s="45" customFormat="1" ht="13.2" x14ac:dyDescent="0.25">
      <c r="A103" s="162" t="str">
        <f>"AG_"&amp;VLOOKUP($E103,MeasureTypeCode,2,0)&amp;"_"&amp;VLOOKUP($G103,State,2,0)&amp;COUNTIFS($E$3:$E103,$E103,$G$3:$G103,$G103)</f>
        <v>AG_PmpImprov_MT1</v>
      </c>
      <c r="B103" s="111" t="s">
        <v>37</v>
      </c>
      <c r="C103" s="112" t="s">
        <v>70</v>
      </c>
      <c r="D103" s="112" t="s">
        <v>71</v>
      </c>
      <c r="E103" s="112" t="s">
        <v>69</v>
      </c>
      <c r="F103" s="112" t="str">
        <f>[5]M_Input!A23</f>
        <v>CS to CS Pump Replacement - 0.07 Change in PEI - 90 HP - Washington</v>
      </c>
      <c r="G103" s="112" t="s">
        <v>25</v>
      </c>
      <c r="H103" s="111" t="s">
        <v>67</v>
      </c>
      <c r="I103" s="111" t="s">
        <v>171</v>
      </c>
      <c r="J103" s="112" t="str">
        <f>[5]M_Input!B23</f>
        <v>Pump</v>
      </c>
      <c r="K103" s="113">
        <f>[5]M_Input!C23</f>
        <v>8865.8723920397642</v>
      </c>
      <c r="L103" s="114">
        <f>[5]M_Input!D23</f>
        <v>17.240304509707844</v>
      </c>
      <c r="M103" s="115">
        <f>[5]M_Input!E23</f>
        <v>666.57612722039653</v>
      </c>
      <c r="N103" s="116">
        <f>[5]M_Input!F23</f>
        <v>0</v>
      </c>
      <c r="O103" s="119" t="str">
        <f>[5]M_Input!G23</f>
        <v>A-Irr-Irr-Irrigation-All-All-E</v>
      </c>
      <c r="P103" s="112"/>
      <c r="Q103" s="118">
        <f>[5]forRPM!F18</f>
        <v>0</v>
      </c>
      <c r="R103" s="118">
        <f>[5]forRPM!H18</f>
        <v>9778.8441948756554</v>
      </c>
      <c r="S103" s="118">
        <f>[5]forRPM!I18</f>
        <v>3.4687940842139779</v>
      </c>
      <c r="T103" s="118">
        <f>SUM([5]forRPM!$L18:$AE18)</f>
        <v>2.6843412782334926</v>
      </c>
      <c r="U103" s="118">
        <f>[5]forRPM!AF18</f>
        <v>2.9881912625280909</v>
      </c>
      <c r="V103" s="118">
        <f>[5]forRPM!BF18</f>
        <v>5.0077069605595135</v>
      </c>
      <c r="W103" s="176" t="str">
        <f>[5]forRPM!A18</f>
        <v>Retro12Med</v>
      </c>
      <c r="X103" s="112"/>
      <c r="Y103" s="112"/>
      <c r="Z103" s="112"/>
      <c r="AA103" s="112"/>
      <c r="AB103" s="112"/>
      <c r="AC103" s="112"/>
      <c r="AD103" s="112"/>
      <c r="AE103" s="112"/>
      <c r="AF103" s="112"/>
      <c r="AG103" s="112"/>
      <c r="AH103" s="112"/>
      <c r="AI103" s="112" t="s">
        <v>72</v>
      </c>
      <c r="AJ103" s="117" t="s">
        <v>517</v>
      </c>
      <c r="AK103" s="112" t="s">
        <v>189</v>
      </c>
      <c r="AL103" s="111" t="s">
        <v>66</v>
      </c>
    </row>
    <row r="104" spans="1:38" s="45" customFormat="1" ht="13.2" x14ac:dyDescent="0.25">
      <c r="A104" s="159" t="str">
        <f>"AG_"&amp;VLOOKUP($E104,MeasureTypeCode,2,0)&amp;"_"&amp;VLOOKUP($G104,State,2,0)&amp;COUNTIFS($E$3:$E104,$E104,$G$3:$G104,$G104)</f>
        <v>AG_PmpImprov_ID2</v>
      </c>
      <c r="B104" s="37" t="s">
        <v>37</v>
      </c>
      <c r="C104" s="38" t="s">
        <v>70</v>
      </c>
      <c r="D104" s="38" t="s">
        <v>71</v>
      </c>
      <c r="E104" s="38" t="s">
        <v>69</v>
      </c>
      <c r="F104" s="38" t="str">
        <f>[5]M_Input!A24</f>
        <v>VS to VS Pump Replacement - 0.04 Change in PEI - 100 HP - Idaho</v>
      </c>
      <c r="G104" s="38" t="s">
        <v>22</v>
      </c>
      <c r="H104" s="37" t="s">
        <v>67</v>
      </c>
      <c r="I104" s="37" t="s">
        <v>171</v>
      </c>
      <c r="J104" s="38" t="str">
        <f>[5]M_Input!B24</f>
        <v>Pump</v>
      </c>
      <c r="K104" s="39">
        <f>[5]M_Input!C24</f>
        <v>4974.9533824906212</v>
      </c>
      <c r="L104" s="40">
        <f>[5]M_Input!D24</f>
        <v>17.124400362126607</v>
      </c>
      <c r="M104" s="41">
        <f>[5]M_Input!E24</f>
        <v>491.11116669313918</v>
      </c>
      <c r="N104" s="42">
        <f>[5]M_Input!F24</f>
        <v>0</v>
      </c>
      <c r="O104" s="87" t="str">
        <f>[5]M_Input!G24</f>
        <v>A-Irr-Irr-Irrigation-All-All-E</v>
      </c>
      <c r="P104" s="38"/>
      <c r="Q104" s="120">
        <f>[5]forRPM!F19</f>
        <v>0</v>
      </c>
      <c r="R104" s="120">
        <f>[5]forRPM!H19</f>
        <v>5487.2540290366978</v>
      </c>
      <c r="S104" s="120">
        <f>[5]forRPM!I19</f>
        <v>5.5083068767000904</v>
      </c>
      <c r="T104" s="120">
        <f>SUM([5]forRPM!$L19:$AE19)</f>
        <v>0.16736848441616686</v>
      </c>
      <c r="U104" s="120">
        <f>[5]forRPM!AF19</f>
        <v>0.14609573366983009</v>
      </c>
      <c r="V104" s="120">
        <f>[5]forRPM!BF19</f>
        <v>3.7987068234986499</v>
      </c>
      <c r="W104" s="177" t="str">
        <f>[5]forRPM!A19</f>
        <v>Retro12Med</v>
      </c>
      <c r="X104" s="38"/>
      <c r="Y104" s="38"/>
      <c r="Z104" s="38"/>
      <c r="AA104" s="38"/>
      <c r="AB104" s="38"/>
      <c r="AC104" s="38"/>
      <c r="AD104" s="38"/>
      <c r="AE104" s="38"/>
      <c r="AF104" s="38"/>
      <c r="AG104" s="38"/>
      <c r="AH104" s="38"/>
      <c r="AI104" s="38" t="s">
        <v>73</v>
      </c>
      <c r="AJ104" s="43" t="s">
        <v>517</v>
      </c>
      <c r="AK104" s="38" t="s">
        <v>189</v>
      </c>
      <c r="AL104" s="37" t="s">
        <v>66</v>
      </c>
    </row>
    <row r="105" spans="1:38" s="45" customFormat="1" ht="13.2" x14ac:dyDescent="0.25">
      <c r="A105" s="159" t="str">
        <f>"AG_"&amp;VLOOKUP($E105,MeasureTypeCode,2,0)&amp;"_"&amp;VLOOKUP($G105,State,2,0)&amp;COUNTIFS($E$3:$E105,$E105,$G$3:$G105,$G105)</f>
        <v>AG_PmpImprov_WA2</v>
      </c>
      <c r="B105" s="37" t="s">
        <v>37</v>
      </c>
      <c r="C105" s="38" t="s">
        <v>70</v>
      </c>
      <c r="D105" s="38" t="s">
        <v>71</v>
      </c>
      <c r="E105" s="38" t="s">
        <v>69</v>
      </c>
      <c r="F105" s="38" t="str">
        <f>[5]M_Input!A25</f>
        <v>VS to VS Pump Replacement - 0.04 Change in PEI - 60 HP - Montana</v>
      </c>
      <c r="G105" s="38" t="s">
        <v>23</v>
      </c>
      <c r="H105" s="37" t="s">
        <v>67</v>
      </c>
      <c r="I105" s="37" t="s">
        <v>171</v>
      </c>
      <c r="J105" s="38" t="str">
        <f>[5]M_Input!B25</f>
        <v>Pump</v>
      </c>
      <c r="K105" s="39">
        <f>[5]M_Input!C25</f>
        <v>2454.2139686583805</v>
      </c>
      <c r="L105" s="40">
        <f>[5]M_Input!D25</f>
        <v>17.124400362126607</v>
      </c>
      <c r="M105" s="41">
        <f>[5]M_Input!E25</f>
        <v>294.66670001588352</v>
      </c>
      <c r="N105" s="42">
        <f>[5]M_Input!F25</f>
        <v>0</v>
      </c>
      <c r="O105" s="87" t="str">
        <f>[5]M_Input!G25</f>
        <v>A-Irr-Irr-Irrigation-All-All-E</v>
      </c>
      <c r="P105" s="38"/>
      <c r="Q105" s="120">
        <f>[5]forRPM!F20</f>
        <v>0</v>
      </c>
      <c r="R105" s="120">
        <f>[5]forRPM!H20</f>
        <v>2706.9390308330653</v>
      </c>
      <c r="S105" s="120">
        <f>[5]forRPM!I20</f>
        <v>7.3352421698595922</v>
      </c>
      <c r="T105" s="120">
        <f>SUM([5]forRPM!$L20:$AE20)</f>
        <v>8.8198401433475983E-3</v>
      </c>
      <c r="U105" s="120">
        <f>[5]forRPM!AF20</f>
        <v>8.3276353220987677E-3</v>
      </c>
      <c r="V105" s="120">
        <f>[5]forRPM!BF20</f>
        <v>3.1232585287063803</v>
      </c>
      <c r="W105" s="177" t="str">
        <f>[5]forRPM!A20</f>
        <v>Retro12Med</v>
      </c>
      <c r="X105" s="38"/>
      <c r="Y105" s="38"/>
      <c r="Z105" s="38"/>
      <c r="AA105" s="38"/>
      <c r="AB105" s="38"/>
      <c r="AC105" s="38"/>
      <c r="AD105" s="38"/>
      <c r="AE105" s="38"/>
      <c r="AF105" s="38"/>
      <c r="AG105" s="38"/>
      <c r="AH105" s="38"/>
      <c r="AI105" s="38" t="s">
        <v>73</v>
      </c>
      <c r="AJ105" s="43" t="s">
        <v>517</v>
      </c>
      <c r="AK105" s="38" t="s">
        <v>189</v>
      </c>
      <c r="AL105" s="37" t="s">
        <v>66</v>
      </c>
    </row>
    <row r="106" spans="1:38" s="45" customFormat="1" ht="13.2" x14ac:dyDescent="0.25">
      <c r="A106" s="159" t="str">
        <f>"AG_"&amp;VLOOKUP($E106,MeasureTypeCode,2,0)&amp;"_"&amp;VLOOKUP($G106,State,2,0)&amp;COUNTIFS($E$3:$E106,$E106,$G$3:$G106,$G106)</f>
        <v>AG_PmpImprov_OR2</v>
      </c>
      <c r="B106" s="37" t="s">
        <v>37</v>
      </c>
      <c r="C106" s="38" t="s">
        <v>70</v>
      </c>
      <c r="D106" s="38" t="s">
        <v>71</v>
      </c>
      <c r="E106" s="38" t="s">
        <v>69</v>
      </c>
      <c r="F106" s="38" t="str">
        <f>[5]M_Input!A26</f>
        <v>VS to VS Pump Replacement - 0.04 Change in PEI - 70 HP - Oregon</v>
      </c>
      <c r="G106" s="38" t="s">
        <v>24</v>
      </c>
      <c r="H106" s="37" t="s">
        <v>67</v>
      </c>
      <c r="I106" s="37" t="s">
        <v>171</v>
      </c>
      <c r="J106" s="38" t="str">
        <f>[5]M_Input!B26</f>
        <v>Pump</v>
      </c>
      <c r="K106" s="39">
        <f>[5]M_Input!C26</f>
        <v>5840.8269348772646</v>
      </c>
      <c r="L106" s="40">
        <f>[5]M_Input!D26</f>
        <v>17.124400362126607</v>
      </c>
      <c r="M106" s="41">
        <f>[5]M_Input!E26</f>
        <v>343.77781668519742</v>
      </c>
      <c r="N106" s="42">
        <f>[5]M_Input!F26</f>
        <v>0</v>
      </c>
      <c r="O106" s="87" t="str">
        <f>[5]M_Input!G26</f>
        <v>A-Irr-Irr-Irrigation-All-All-E</v>
      </c>
      <c r="P106" s="38"/>
      <c r="Q106" s="120">
        <f>[5]forRPM!F21</f>
        <v>0</v>
      </c>
      <c r="R106" s="120">
        <f>[5]forRPM!H21</f>
        <v>6442.2917497301305</v>
      </c>
      <c r="S106" s="120">
        <f>[5]forRPM!I21</f>
        <v>2.0973622199911715</v>
      </c>
      <c r="T106" s="120">
        <f>SUM([5]forRPM!$L21:$AE21)</f>
        <v>0.17823144437406424</v>
      </c>
      <c r="U106" s="120">
        <f>[5]forRPM!AF21</f>
        <v>0.20340389677819387</v>
      </c>
      <c r="V106" s="120">
        <f>[5]forRPM!BF21</f>
        <v>6.3712267164099989</v>
      </c>
      <c r="W106" s="177" t="str">
        <f>[5]forRPM!A21</f>
        <v>Retro12Med</v>
      </c>
      <c r="X106" s="38"/>
      <c r="Y106" s="38"/>
      <c r="Z106" s="38"/>
      <c r="AA106" s="38"/>
      <c r="AB106" s="38"/>
      <c r="AC106" s="38"/>
      <c r="AD106" s="38"/>
      <c r="AE106" s="38"/>
      <c r="AF106" s="38"/>
      <c r="AG106" s="38"/>
      <c r="AH106" s="38"/>
      <c r="AI106" s="38" t="s">
        <v>73</v>
      </c>
      <c r="AJ106" s="43" t="s">
        <v>517</v>
      </c>
      <c r="AK106" s="38" t="s">
        <v>189</v>
      </c>
      <c r="AL106" s="37" t="s">
        <v>66</v>
      </c>
    </row>
    <row r="107" spans="1:38" s="45" customFormat="1" ht="13.2" x14ac:dyDescent="0.25">
      <c r="A107" s="159" t="str">
        <f>"AG_"&amp;VLOOKUP($E107,MeasureTypeCode,2,0)&amp;"_"&amp;VLOOKUP($G107,State,2,0)&amp;COUNTIFS($E$3:$E107,$E107,$G$3:$G107,$G107)</f>
        <v>AG_PmpImprov_MT2</v>
      </c>
      <c r="B107" s="37" t="s">
        <v>37</v>
      </c>
      <c r="C107" s="38" t="s">
        <v>70</v>
      </c>
      <c r="D107" s="38" t="s">
        <v>71</v>
      </c>
      <c r="E107" s="38" t="s">
        <v>69</v>
      </c>
      <c r="F107" s="38" t="str">
        <f>[5]M_Input!A27</f>
        <v>VS to VS Pump Replacement - 0.04 Change in PEI - 90 HP - Washington</v>
      </c>
      <c r="G107" s="38" t="s">
        <v>25</v>
      </c>
      <c r="H107" s="37" t="s">
        <v>67</v>
      </c>
      <c r="I107" s="37" t="s">
        <v>171</v>
      </c>
      <c r="J107" s="38" t="str">
        <f>[5]M_Input!B27</f>
        <v>Pump</v>
      </c>
      <c r="K107" s="39">
        <f>[5]M_Input!C27</f>
        <v>7768.7752775149393</v>
      </c>
      <c r="L107" s="40">
        <f>[5]M_Input!D27</f>
        <v>17.124400362126607</v>
      </c>
      <c r="M107" s="41">
        <f>[5]M_Input!E27</f>
        <v>442.00005002382528</v>
      </c>
      <c r="N107" s="42">
        <f>[5]M_Input!F27</f>
        <v>0</v>
      </c>
      <c r="O107" s="87" t="str">
        <f>[5]M_Input!G27</f>
        <v>A-Irr-Irr-Irrigation-All-All-E</v>
      </c>
      <c r="P107" s="38"/>
      <c r="Q107" s="120">
        <f>[5]forRPM!F22</f>
        <v>0</v>
      </c>
      <c r="R107" s="120">
        <f>[5]forRPM!H22</f>
        <v>8568.7724416189358</v>
      </c>
      <c r="S107" s="120">
        <f>[5]forRPM!I22</f>
        <v>1.9293523918212665</v>
      </c>
      <c r="T107" s="120">
        <f>SUM([5]forRPM!$L22:$AE22)</f>
        <v>0.26135228606715249</v>
      </c>
      <c r="U107" s="120">
        <f>[5]forRPM!AF22</f>
        <v>0.29093566604226545</v>
      </c>
      <c r="V107" s="120">
        <f>[5]forRPM!BF22</f>
        <v>6.5910834597049943</v>
      </c>
      <c r="W107" s="177" t="str">
        <f>[5]forRPM!A22</f>
        <v>Retro12Med</v>
      </c>
      <c r="X107" s="38"/>
      <c r="Y107" s="38"/>
      <c r="Z107" s="38"/>
      <c r="AA107" s="38"/>
      <c r="AB107" s="38"/>
      <c r="AC107" s="38"/>
      <c r="AD107" s="38"/>
      <c r="AE107" s="38"/>
      <c r="AF107" s="38"/>
      <c r="AG107" s="38"/>
      <c r="AH107" s="38"/>
      <c r="AI107" s="38" t="s">
        <v>73</v>
      </c>
      <c r="AJ107" s="43" t="s">
        <v>517</v>
      </c>
      <c r="AK107" s="38" t="s">
        <v>189</v>
      </c>
      <c r="AL107" s="37" t="s">
        <v>66</v>
      </c>
    </row>
    <row r="108" spans="1:38" s="84" customFormat="1" ht="13.2" x14ac:dyDescent="0.25">
      <c r="A108" s="161" t="str">
        <f>"AG_"&amp;VLOOKUP($E108,MeasureTypeCode,2,0)&amp;"_"&amp;VLOOKUP($G108,State,2,0)&amp;COUNTIFS($E$3:$E108,$E108,$G$3:$G108,$G108)</f>
        <v>AG_MtrCtrl_ID1</v>
      </c>
      <c r="B108" s="79" t="s">
        <v>479</v>
      </c>
      <c r="C108" s="80" t="s">
        <v>70</v>
      </c>
      <c r="D108" s="80" t="s">
        <v>163</v>
      </c>
      <c r="E108" s="80" t="s">
        <v>167</v>
      </c>
      <c r="F108" s="80" t="str">
        <f>[1]M_Input!A8</f>
        <v>VSD - Vacuum Pump - Free Stall - Idaho</v>
      </c>
      <c r="G108" s="80" t="s">
        <v>22</v>
      </c>
      <c r="H108" s="79" t="s">
        <v>160</v>
      </c>
      <c r="I108" s="79" t="s">
        <v>171</v>
      </c>
      <c r="J108" s="80" t="str">
        <f>[1]M_Input!B8</f>
        <v>Pump</v>
      </c>
      <c r="K108" s="81">
        <f>[1]M_Input!C8</f>
        <v>6.9735697018533447</v>
      </c>
      <c r="L108" s="82">
        <f>[1]M_Input!D8</f>
        <v>15</v>
      </c>
      <c r="M108" s="83">
        <f>[1]M_Input!E8</f>
        <v>0.98500980630819668</v>
      </c>
      <c r="N108" s="85">
        <f>[1]M_Input!F8</f>
        <v>0</v>
      </c>
      <c r="O108" s="80" t="str">
        <f>[1]M_Input!G8</f>
        <v>A-Da-Proc-MilkingSchedule-All-All-S</v>
      </c>
      <c r="P108" s="80"/>
      <c r="Q108" s="122">
        <f>INDEX([1]!MeasureOutput,MATCH($F108,[1]M_Input_Out!$A$4:$A$83,0),14)</f>
        <v>2.0411201305447282E-3</v>
      </c>
      <c r="R108" s="179">
        <f>INDEX([1]!MeasureOutput,MATCH($F108,[1]M_Input_Out!$A$4:$A$83,0),3)</f>
        <v>7.7583818411404444</v>
      </c>
      <c r="S108" s="179">
        <f>INDEX([1]!MeasureOutput,MATCH($F108,[1]M_Input_Out!$A$4:$A$83,0),11)</f>
        <v>9.8569892400367589</v>
      </c>
      <c r="T108" s="122">
        <f>SUM([1]forRPM!$L3:$AE3)</f>
        <v>3.2413466067857027E-2</v>
      </c>
      <c r="U108" s="122">
        <f>INDEX([1]forRPM!AF:AF,MATCH($F108,[1]forRPM!$J:$J,0),1)</f>
        <v>3.5065669676908419E-2</v>
      </c>
      <c r="V108" s="179">
        <f>INDEX([1]!MeasureOutput,MATCH($F108,[1]M_Input_Out!$A$4:$A$83,0),12)</f>
        <v>2.5693274856626007</v>
      </c>
      <c r="W108" s="179" t="str">
        <f>[1]forRPM!A3</f>
        <v>Retro3Slow</v>
      </c>
      <c r="X108" s="80"/>
      <c r="Y108" s="80"/>
      <c r="Z108" s="80"/>
      <c r="AA108" s="80"/>
      <c r="AB108" s="80"/>
      <c r="AC108" s="80"/>
      <c r="AD108" s="80"/>
      <c r="AE108" s="80"/>
      <c r="AF108" s="80"/>
      <c r="AG108" s="80"/>
      <c r="AH108" s="80"/>
      <c r="AI108" s="80" t="s">
        <v>119</v>
      </c>
      <c r="AJ108" s="80" t="s">
        <v>440</v>
      </c>
      <c r="AK108" s="86" t="s">
        <v>428</v>
      </c>
      <c r="AL108" s="79" t="s">
        <v>76</v>
      </c>
    </row>
    <row r="109" spans="1:38" s="84" customFormat="1" ht="13.2" x14ac:dyDescent="0.25">
      <c r="A109" s="161" t="str">
        <f>"AG_"&amp;VLOOKUP($E109,MeasureTypeCode,2,0)&amp;"_"&amp;VLOOKUP($G109,State,2,0)&amp;COUNTIFS($E$3:$E109,$E109,$G$3:$G109,$G109)</f>
        <v>AG_MtrCtrl_MT1</v>
      </c>
      <c r="B109" s="79" t="s">
        <v>479</v>
      </c>
      <c r="C109" s="80" t="s">
        <v>70</v>
      </c>
      <c r="D109" s="80" t="s">
        <v>163</v>
      </c>
      <c r="E109" s="80" t="s">
        <v>167</v>
      </c>
      <c r="F109" s="80" t="str">
        <f>[1]M_Input!A9</f>
        <v>VSD - Vacuum Pump - Free Stall - Montana</v>
      </c>
      <c r="G109" s="80" t="s">
        <v>25</v>
      </c>
      <c r="H109" s="79" t="s">
        <v>160</v>
      </c>
      <c r="I109" s="79" t="s">
        <v>171</v>
      </c>
      <c r="J109" s="80" t="str">
        <f>[1]M_Input!B9</f>
        <v>Pump</v>
      </c>
      <c r="K109" s="81">
        <f>[1]M_Input!C9</f>
        <v>6.9735697018533447</v>
      </c>
      <c r="L109" s="82">
        <f>[1]M_Input!D9</f>
        <v>15</v>
      </c>
      <c r="M109" s="83">
        <f>[1]M_Input!E9</f>
        <v>0.98500980630819668</v>
      </c>
      <c r="N109" s="85">
        <f>[1]M_Input!F9</f>
        <v>0</v>
      </c>
      <c r="O109" s="80" t="str">
        <f>[1]M_Input!G9</f>
        <v>A-Da-Proc-MilkingSchedule-All-All-S</v>
      </c>
      <c r="P109" s="80"/>
      <c r="Q109" s="122">
        <f>INDEX([1]!MeasureOutput,MATCH($F109,[1]M_Input_Out!$A$4:$A$83,0),14)</f>
        <v>2.0411201305447282E-3</v>
      </c>
      <c r="R109" s="122">
        <f>INDEX([1]!MeasureOutput,MATCH($F109,[1]M_Input_Out!$A$4:$A$83,0),3)</f>
        <v>7.7583818411404444</v>
      </c>
      <c r="S109" s="122">
        <f>INDEX([1]!MeasureOutput,MATCH($F109,[1]M_Input_Out!$A$4:$A$83,0),11)</f>
        <v>9.8569892400367589</v>
      </c>
      <c r="T109" s="122">
        <f>SUM([1]forRPM!$L4:$AE4)</f>
        <v>1.3469176116042336E-4</v>
      </c>
      <c r="U109" s="122">
        <f>INDEX([1]forRPM!AF:AF,MATCH($F109,[1]forRPM!$J:$J,0),1)</f>
        <v>1.3438927998613178E-4</v>
      </c>
      <c r="V109" s="122">
        <f>INDEX([1]!MeasureOutput,MATCH($F109,[1]M_Input_Out!$A$4:$A$83,0),12)</f>
        <v>2.5693274856626007</v>
      </c>
      <c r="W109" s="179" t="str">
        <f>[1]forRPM!A4</f>
        <v>Retro3Slow</v>
      </c>
      <c r="X109" s="80"/>
      <c r="Y109" s="80"/>
      <c r="Z109" s="80"/>
      <c r="AA109" s="80"/>
      <c r="AB109" s="80"/>
      <c r="AC109" s="80"/>
      <c r="AD109" s="80"/>
      <c r="AE109" s="80"/>
      <c r="AF109" s="80"/>
      <c r="AG109" s="80"/>
      <c r="AH109" s="80"/>
      <c r="AI109" s="80" t="s">
        <v>119</v>
      </c>
      <c r="AJ109" s="80" t="s">
        <v>440</v>
      </c>
      <c r="AK109" s="86" t="s">
        <v>428</v>
      </c>
      <c r="AL109" s="79" t="s">
        <v>76</v>
      </c>
    </row>
    <row r="110" spans="1:38" s="84" customFormat="1" ht="13.2" x14ac:dyDescent="0.25">
      <c r="A110" s="161" t="str">
        <f>"AG_"&amp;VLOOKUP($E110,MeasureTypeCode,2,0)&amp;"_"&amp;VLOOKUP($G110,State,2,0)&amp;COUNTIFS($E$3:$E110,$E110,$G$3:$G110,$G110)</f>
        <v>AG_MtrCtrl_OR1</v>
      </c>
      <c r="B110" s="79" t="s">
        <v>479</v>
      </c>
      <c r="C110" s="80" t="s">
        <v>70</v>
      </c>
      <c r="D110" s="80" t="s">
        <v>163</v>
      </c>
      <c r="E110" s="80" t="s">
        <v>167</v>
      </c>
      <c r="F110" s="80" t="str">
        <f>[1]M_Input!A10</f>
        <v>VSD - Vacuum Pump - Free Stall - Oregon</v>
      </c>
      <c r="G110" s="80" t="s">
        <v>24</v>
      </c>
      <c r="H110" s="79" t="s">
        <v>160</v>
      </c>
      <c r="I110" s="79" t="s">
        <v>171</v>
      </c>
      <c r="J110" s="80" t="str">
        <f>[1]M_Input!B10</f>
        <v>Pump</v>
      </c>
      <c r="K110" s="81">
        <f>[1]M_Input!C10</f>
        <v>6.9735697018533447</v>
      </c>
      <c r="L110" s="82">
        <f>[1]M_Input!D10</f>
        <v>15</v>
      </c>
      <c r="M110" s="83">
        <f>[1]M_Input!E10</f>
        <v>0.98500980630819668</v>
      </c>
      <c r="N110" s="85">
        <f>[1]M_Input!F10</f>
        <v>0</v>
      </c>
      <c r="O110" s="80" t="str">
        <f>[1]M_Input!G10</f>
        <v>A-Da-Proc-MilkingSchedule-All-All-S</v>
      </c>
      <c r="P110" s="80"/>
      <c r="Q110" s="122">
        <f>INDEX([1]!MeasureOutput,MATCH($F110,[1]M_Input_Out!$A$4:$A$83,0),14)</f>
        <v>2.0411201305447282E-3</v>
      </c>
      <c r="R110" s="122">
        <f>INDEX([1]!MeasureOutput,MATCH($F110,[1]M_Input_Out!$A$4:$A$83,0),3)</f>
        <v>7.7583818411404444</v>
      </c>
      <c r="S110" s="122">
        <f>INDEX([1]!MeasureOutput,MATCH($F110,[1]M_Input_Out!$A$4:$A$83,0),11)</f>
        <v>9.8569892400367589</v>
      </c>
      <c r="T110" s="122">
        <f>SUM([1]forRPM!$L5:$AE5)</f>
        <v>5.1790983765090054E-3</v>
      </c>
      <c r="U110" s="122">
        <f>INDEX([1]forRPM!AF:AF,MATCH($F110,[1]forRPM!$J:$J,0),1)</f>
        <v>5.5427316131274797E-3</v>
      </c>
      <c r="V110" s="122">
        <f>INDEX([1]!MeasureOutput,MATCH($F110,[1]M_Input_Out!$A$4:$A$83,0),12)</f>
        <v>2.5693274856626007</v>
      </c>
      <c r="W110" s="179" t="str">
        <f>[1]forRPM!A5</f>
        <v>Retro3Slow</v>
      </c>
      <c r="X110" s="80"/>
      <c r="Y110" s="80"/>
      <c r="Z110" s="80"/>
      <c r="AA110" s="80"/>
      <c r="AB110" s="80"/>
      <c r="AC110" s="80"/>
      <c r="AD110" s="80"/>
      <c r="AE110" s="80"/>
      <c r="AF110" s="80"/>
      <c r="AG110" s="80"/>
      <c r="AH110" s="80"/>
      <c r="AI110" s="80" t="s">
        <v>119</v>
      </c>
      <c r="AJ110" s="80" t="s">
        <v>440</v>
      </c>
      <c r="AK110" s="86" t="s">
        <v>428</v>
      </c>
      <c r="AL110" s="79" t="s">
        <v>76</v>
      </c>
    </row>
    <row r="111" spans="1:38" s="84" customFormat="1" ht="13.2" x14ac:dyDescent="0.25">
      <c r="A111" s="161" t="str">
        <f>"AG_"&amp;VLOOKUP($E111,MeasureTypeCode,2,0)&amp;"_"&amp;VLOOKUP($G111,State,2,0)&amp;COUNTIFS($E$3:$E111,$E111,$G$3:$G111,$G111)</f>
        <v>AG_MtrCtrl_WA1</v>
      </c>
      <c r="B111" s="79" t="s">
        <v>479</v>
      </c>
      <c r="C111" s="80" t="s">
        <v>70</v>
      </c>
      <c r="D111" s="80" t="s">
        <v>163</v>
      </c>
      <c r="E111" s="80" t="s">
        <v>167</v>
      </c>
      <c r="F111" s="80" t="str">
        <f>[1]M_Input!A11</f>
        <v>VSD - Vacuum Pump - Free Stall - Washington</v>
      </c>
      <c r="G111" s="80" t="s">
        <v>23</v>
      </c>
      <c r="H111" s="79" t="s">
        <v>160</v>
      </c>
      <c r="I111" s="79" t="s">
        <v>171</v>
      </c>
      <c r="J111" s="80" t="str">
        <f>[1]M_Input!B11</f>
        <v>Pump</v>
      </c>
      <c r="K111" s="81">
        <f>[1]M_Input!C11</f>
        <v>6.9735697018533447</v>
      </c>
      <c r="L111" s="82">
        <f>[1]M_Input!D11</f>
        <v>15</v>
      </c>
      <c r="M111" s="83">
        <f>[1]M_Input!E11</f>
        <v>0.98500980630819668</v>
      </c>
      <c r="N111" s="85">
        <f>[1]M_Input!F11</f>
        <v>0</v>
      </c>
      <c r="O111" s="80" t="str">
        <f>[1]M_Input!G11</f>
        <v>A-Da-Proc-MilkingSchedule-All-All-S</v>
      </c>
      <c r="P111" s="80"/>
      <c r="Q111" s="122">
        <f>INDEX([1]!MeasureOutput,MATCH($F111,[1]M_Input_Out!$A$4:$A$83,0),14)</f>
        <v>2.0411201305447282E-3</v>
      </c>
      <c r="R111" s="122">
        <f>INDEX([1]!MeasureOutput,MATCH($F111,[1]M_Input_Out!$A$4:$A$83,0),3)</f>
        <v>7.7583818411404444</v>
      </c>
      <c r="S111" s="122">
        <f>INDEX([1]!MeasureOutput,MATCH($F111,[1]M_Input_Out!$A$4:$A$83,0),11)</f>
        <v>9.8569892400367589</v>
      </c>
      <c r="T111" s="122">
        <f>SUM([1]forRPM!$L6:$AE6)</f>
        <v>1.4563421802435606E-2</v>
      </c>
      <c r="U111" s="122">
        <f>INDEX([1]forRPM!AF:AF,MATCH($F111,[1]forRPM!$J:$J,0),1)</f>
        <v>1.5711661338057428E-2</v>
      </c>
      <c r="V111" s="122">
        <f>INDEX([1]!MeasureOutput,MATCH($F111,[1]M_Input_Out!$A$4:$A$83,0),12)</f>
        <v>2.5693274856626007</v>
      </c>
      <c r="W111" s="179" t="str">
        <f>[1]forRPM!A6</f>
        <v>Retro3Slow</v>
      </c>
      <c r="X111" s="80"/>
      <c r="Y111" s="80"/>
      <c r="Z111" s="80"/>
      <c r="AA111" s="80"/>
      <c r="AB111" s="80"/>
      <c r="AC111" s="80"/>
      <c r="AD111" s="80"/>
      <c r="AE111" s="80"/>
      <c r="AF111" s="80"/>
      <c r="AG111" s="80"/>
      <c r="AH111" s="80"/>
      <c r="AI111" s="80" t="s">
        <v>119</v>
      </c>
      <c r="AJ111" s="80" t="s">
        <v>440</v>
      </c>
      <c r="AK111" s="86" t="s">
        <v>428</v>
      </c>
      <c r="AL111" s="79" t="s">
        <v>76</v>
      </c>
    </row>
    <row r="112" spans="1:38" s="84" customFormat="1" ht="13.2" x14ac:dyDescent="0.25">
      <c r="A112" s="161" t="str">
        <f>"AG_"&amp;VLOOKUP($E112,MeasureTypeCode,2,0)&amp;"_"&amp;VLOOKUP($G112,State,2,0)&amp;COUNTIFS($E$3:$E112,$E112,$G$3:$G112,$G112)</f>
        <v>AG_MtrCtrl_ID2</v>
      </c>
      <c r="B112" s="79" t="s">
        <v>479</v>
      </c>
      <c r="C112" s="80" t="s">
        <v>70</v>
      </c>
      <c r="D112" s="80" t="s">
        <v>163</v>
      </c>
      <c r="E112" s="80" t="s">
        <v>167</v>
      </c>
      <c r="F112" s="80" t="str">
        <f>[1]M_Input!A12</f>
        <v>VSD - Vacuum Pump - Tie Stall - Idaho</v>
      </c>
      <c r="G112" s="80" t="s">
        <v>22</v>
      </c>
      <c r="H112" s="79" t="s">
        <v>160</v>
      </c>
      <c r="I112" s="79" t="s">
        <v>171</v>
      </c>
      <c r="J112" s="80" t="str">
        <f>[1]M_Input!B12</f>
        <v>Pump</v>
      </c>
      <c r="K112" s="81">
        <f>[1]M_Input!C12</f>
        <v>4.8885865216023019</v>
      </c>
      <c r="L112" s="82">
        <f>[1]M_Input!D12</f>
        <v>15</v>
      </c>
      <c r="M112" s="83">
        <f>[1]M_Input!E12</f>
        <v>0.63061762668806043</v>
      </c>
      <c r="N112" s="85">
        <f>[1]M_Input!F12</f>
        <v>0</v>
      </c>
      <c r="O112" s="80" t="str">
        <f>[1]M_Input!G12</f>
        <v>A-Da-Proc-MilkingSchedule-All-All-S</v>
      </c>
      <c r="P112" s="80"/>
      <c r="Q112" s="122">
        <f>INDEX([1]!MeasureOutput,MATCH($F112,[1]M_Input_Out!$A$4:$A$83,0),14)</f>
        <v>1.4308586256046476E-3</v>
      </c>
      <c r="R112" s="122">
        <f>INDEX([1]!MeasureOutput,MATCH($F112,[1]M_Input_Out!$A$4:$A$83,0),3)</f>
        <v>5.4387526789849598</v>
      </c>
      <c r="S112" s="122">
        <f>INDEX([1]!MeasureOutput,MATCH($F112,[1]M_Input_Out!$A$4:$A$83,0),11)</f>
        <v>8.7125582042951635</v>
      </c>
      <c r="T112" s="122">
        <f>SUM([1]forRPM!$L7:$AE7)</f>
        <v>4.7563247491156464E-3</v>
      </c>
      <c r="U112" s="122">
        <f>INDEX([1]forRPM!AF:AF,MATCH($F112,[1]forRPM!$J:$J,0),1)</f>
        <v>4.7803214494744296E-3</v>
      </c>
      <c r="V112" s="122">
        <f>INDEX([1]!MeasureOutput,MATCH($F112,[1]M_Input_Out!$A$4:$A$83,0),12)</f>
        <v>2.8133390291890454</v>
      </c>
      <c r="W112" s="179" t="str">
        <f>[1]forRPM!A7</f>
        <v>Retro3Slow</v>
      </c>
      <c r="X112" s="80"/>
      <c r="Y112" s="80"/>
      <c r="Z112" s="80"/>
      <c r="AA112" s="80"/>
      <c r="AB112" s="80"/>
      <c r="AC112" s="80"/>
      <c r="AD112" s="80"/>
      <c r="AE112" s="80"/>
      <c r="AF112" s="80"/>
      <c r="AG112" s="80"/>
      <c r="AH112" s="80"/>
      <c r="AI112" s="80" t="s">
        <v>119</v>
      </c>
      <c r="AJ112" s="80" t="s">
        <v>440</v>
      </c>
      <c r="AK112" s="86" t="s">
        <v>428</v>
      </c>
      <c r="AL112" s="79" t="s">
        <v>76</v>
      </c>
    </row>
    <row r="113" spans="1:38" s="84" customFormat="1" ht="13.2" x14ac:dyDescent="0.25">
      <c r="A113" s="161" t="str">
        <f>"AG_"&amp;VLOOKUP($E113,MeasureTypeCode,2,0)&amp;"_"&amp;VLOOKUP($G113,State,2,0)&amp;COUNTIFS($E$3:$E113,$E113,$G$3:$G113,$G113)</f>
        <v>AG_MtrCtrl_MT2</v>
      </c>
      <c r="B113" s="79" t="s">
        <v>479</v>
      </c>
      <c r="C113" s="80" t="s">
        <v>70</v>
      </c>
      <c r="D113" s="80" t="s">
        <v>163</v>
      </c>
      <c r="E113" s="80" t="s">
        <v>167</v>
      </c>
      <c r="F113" s="80" t="str">
        <f>[1]M_Input!A13</f>
        <v>VSD - Vacuum Pump - Tie Stall - Montana</v>
      </c>
      <c r="G113" s="80" t="s">
        <v>25</v>
      </c>
      <c r="H113" s="79" t="s">
        <v>160</v>
      </c>
      <c r="I113" s="79" t="s">
        <v>171</v>
      </c>
      <c r="J113" s="80" t="str">
        <f>[1]M_Input!B13</f>
        <v>Pump</v>
      </c>
      <c r="K113" s="81">
        <f>[1]M_Input!C13</f>
        <v>4.8885865216023019</v>
      </c>
      <c r="L113" s="82">
        <f>[1]M_Input!D13</f>
        <v>15</v>
      </c>
      <c r="M113" s="83">
        <f>[1]M_Input!E13</f>
        <v>0.63061762668806043</v>
      </c>
      <c r="N113" s="85">
        <f>[1]M_Input!F13</f>
        <v>0</v>
      </c>
      <c r="O113" s="80" t="str">
        <f>[1]M_Input!G13</f>
        <v>A-Da-Proc-MilkingSchedule-All-All-S</v>
      </c>
      <c r="P113" s="80"/>
      <c r="Q113" s="122">
        <f>INDEX([1]!MeasureOutput,MATCH($F113,[1]M_Input_Out!$A$4:$A$83,0),14)</f>
        <v>1.4308586256046476E-3</v>
      </c>
      <c r="R113" s="122">
        <f>INDEX([1]!MeasureOutput,MATCH($F113,[1]M_Input_Out!$A$4:$A$83,0),3)</f>
        <v>5.4387526789849598</v>
      </c>
      <c r="S113" s="122">
        <f>INDEX([1]!MeasureOutput,MATCH($F113,[1]M_Input_Out!$A$4:$A$83,0),11)</f>
        <v>8.7125582042951635</v>
      </c>
      <c r="T113" s="122">
        <f>SUM([1]forRPM!$L8:$AE8)</f>
        <v>2.353608057061634E-4</v>
      </c>
      <c r="U113" s="122">
        <f>INDEX([1]forRPM!AF:AF,MATCH($F113,[1]forRPM!$J:$J,0),1)</f>
        <v>2.3654825253299804E-4</v>
      </c>
      <c r="V113" s="122">
        <f>INDEX([1]!MeasureOutput,MATCH($F113,[1]M_Input_Out!$A$4:$A$83,0),12)</f>
        <v>2.8133390291890454</v>
      </c>
      <c r="W113" s="179" t="str">
        <f>[1]forRPM!A8</f>
        <v>Retro3Slow</v>
      </c>
      <c r="X113" s="80"/>
      <c r="Y113" s="80"/>
      <c r="Z113" s="80"/>
      <c r="AA113" s="80"/>
      <c r="AB113" s="80"/>
      <c r="AC113" s="80"/>
      <c r="AD113" s="80"/>
      <c r="AE113" s="80"/>
      <c r="AF113" s="80"/>
      <c r="AG113" s="80"/>
      <c r="AH113" s="80"/>
      <c r="AI113" s="80" t="s">
        <v>119</v>
      </c>
      <c r="AJ113" s="80" t="s">
        <v>440</v>
      </c>
      <c r="AK113" s="86" t="s">
        <v>428</v>
      </c>
      <c r="AL113" s="79" t="s">
        <v>76</v>
      </c>
    </row>
    <row r="114" spans="1:38" s="84" customFormat="1" ht="13.2" x14ac:dyDescent="0.25">
      <c r="A114" s="161" t="str">
        <f>"AG_"&amp;VLOOKUP($E114,MeasureTypeCode,2,0)&amp;"_"&amp;VLOOKUP($G114,State,2,0)&amp;COUNTIFS($E$3:$E114,$E114,$G$3:$G114,$G114)</f>
        <v>AG_MtrCtrl_OR2</v>
      </c>
      <c r="B114" s="79" t="s">
        <v>479</v>
      </c>
      <c r="C114" s="80" t="s">
        <v>70</v>
      </c>
      <c r="D114" s="80" t="s">
        <v>163</v>
      </c>
      <c r="E114" s="80" t="s">
        <v>167</v>
      </c>
      <c r="F114" s="80" t="str">
        <f>[1]M_Input!A14</f>
        <v>VSD - Vacuum Pump - Tie Stall - Oregon</v>
      </c>
      <c r="G114" s="80" t="s">
        <v>24</v>
      </c>
      <c r="H114" s="79" t="s">
        <v>160</v>
      </c>
      <c r="I114" s="79" t="s">
        <v>171</v>
      </c>
      <c r="J114" s="80" t="str">
        <f>[1]M_Input!B14</f>
        <v>Pump</v>
      </c>
      <c r="K114" s="81">
        <f>[1]M_Input!C14</f>
        <v>4.8885865216023019</v>
      </c>
      <c r="L114" s="82">
        <f>[1]M_Input!D14</f>
        <v>15</v>
      </c>
      <c r="M114" s="83">
        <f>[1]M_Input!E14</f>
        <v>0.63061762668806043</v>
      </c>
      <c r="N114" s="85">
        <f>[1]M_Input!F14</f>
        <v>0</v>
      </c>
      <c r="O114" s="80" t="str">
        <f>[1]M_Input!G14</f>
        <v>A-Da-Proc-MilkingSchedule-All-All-S</v>
      </c>
      <c r="P114" s="80"/>
      <c r="Q114" s="122">
        <f>INDEX([1]!MeasureOutput,MATCH($F114,[1]M_Input_Out!$A$4:$A$83,0),14)</f>
        <v>1.4308586256046476E-3</v>
      </c>
      <c r="R114" s="122">
        <f>INDEX([1]!MeasureOutput,MATCH($F114,[1]M_Input_Out!$A$4:$A$83,0),3)</f>
        <v>5.4387526789849598</v>
      </c>
      <c r="S114" s="122">
        <f>INDEX([1]!MeasureOutput,MATCH($F114,[1]M_Input_Out!$A$4:$A$83,0),11)</f>
        <v>8.7125582042951635</v>
      </c>
      <c r="T114" s="122">
        <f>SUM([1]forRPM!$L9:$AE9)</f>
        <v>2.8252256679722684E-3</v>
      </c>
      <c r="U114" s="122">
        <f>INDEX([1]forRPM!AF:AF,MATCH($F114,[1]forRPM!$J:$J,0),1)</f>
        <v>2.8394795504080462E-3</v>
      </c>
      <c r="V114" s="122">
        <f>INDEX([1]!MeasureOutput,MATCH($F114,[1]M_Input_Out!$A$4:$A$83,0),12)</f>
        <v>2.8133390291890454</v>
      </c>
      <c r="W114" s="179" t="str">
        <f>[1]forRPM!A9</f>
        <v>Retro3Slow</v>
      </c>
      <c r="X114" s="80"/>
      <c r="Y114" s="80"/>
      <c r="Z114" s="80"/>
      <c r="AA114" s="80"/>
      <c r="AB114" s="80"/>
      <c r="AC114" s="80"/>
      <c r="AD114" s="80"/>
      <c r="AE114" s="80"/>
      <c r="AF114" s="80"/>
      <c r="AG114" s="80"/>
      <c r="AH114" s="80"/>
      <c r="AI114" s="80" t="s">
        <v>119</v>
      </c>
      <c r="AJ114" s="80" t="s">
        <v>440</v>
      </c>
      <c r="AK114" s="86" t="s">
        <v>428</v>
      </c>
      <c r="AL114" s="79" t="s">
        <v>76</v>
      </c>
    </row>
    <row r="115" spans="1:38" s="84" customFormat="1" ht="13.2" x14ac:dyDescent="0.25">
      <c r="A115" s="161" t="str">
        <f>"AG_"&amp;VLOOKUP($E115,MeasureTypeCode,2,0)&amp;"_"&amp;VLOOKUP($G115,State,2,0)&amp;COUNTIFS($E$3:$E115,$E115,$G$3:$G115,$G115)</f>
        <v>AG_MtrCtrl_WA2</v>
      </c>
      <c r="B115" s="79" t="s">
        <v>479</v>
      </c>
      <c r="C115" s="80" t="s">
        <v>70</v>
      </c>
      <c r="D115" s="80" t="s">
        <v>163</v>
      </c>
      <c r="E115" s="80" t="s">
        <v>167</v>
      </c>
      <c r="F115" s="80" t="str">
        <f>[1]M_Input!A15</f>
        <v>VSD - Vacuum Pump - Tie Stall - Washington</v>
      </c>
      <c r="G115" s="80" t="s">
        <v>23</v>
      </c>
      <c r="H115" s="79" t="s">
        <v>160</v>
      </c>
      <c r="I115" s="79" t="s">
        <v>171</v>
      </c>
      <c r="J115" s="80" t="str">
        <f>[1]M_Input!B15</f>
        <v>Pump</v>
      </c>
      <c r="K115" s="81">
        <f>[1]M_Input!C15</f>
        <v>4.8885865216023019</v>
      </c>
      <c r="L115" s="82">
        <f>[1]M_Input!D15</f>
        <v>15</v>
      </c>
      <c r="M115" s="83">
        <f>[1]M_Input!E15</f>
        <v>0.63061762668806043</v>
      </c>
      <c r="N115" s="85">
        <f>[1]M_Input!F15</f>
        <v>0</v>
      </c>
      <c r="O115" s="80" t="str">
        <f>[1]M_Input!G15</f>
        <v>A-Da-Proc-MilkingSchedule-All-All-S</v>
      </c>
      <c r="P115" s="80"/>
      <c r="Q115" s="122">
        <f>INDEX([1]!MeasureOutput,MATCH($F115,[1]M_Input_Out!$A$4:$A$83,0),14)</f>
        <v>1.4308586256046476E-3</v>
      </c>
      <c r="R115" s="122">
        <f>INDEX([1]!MeasureOutput,MATCH($F115,[1]M_Input_Out!$A$4:$A$83,0),3)</f>
        <v>5.4387526789849598</v>
      </c>
      <c r="S115" s="122">
        <f>INDEX([1]!MeasureOutput,MATCH($F115,[1]M_Input_Out!$A$4:$A$83,0),11)</f>
        <v>8.7125582042951635</v>
      </c>
      <c r="T115" s="122">
        <f>SUM([1]forRPM!$L10:$AE10)</f>
        <v>1.7224423514276317E-4</v>
      </c>
      <c r="U115" s="122">
        <f>INDEX([1]forRPM!AF:AF,MATCH($F115,[1]forRPM!$J:$J,0),1)</f>
        <v>1.7311324504374131E-4</v>
      </c>
      <c r="V115" s="122">
        <f>INDEX([1]!MeasureOutput,MATCH($F115,[1]M_Input_Out!$A$4:$A$83,0),12)</f>
        <v>2.8133390291890454</v>
      </c>
      <c r="W115" s="179" t="str">
        <f>[1]forRPM!A10</f>
        <v>Retro3Slow</v>
      </c>
      <c r="X115" s="80"/>
      <c r="Y115" s="80"/>
      <c r="Z115" s="80"/>
      <c r="AA115" s="80"/>
      <c r="AB115" s="80"/>
      <c r="AC115" s="80"/>
      <c r="AD115" s="80"/>
      <c r="AE115" s="80"/>
      <c r="AF115" s="80"/>
      <c r="AG115" s="80"/>
      <c r="AH115" s="80"/>
      <c r="AI115" s="80" t="s">
        <v>119</v>
      </c>
      <c r="AJ115" s="80" t="s">
        <v>440</v>
      </c>
      <c r="AK115" s="86" t="s">
        <v>428</v>
      </c>
      <c r="AL115" s="79" t="s">
        <v>76</v>
      </c>
    </row>
    <row r="116" spans="1:38" s="45" customFormat="1" ht="13.2" x14ac:dyDescent="0.25">
      <c r="A116" s="159" t="str">
        <f>"AG_"&amp;VLOOKUP($E116,MeasureTypeCode,2,0)&amp;"_"&amp;VLOOKUP($G116,State,2,0)&amp;COUNTIFS($E$3:$E116,$E116,$G$3:$G116,$G116)</f>
        <v>AG_DairyPreCool_ID1</v>
      </c>
      <c r="B116" s="37" t="s">
        <v>479</v>
      </c>
      <c r="C116" s="38" t="s">
        <v>115</v>
      </c>
      <c r="D116" s="38" t="s">
        <v>162</v>
      </c>
      <c r="E116" s="38" t="s">
        <v>116</v>
      </c>
      <c r="F116" s="38" t="str">
        <f>[1]M_Input!A16</f>
        <v>Plate Milk Pre-cooler - Free Stall - Idaho</v>
      </c>
      <c r="G116" s="38" t="s">
        <v>22</v>
      </c>
      <c r="H116" s="37" t="s">
        <v>160</v>
      </c>
      <c r="I116" s="37" t="s">
        <v>171</v>
      </c>
      <c r="J116" s="38" t="str">
        <f>[1]M_Input!B16</f>
        <v>Refrigeration</v>
      </c>
      <c r="K116" s="39">
        <f>[1]M_Input!C16</f>
        <v>3.8581788879935535</v>
      </c>
      <c r="L116" s="40">
        <f>[1]M_Input!D16</f>
        <v>15</v>
      </c>
      <c r="M116" s="41">
        <f>[1]M_Input!E16</f>
        <v>0.54492984245687548</v>
      </c>
      <c r="N116" s="42">
        <f>[1]M_Input!F16</f>
        <v>0</v>
      </c>
      <c r="O116" s="87" t="str">
        <f>[1]M_Input!G16</f>
        <v>A-Da-Proc-MilkingSchedule-All-All-S</v>
      </c>
      <c r="P116" s="38"/>
      <c r="Q116" s="120">
        <f>INDEX([1]!MeasureOutput,MATCH($F116,[1]M_Input_Out!$A$4:$A$83,0),14)</f>
        <v>1.1292647714460213E-3</v>
      </c>
      <c r="R116" s="120">
        <f>INDEX([1]!MeasureOutput,MATCH($F116,[1]M_Input_Out!$A$4:$A$83,0),3)</f>
        <v>4.2923819943357495</v>
      </c>
      <c r="S116" s="120">
        <f>INDEX([1]!MeasureOutput,MATCH($F116,[1]M_Input_Out!$A$4:$A$83,0),11)</f>
        <v>9.8561636003207056</v>
      </c>
      <c r="T116" s="120">
        <f>SUM([1]forRPM!$L11:$AE11)</f>
        <v>0.34072679567436504</v>
      </c>
      <c r="U116" s="120">
        <f>INDEX([1]forRPM!AF:AF,MATCH($F116,[1]forRPM!$J:$J,0),1)</f>
        <v>0.36860646874901354</v>
      </c>
      <c r="V116" s="120">
        <f>INDEX([1]!MeasureOutput,MATCH($F116,[1]M_Input_Out!$A$4:$A$83,0),12)</f>
        <v>2.5694882670932722</v>
      </c>
      <c r="W116" s="177" t="str">
        <f>[1]forRPM!A11</f>
        <v>Retro3Slow</v>
      </c>
      <c r="X116" s="38"/>
      <c r="Y116" s="38"/>
      <c r="Z116" s="38"/>
      <c r="AA116" s="38"/>
      <c r="AB116" s="38"/>
      <c r="AC116" s="38"/>
      <c r="AD116" s="38"/>
      <c r="AE116" s="38"/>
      <c r="AF116" s="38"/>
      <c r="AG116" s="38"/>
      <c r="AH116" s="38"/>
      <c r="AI116" s="38" t="s">
        <v>199</v>
      </c>
      <c r="AJ116" s="38" t="s">
        <v>439</v>
      </c>
      <c r="AK116" s="38" t="s">
        <v>428</v>
      </c>
      <c r="AL116" s="37" t="s">
        <v>76</v>
      </c>
    </row>
    <row r="117" spans="1:38" s="45" customFormat="1" ht="13.2" x14ac:dyDescent="0.25">
      <c r="A117" s="159" t="str">
        <f>"AG_"&amp;VLOOKUP($E117,MeasureTypeCode,2,0)&amp;"_"&amp;VLOOKUP($G117,State,2,0)&amp;COUNTIFS($E$3:$E117,$E117,$G$3:$G117,$G117)</f>
        <v>AG_DairyPreCool_MT1</v>
      </c>
      <c r="B117" s="37" t="s">
        <v>479</v>
      </c>
      <c r="C117" s="38" t="s">
        <v>115</v>
      </c>
      <c r="D117" s="38" t="s">
        <v>162</v>
      </c>
      <c r="E117" s="38" t="s">
        <v>116</v>
      </c>
      <c r="F117" s="38" t="str">
        <f>[1]M_Input!A17</f>
        <v>Plate Milk Pre-cooler - Free Stall - Montana</v>
      </c>
      <c r="G117" s="38" t="s">
        <v>25</v>
      </c>
      <c r="H117" s="37" t="s">
        <v>160</v>
      </c>
      <c r="I117" s="37" t="s">
        <v>171</v>
      </c>
      <c r="J117" s="38" t="str">
        <f>[1]M_Input!B17</f>
        <v>Refrigeration</v>
      </c>
      <c r="K117" s="39">
        <f>[1]M_Input!C17</f>
        <v>3.8581788879935535</v>
      </c>
      <c r="L117" s="40">
        <f>[1]M_Input!D17</f>
        <v>15</v>
      </c>
      <c r="M117" s="41">
        <f>[1]M_Input!E17</f>
        <v>0.54492984245687548</v>
      </c>
      <c r="N117" s="42">
        <f>[1]M_Input!F17</f>
        <v>0</v>
      </c>
      <c r="O117" s="87" t="str">
        <f>[1]M_Input!G17</f>
        <v>A-Da-Proc-MilkingSchedule-All-All-S</v>
      </c>
      <c r="P117" s="38"/>
      <c r="Q117" s="120">
        <f>INDEX([1]!MeasureOutput,MATCH($F117,[1]M_Input_Out!$A$4:$A$83,0),14)</f>
        <v>1.1292647714460213E-3</v>
      </c>
      <c r="R117" s="120">
        <f>INDEX([1]!MeasureOutput,MATCH($F117,[1]M_Input_Out!$A$4:$A$83,0),3)</f>
        <v>4.2923819943357495</v>
      </c>
      <c r="S117" s="120">
        <f>INDEX([1]!MeasureOutput,MATCH($F117,[1]M_Input_Out!$A$4:$A$83,0),11)</f>
        <v>9.8561636003207056</v>
      </c>
      <c r="T117" s="120">
        <f>SUM([1]forRPM!$L12:$AE12)</f>
        <v>1.4158650015352122E-3</v>
      </c>
      <c r="U117" s="120">
        <f>INDEX([1]forRPM!AF:AF,MATCH($F117,[1]forRPM!$J:$J,0),1)</f>
        <v>1.4126853526493933E-3</v>
      </c>
      <c r="V117" s="120">
        <f>INDEX([1]!MeasureOutput,MATCH($F117,[1]M_Input_Out!$A$4:$A$83,0),12)</f>
        <v>2.5694882670932722</v>
      </c>
      <c r="W117" s="177" t="str">
        <f>[1]forRPM!A12</f>
        <v>Retro3Slow</v>
      </c>
      <c r="X117" s="38"/>
      <c r="Y117" s="38"/>
      <c r="Z117" s="38"/>
      <c r="AA117" s="38"/>
      <c r="AB117" s="38"/>
      <c r="AC117" s="38"/>
      <c r="AD117" s="38"/>
      <c r="AE117" s="38"/>
      <c r="AF117" s="38"/>
      <c r="AG117" s="38"/>
      <c r="AH117" s="38"/>
      <c r="AI117" s="38" t="s">
        <v>199</v>
      </c>
      <c r="AJ117" s="38" t="s">
        <v>439</v>
      </c>
      <c r="AK117" s="38" t="s">
        <v>428</v>
      </c>
      <c r="AL117" s="37" t="s">
        <v>76</v>
      </c>
    </row>
    <row r="118" spans="1:38" s="45" customFormat="1" ht="13.2" x14ac:dyDescent="0.25">
      <c r="A118" s="159" t="str">
        <f>"AG_"&amp;VLOOKUP($E118,MeasureTypeCode,2,0)&amp;"_"&amp;VLOOKUP($G118,State,2,0)&amp;COUNTIFS($E$3:$E118,$E118,$G$3:$G118,$G118)</f>
        <v>AG_DairyPreCool_OR1</v>
      </c>
      <c r="B118" s="37" t="s">
        <v>479</v>
      </c>
      <c r="C118" s="38" t="s">
        <v>115</v>
      </c>
      <c r="D118" s="38" t="s">
        <v>162</v>
      </c>
      <c r="E118" s="38" t="s">
        <v>116</v>
      </c>
      <c r="F118" s="38" t="str">
        <f>[1]M_Input!A18</f>
        <v>Plate Milk Pre-cooler - Free Stall - Oregon</v>
      </c>
      <c r="G118" s="38" t="s">
        <v>24</v>
      </c>
      <c r="H118" s="37" t="s">
        <v>160</v>
      </c>
      <c r="I118" s="37" t="s">
        <v>171</v>
      </c>
      <c r="J118" s="38" t="str">
        <f>[1]M_Input!B18</f>
        <v>Refrigeration</v>
      </c>
      <c r="K118" s="39">
        <f>[1]M_Input!C18</f>
        <v>3.8581788879935535</v>
      </c>
      <c r="L118" s="40">
        <f>[1]M_Input!D18</f>
        <v>15</v>
      </c>
      <c r="M118" s="41">
        <f>[1]M_Input!E18</f>
        <v>0.54492984245687548</v>
      </c>
      <c r="N118" s="42">
        <f>[1]M_Input!F18</f>
        <v>0</v>
      </c>
      <c r="O118" s="87" t="str">
        <f>[1]M_Input!G18</f>
        <v>A-Da-Proc-MilkingSchedule-All-All-S</v>
      </c>
      <c r="P118" s="38"/>
      <c r="Q118" s="120">
        <f>INDEX([1]!MeasureOutput,MATCH($F118,[1]M_Input_Out!$A$4:$A$83,0),14)</f>
        <v>1.1292647714460213E-3</v>
      </c>
      <c r="R118" s="120">
        <f>INDEX([1]!MeasureOutput,MATCH($F118,[1]M_Input_Out!$A$4:$A$83,0),3)</f>
        <v>4.2923819943357495</v>
      </c>
      <c r="S118" s="120">
        <f>INDEX([1]!MeasureOutput,MATCH($F118,[1]M_Input_Out!$A$4:$A$83,0),11)</f>
        <v>9.8561636003207056</v>
      </c>
      <c r="T118" s="120">
        <f>SUM([1]forRPM!$L13:$AE13)</f>
        <v>5.4442113367818748E-2</v>
      </c>
      <c r="U118" s="120">
        <f>INDEX([1]forRPM!AF:AF,MATCH($F118,[1]forRPM!$J:$J,0),1)</f>
        <v>5.8264586017128445E-2</v>
      </c>
      <c r="V118" s="120">
        <f>INDEX([1]!MeasureOutput,MATCH($F118,[1]M_Input_Out!$A$4:$A$83,0),12)</f>
        <v>2.5694882670932722</v>
      </c>
      <c r="W118" s="177" t="str">
        <f>[1]forRPM!A13</f>
        <v>Retro3Slow</v>
      </c>
      <c r="X118" s="38"/>
      <c r="Y118" s="38"/>
      <c r="Z118" s="38"/>
      <c r="AA118" s="38"/>
      <c r="AB118" s="38"/>
      <c r="AC118" s="38"/>
      <c r="AD118" s="38"/>
      <c r="AE118" s="38"/>
      <c r="AF118" s="38"/>
      <c r="AG118" s="38"/>
      <c r="AH118" s="38"/>
      <c r="AI118" s="38" t="s">
        <v>199</v>
      </c>
      <c r="AJ118" s="38" t="s">
        <v>439</v>
      </c>
      <c r="AK118" s="38" t="s">
        <v>428</v>
      </c>
      <c r="AL118" s="37" t="s">
        <v>76</v>
      </c>
    </row>
    <row r="119" spans="1:38" s="45" customFormat="1" ht="13.2" x14ac:dyDescent="0.25">
      <c r="A119" s="159" t="str">
        <f>"AG_"&amp;VLOOKUP($E119,MeasureTypeCode,2,0)&amp;"_"&amp;VLOOKUP($G119,State,2,0)&amp;COUNTIFS($E$3:$E119,$E119,$G$3:$G119,$G119)</f>
        <v>AG_DairyPreCool_WA1</v>
      </c>
      <c r="B119" s="37" t="s">
        <v>479</v>
      </c>
      <c r="C119" s="38" t="s">
        <v>115</v>
      </c>
      <c r="D119" s="38" t="s">
        <v>162</v>
      </c>
      <c r="E119" s="38" t="s">
        <v>116</v>
      </c>
      <c r="F119" s="38" t="str">
        <f>[1]M_Input!A19</f>
        <v>Plate Milk Pre-cooler - Free Stall - Washington</v>
      </c>
      <c r="G119" s="38" t="s">
        <v>23</v>
      </c>
      <c r="H119" s="37" t="s">
        <v>160</v>
      </c>
      <c r="I119" s="37" t="s">
        <v>171</v>
      </c>
      <c r="J119" s="38" t="str">
        <f>[1]M_Input!B19</f>
        <v>Refrigeration</v>
      </c>
      <c r="K119" s="39">
        <f>[1]M_Input!C19</f>
        <v>3.8581788879935535</v>
      </c>
      <c r="L119" s="40">
        <f>[1]M_Input!D19</f>
        <v>15</v>
      </c>
      <c r="M119" s="41">
        <f>[1]M_Input!E19</f>
        <v>0.54492984245687548</v>
      </c>
      <c r="N119" s="42">
        <f>[1]M_Input!F19</f>
        <v>0</v>
      </c>
      <c r="O119" s="87" t="str">
        <f>[1]M_Input!G19</f>
        <v>A-Da-Proc-MilkingSchedule-All-All-S</v>
      </c>
      <c r="P119" s="38"/>
      <c r="Q119" s="120">
        <f>INDEX([1]!MeasureOutput,MATCH($F119,[1]M_Input_Out!$A$4:$A$83,0),14)</f>
        <v>1.1292647714460213E-3</v>
      </c>
      <c r="R119" s="120">
        <f>INDEX([1]!MeasureOutput,MATCH($F119,[1]M_Input_Out!$A$4:$A$83,0),3)</f>
        <v>4.2923819943357495</v>
      </c>
      <c r="S119" s="120">
        <f>INDEX([1]!MeasureOutput,MATCH($F119,[1]M_Input_Out!$A$4:$A$83,0),11)</f>
        <v>9.8561636003207056</v>
      </c>
      <c r="T119" s="120">
        <f>SUM([1]forRPM!$L14:$AE14)</f>
        <v>0.15308909063936266</v>
      </c>
      <c r="U119" s="120">
        <f>INDEX([1]forRPM!AF:AF,MATCH($F119,[1]forRPM!$J:$J,0),1)</f>
        <v>0.16515925853871646</v>
      </c>
      <c r="V119" s="120">
        <f>INDEX([1]!MeasureOutput,MATCH($F119,[1]M_Input_Out!$A$4:$A$83,0),12)</f>
        <v>2.5694882670932722</v>
      </c>
      <c r="W119" s="177" t="str">
        <f>[1]forRPM!A14</f>
        <v>Retro3Slow</v>
      </c>
      <c r="X119" s="38"/>
      <c r="Y119" s="38"/>
      <c r="Z119" s="38"/>
      <c r="AA119" s="38"/>
      <c r="AB119" s="38"/>
      <c r="AC119" s="38"/>
      <c r="AD119" s="38"/>
      <c r="AE119" s="38"/>
      <c r="AF119" s="38"/>
      <c r="AG119" s="38"/>
      <c r="AH119" s="38"/>
      <c r="AI119" s="38" t="s">
        <v>199</v>
      </c>
      <c r="AJ119" s="38" t="s">
        <v>439</v>
      </c>
      <c r="AK119" s="38" t="s">
        <v>428</v>
      </c>
      <c r="AL119" s="37" t="s">
        <v>76</v>
      </c>
    </row>
    <row r="120" spans="1:38" s="45" customFormat="1" ht="13.2" x14ac:dyDescent="0.25">
      <c r="A120" s="159" t="str">
        <f>"AG_"&amp;VLOOKUP($E120,MeasureTypeCode,2,0)&amp;"_"&amp;VLOOKUP($G120,State,2,0)&amp;COUNTIFS($E$3:$E120,$E120,$G$3:$G120,$G120)</f>
        <v>AG_DairyPreCool_ID2</v>
      </c>
      <c r="B120" s="37" t="s">
        <v>479</v>
      </c>
      <c r="C120" s="38" t="s">
        <v>115</v>
      </c>
      <c r="D120" s="38" t="s">
        <v>162</v>
      </c>
      <c r="E120" s="38" t="s">
        <v>116</v>
      </c>
      <c r="F120" s="38" t="str">
        <f>[1]M_Input!A20</f>
        <v>Plate Milk Pre-Cooler - Tie Stall - Idaho</v>
      </c>
      <c r="G120" s="38" t="s">
        <v>22</v>
      </c>
      <c r="H120" s="37" t="s">
        <v>160</v>
      </c>
      <c r="I120" s="37" t="s">
        <v>171</v>
      </c>
      <c r="J120" s="38" t="str">
        <f>[1]M_Input!B20</f>
        <v>Refrigeration</v>
      </c>
      <c r="K120" s="39">
        <f>[1]M_Input!C20</f>
        <v>4</v>
      </c>
      <c r="L120" s="40">
        <f>[1]M_Input!D20</f>
        <v>15</v>
      </c>
      <c r="M120" s="41">
        <f>[1]M_Input!E20</f>
        <v>0.47821966147104827</v>
      </c>
      <c r="N120" s="42">
        <f>[1]M_Input!F20</f>
        <v>0</v>
      </c>
      <c r="O120" s="87" t="str">
        <f>[1]M_Input!G20</f>
        <v>A-Da-Proc-MilkingSchedule-All-All-S</v>
      </c>
      <c r="P120" s="38"/>
      <c r="Q120" s="120">
        <f>INDEX([1]!MeasureOutput,MATCH($F120,[1]M_Input_Out!$A$4:$A$83,0),14)</f>
        <v>1.1707749217748642E-3</v>
      </c>
      <c r="R120" s="120">
        <f>INDEX([1]!MeasureOutput,MATCH($F120,[1]M_Input_Out!$A$4:$A$83,0),3)</f>
        <v>4.4501637886137555</v>
      </c>
      <c r="S120" s="120">
        <f>INDEX([1]!MeasureOutput,MATCH($F120,[1]M_Input_Out!$A$4:$A$83,0),11)</f>
        <v>7.8304387947882725</v>
      </c>
      <c r="T120" s="120">
        <f>SUM([1]forRPM!$L15:$AE15)</f>
        <v>2.3350674775693775E-2</v>
      </c>
      <c r="U120" s="120">
        <f>INDEX([1]forRPM!AF:AF,MATCH($F120,[1]forRPM!$J:$J,0),1)</f>
        <v>2.346848404552378E-2</v>
      </c>
      <c r="V120" s="120">
        <f>INDEX([1]!MeasureOutput,MATCH($F120,[1]M_Input_Out!$A$4:$A$83,0),12)</f>
        <v>3.0355503061064266</v>
      </c>
      <c r="W120" s="177" t="str">
        <f>[1]forRPM!A15</f>
        <v>Retro3Slow</v>
      </c>
      <c r="X120" s="38"/>
      <c r="Y120" s="38"/>
      <c r="Z120" s="38"/>
      <c r="AA120" s="38"/>
      <c r="AB120" s="38"/>
      <c r="AC120" s="38"/>
      <c r="AD120" s="38"/>
      <c r="AE120" s="38"/>
      <c r="AF120" s="38"/>
      <c r="AG120" s="38"/>
      <c r="AH120" s="38"/>
      <c r="AI120" s="38" t="s">
        <v>199</v>
      </c>
      <c r="AJ120" s="38" t="s">
        <v>439</v>
      </c>
      <c r="AK120" s="38" t="s">
        <v>428</v>
      </c>
      <c r="AL120" s="37" t="s">
        <v>76</v>
      </c>
    </row>
    <row r="121" spans="1:38" s="45" customFormat="1" ht="13.2" x14ac:dyDescent="0.25">
      <c r="A121" s="159" t="str">
        <f>"AG_"&amp;VLOOKUP($E121,MeasureTypeCode,2,0)&amp;"_"&amp;VLOOKUP($G121,State,2,0)&amp;COUNTIFS($E$3:$E121,$E121,$G$3:$G121,$G121)</f>
        <v>AG_DairyPreCool_MT2</v>
      </c>
      <c r="B121" s="37" t="s">
        <v>479</v>
      </c>
      <c r="C121" s="38" t="s">
        <v>115</v>
      </c>
      <c r="D121" s="38" t="s">
        <v>162</v>
      </c>
      <c r="E121" s="38" t="s">
        <v>116</v>
      </c>
      <c r="F121" s="38" t="str">
        <f>[1]M_Input!A21</f>
        <v>Plate Milk Pre-Cooler - Tie Stall - Montana</v>
      </c>
      <c r="G121" s="38" t="s">
        <v>25</v>
      </c>
      <c r="H121" s="37" t="s">
        <v>160</v>
      </c>
      <c r="I121" s="37" t="s">
        <v>171</v>
      </c>
      <c r="J121" s="38" t="str">
        <f>[1]M_Input!B21</f>
        <v>Refrigeration</v>
      </c>
      <c r="K121" s="39">
        <f>[1]M_Input!C21</f>
        <v>4</v>
      </c>
      <c r="L121" s="40">
        <f>[1]M_Input!D21</f>
        <v>15</v>
      </c>
      <c r="M121" s="41">
        <f>[1]M_Input!E21</f>
        <v>0.47821966147104827</v>
      </c>
      <c r="N121" s="42">
        <f>[1]M_Input!F21</f>
        <v>0</v>
      </c>
      <c r="O121" s="87" t="str">
        <f>[1]M_Input!G21</f>
        <v>A-Da-Proc-MilkingSchedule-All-All-S</v>
      </c>
      <c r="P121" s="38"/>
      <c r="Q121" s="120">
        <f>INDEX([1]!MeasureOutput,MATCH($F121,[1]M_Input_Out!$A$4:$A$83,0),14)</f>
        <v>1.1707749217748642E-3</v>
      </c>
      <c r="R121" s="120">
        <f>INDEX([1]!MeasureOutput,MATCH($F121,[1]M_Input_Out!$A$4:$A$83,0),3)</f>
        <v>4.4501637886137555</v>
      </c>
      <c r="S121" s="120">
        <f>INDEX([1]!MeasureOutput,MATCH($F121,[1]M_Input_Out!$A$4:$A$83,0),11)</f>
        <v>7.8304387947882725</v>
      </c>
      <c r="T121" s="120">
        <f>SUM([1]forRPM!$L16:$AE16)</f>
        <v>1.1554790555484513E-3</v>
      </c>
      <c r="U121" s="120">
        <f>INDEX([1]forRPM!AF:AF,MATCH($F121,[1]forRPM!$J:$J,0),1)</f>
        <v>1.161308700522126E-3</v>
      </c>
      <c r="V121" s="120">
        <f>INDEX([1]!MeasureOutput,MATCH($F121,[1]M_Input_Out!$A$4:$A$83,0),12)</f>
        <v>3.0355503061064266</v>
      </c>
      <c r="W121" s="177" t="str">
        <f>[1]forRPM!A16</f>
        <v>Retro3Slow</v>
      </c>
      <c r="X121" s="38"/>
      <c r="Y121" s="38"/>
      <c r="Z121" s="38"/>
      <c r="AA121" s="38"/>
      <c r="AB121" s="38"/>
      <c r="AC121" s="38"/>
      <c r="AD121" s="38"/>
      <c r="AE121" s="38"/>
      <c r="AF121" s="38"/>
      <c r="AG121" s="38"/>
      <c r="AH121" s="38"/>
      <c r="AI121" s="38" t="s">
        <v>199</v>
      </c>
      <c r="AJ121" s="38" t="s">
        <v>439</v>
      </c>
      <c r="AK121" s="38" t="s">
        <v>428</v>
      </c>
      <c r="AL121" s="37" t="s">
        <v>76</v>
      </c>
    </row>
    <row r="122" spans="1:38" s="45" customFormat="1" ht="13.2" x14ac:dyDescent="0.25">
      <c r="A122" s="159" t="str">
        <f>"AG_"&amp;VLOOKUP($E122,MeasureTypeCode,2,0)&amp;"_"&amp;VLOOKUP($G122,State,2,0)&amp;COUNTIFS($E$3:$E122,$E122,$G$3:$G122,$G122)</f>
        <v>AG_DairyPreCool_OR2</v>
      </c>
      <c r="B122" s="37" t="s">
        <v>479</v>
      </c>
      <c r="C122" s="38" t="s">
        <v>115</v>
      </c>
      <c r="D122" s="38" t="s">
        <v>162</v>
      </c>
      <c r="E122" s="38" t="s">
        <v>116</v>
      </c>
      <c r="F122" s="38" t="str">
        <f>[1]M_Input!A22</f>
        <v>Plate Milk Pre-Cooler - Tie Stall - Oregon</v>
      </c>
      <c r="G122" s="38" t="s">
        <v>24</v>
      </c>
      <c r="H122" s="37" t="s">
        <v>160</v>
      </c>
      <c r="I122" s="37" t="s">
        <v>171</v>
      </c>
      <c r="J122" s="38" t="str">
        <f>[1]M_Input!B22</f>
        <v>Refrigeration</v>
      </c>
      <c r="K122" s="39">
        <f>[1]M_Input!C22</f>
        <v>4</v>
      </c>
      <c r="L122" s="40">
        <f>[1]M_Input!D22</f>
        <v>15</v>
      </c>
      <c r="M122" s="41">
        <f>[1]M_Input!E22</f>
        <v>0.47821966147104827</v>
      </c>
      <c r="N122" s="42">
        <f>[1]M_Input!F22</f>
        <v>0</v>
      </c>
      <c r="O122" s="87" t="str">
        <f>[1]M_Input!G22</f>
        <v>A-Da-Proc-MilkingSchedule-All-All-S</v>
      </c>
      <c r="P122" s="38"/>
      <c r="Q122" s="120">
        <f>INDEX([1]!MeasureOutput,MATCH($F122,[1]M_Input_Out!$A$4:$A$83,0),14)</f>
        <v>1.1707749217748642E-3</v>
      </c>
      <c r="R122" s="120">
        <f>INDEX([1]!MeasureOutput,MATCH($F122,[1]M_Input_Out!$A$4:$A$83,0),3)</f>
        <v>4.4501637886137555</v>
      </c>
      <c r="S122" s="120">
        <f>INDEX([1]!MeasureOutput,MATCH($F122,[1]M_Input_Out!$A$4:$A$83,0),11)</f>
        <v>7.8304387947882725</v>
      </c>
      <c r="T122" s="120">
        <f>SUM([1]forRPM!$L17:$AE17)</f>
        <v>1.3870147481630381E-2</v>
      </c>
      <c r="U122" s="120">
        <f>INDEX([1]forRPM!AF:AF,MATCH($F122,[1]forRPM!$J:$J,0),1)</f>
        <v>1.3940125414300075E-2</v>
      </c>
      <c r="V122" s="120">
        <f>INDEX([1]!MeasureOutput,MATCH($F122,[1]M_Input_Out!$A$4:$A$83,0),12)</f>
        <v>3.0355503061064266</v>
      </c>
      <c r="W122" s="177" t="str">
        <f>[1]forRPM!A17</f>
        <v>Retro3Slow</v>
      </c>
      <c r="X122" s="38"/>
      <c r="Y122" s="38"/>
      <c r="Z122" s="38"/>
      <c r="AA122" s="38"/>
      <c r="AB122" s="38"/>
      <c r="AC122" s="38"/>
      <c r="AD122" s="38"/>
      <c r="AE122" s="38"/>
      <c r="AF122" s="38"/>
      <c r="AG122" s="38"/>
      <c r="AH122" s="38"/>
      <c r="AI122" s="38" t="s">
        <v>199</v>
      </c>
      <c r="AJ122" s="38" t="s">
        <v>439</v>
      </c>
      <c r="AK122" s="38" t="s">
        <v>428</v>
      </c>
      <c r="AL122" s="37" t="s">
        <v>76</v>
      </c>
    </row>
    <row r="123" spans="1:38" s="45" customFormat="1" ht="13.2" x14ac:dyDescent="0.25">
      <c r="A123" s="159" t="str">
        <f>"AG_"&amp;VLOOKUP($E123,MeasureTypeCode,2,0)&amp;"_"&amp;VLOOKUP($G123,State,2,0)&amp;COUNTIFS($E$3:$E123,$E123,$G$3:$G123,$G123)</f>
        <v>AG_DairyPreCool_WA2</v>
      </c>
      <c r="B123" s="37" t="s">
        <v>479</v>
      </c>
      <c r="C123" s="38" t="s">
        <v>115</v>
      </c>
      <c r="D123" s="38" t="s">
        <v>162</v>
      </c>
      <c r="E123" s="38" t="s">
        <v>116</v>
      </c>
      <c r="F123" s="38" t="str">
        <f>[1]M_Input!A23</f>
        <v>Plate Milk Pre-Cooler - Tie Stall - Washington</v>
      </c>
      <c r="G123" s="38" t="s">
        <v>23</v>
      </c>
      <c r="H123" s="37" t="s">
        <v>160</v>
      </c>
      <c r="I123" s="37" t="s">
        <v>171</v>
      </c>
      <c r="J123" s="38" t="str">
        <f>[1]M_Input!B23</f>
        <v>Refrigeration</v>
      </c>
      <c r="K123" s="39">
        <f>[1]M_Input!C23</f>
        <v>4</v>
      </c>
      <c r="L123" s="40">
        <f>[1]M_Input!D23</f>
        <v>15</v>
      </c>
      <c r="M123" s="41">
        <f>[1]M_Input!E23</f>
        <v>0.47821966147104827</v>
      </c>
      <c r="N123" s="42">
        <f>[1]M_Input!F23</f>
        <v>0</v>
      </c>
      <c r="O123" s="87" t="str">
        <f>[1]M_Input!G23</f>
        <v>A-Da-Proc-MilkingSchedule-All-All-S</v>
      </c>
      <c r="P123" s="38"/>
      <c r="Q123" s="120">
        <f>INDEX([1]!MeasureOutput,MATCH($F123,[1]M_Input_Out!$A$4:$A$83,0),14)</f>
        <v>1.1707749217748642E-3</v>
      </c>
      <c r="R123" s="120">
        <f>INDEX([1]!MeasureOutput,MATCH($F123,[1]M_Input_Out!$A$4:$A$83,0),3)</f>
        <v>4.4501637886137555</v>
      </c>
      <c r="S123" s="120">
        <f>INDEX([1]!MeasureOutput,MATCH($F123,[1]M_Input_Out!$A$4:$A$83,0),11)</f>
        <v>7.8304387947882725</v>
      </c>
      <c r="T123" s="120">
        <f>SUM([1]forRPM!$L18:$AE18)</f>
        <v>8.4561490835010971E-4</v>
      </c>
      <c r="U123" s="120">
        <f>INDEX([1]forRPM!AF:AF,MATCH($F123,[1]forRPM!$J:$J,0),1)</f>
        <v>8.498812208171825E-4</v>
      </c>
      <c r="V123" s="120">
        <f>INDEX([1]!MeasureOutput,MATCH($F123,[1]M_Input_Out!$A$4:$A$83,0),12)</f>
        <v>3.0355503061064266</v>
      </c>
      <c r="W123" s="177" t="str">
        <f>[1]forRPM!A18</f>
        <v>Retro3Slow</v>
      </c>
      <c r="X123" s="38"/>
      <c r="Y123" s="38"/>
      <c r="Z123" s="38"/>
      <c r="AA123" s="38"/>
      <c r="AB123" s="38"/>
      <c r="AC123" s="38"/>
      <c r="AD123" s="38"/>
      <c r="AE123" s="38"/>
      <c r="AF123" s="38"/>
      <c r="AG123" s="38"/>
      <c r="AH123" s="38"/>
      <c r="AI123" s="38" t="s">
        <v>199</v>
      </c>
      <c r="AJ123" s="38" t="s">
        <v>439</v>
      </c>
      <c r="AK123" s="38" t="s">
        <v>428</v>
      </c>
      <c r="AL123" s="37" t="s">
        <v>76</v>
      </c>
    </row>
    <row r="124" spans="1:38" s="84" customFormat="1" ht="13.2" x14ac:dyDescent="0.25">
      <c r="A124" s="161" t="str">
        <f>"AG_"&amp;VLOOKUP($E124,MeasureTypeCode,2,0)&amp;"_"&amp;VLOOKUP($G124,State,2,0)&amp;COUNTIFS($E$3:$E124,$E124,$G$3:$G124,$G124)</f>
        <v>AG_DairyHeatRecov_ID1</v>
      </c>
      <c r="B124" s="79" t="s">
        <v>479</v>
      </c>
      <c r="C124" s="80" t="s">
        <v>115</v>
      </c>
      <c r="D124" s="80" t="s">
        <v>162</v>
      </c>
      <c r="E124" s="80" t="s">
        <v>168</v>
      </c>
      <c r="F124" s="80" t="str">
        <f>[1]M_Input!A24</f>
        <v>Heat Recovery Refrigeration - Any - Idaho</v>
      </c>
      <c r="G124" s="80" t="s">
        <v>22</v>
      </c>
      <c r="H124" s="79" t="s">
        <v>160</v>
      </c>
      <c r="I124" s="79" t="s">
        <v>171</v>
      </c>
      <c r="J124" s="80" t="str">
        <f>[1]M_Input!B24</f>
        <v>Water Heating</v>
      </c>
      <c r="K124" s="81">
        <f>[1]M_Input!C24</f>
        <v>4.2176143003636426</v>
      </c>
      <c r="L124" s="82">
        <f>[1]M_Input!D24</f>
        <v>15</v>
      </c>
      <c r="M124" s="83">
        <f>[1]M_Input!E24</f>
        <v>1.1288790013181331</v>
      </c>
      <c r="N124" s="85">
        <f>[1]M_Input!F24</f>
        <v>0</v>
      </c>
      <c r="O124" s="80" t="str">
        <f>[1]M_Input!G24</f>
        <v>A-Da-Proc-MilkingSchedule-All-All-S</v>
      </c>
      <c r="P124" s="80"/>
      <c r="Q124" s="122">
        <f>INDEX([1]!MeasureOutput,MATCH($F124,[1]M_Input_Out!$A$4:$A$83,0),14)</f>
        <v>1.2344692631461982E-3</v>
      </c>
      <c r="R124" s="122">
        <f>INDEX([1]!MeasureOutput,MATCH($F124,[1]M_Input_Out!$A$4:$A$83,0),3)</f>
        <v>4.6922686084544551</v>
      </c>
      <c r="S124" s="122">
        <f>INDEX([1]!MeasureOutput,MATCH($F124,[1]M_Input_Out!$A$4:$A$83,0),11)</f>
        <v>21.665483700237171</v>
      </c>
      <c r="T124" s="122">
        <f>SUM([1]forRPM!$L19:$AE19)</f>
        <v>1.0116446765284137</v>
      </c>
      <c r="U124" s="122">
        <f>INDEX([1]forRPM!AF:AF,MATCH($F124,[1]forRPM!$J:$J,0),1)</f>
        <v>1.6282830787848359</v>
      </c>
      <c r="V124" s="122">
        <f>INDEX([1]!MeasureOutput,MATCH($F124,[1]M_Input_Out!$A$4:$A$83,0),12)</f>
        <v>1.3558896241992286</v>
      </c>
      <c r="W124" s="179" t="str">
        <f>[1]forRPM!A19</f>
        <v>Retro3Slow</v>
      </c>
      <c r="X124" s="80"/>
      <c r="Y124" s="80"/>
      <c r="Z124" s="80"/>
      <c r="AA124" s="80"/>
      <c r="AB124" s="80"/>
      <c r="AC124" s="80"/>
      <c r="AD124" s="80"/>
      <c r="AE124" s="80"/>
      <c r="AF124" s="80"/>
      <c r="AG124" s="80"/>
      <c r="AH124" s="80"/>
      <c r="AI124" s="80" t="s">
        <v>122</v>
      </c>
      <c r="AJ124" s="80" t="s">
        <v>441</v>
      </c>
      <c r="AK124" s="86" t="s">
        <v>428</v>
      </c>
      <c r="AL124" s="79" t="s">
        <v>76</v>
      </c>
    </row>
    <row r="125" spans="1:38" s="84" customFormat="1" ht="13.2" x14ac:dyDescent="0.25">
      <c r="A125" s="161" t="str">
        <f>"AG_"&amp;VLOOKUP($E125,MeasureTypeCode,2,0)&amp;"_"&amp;VLOOKUP($G125,State,2,0)&amp;COUNTIFS($E$3:$E125,$E125,$G$3:$G125,$G125)</f>
        <v>AG_DairyHeatRecov_MT1</v>
      </c>
      <c r="B125" s="79" t="s">
        <v>479</v>
      </c>
      <c r="C125" s="80" t="s">
        <v>115</v>
      </c>
      <c r="D125" s="80" t="s">
        <v>162</v>
      </c>
      <c r="E125" s="80" t="s">
        <v>168</v>
      </c>
      <c r="F125" s="80" t="str">
        <f>[1]M_Input!A25</f>
        <v>Heat Recovery Refrigeration - Any - Montana</v>
      </c>
      <c r="G125" s="80" t="s">
        <v>25</v>
      </c>
      <c r="H125" s="79" t="s">
        <v>160</v>
      </c>
      <c r="I125" s="79" t="s">
        <v>171</v>
      </c>
      <c r="J125" s="80" t="str">
        <f>[1]M_Input!B25</f>
        <v>Water Heating</v>
      </c>
      <c r="K125" s="81">
        <f>[1]M_Input!C25</f>
        <v>4.2176143003636426</v>
      </c>
      <c r="L125" s="82">
        <f>[1]M_Input!D25</f>
        <v>15</v>
      </c>
      <c r="M125" s="83">
        <f>[1]M_Input!E25</f>
        <v>1.1288790013181331</v>
      </c>
      <c r="N125" s="85">
        <f>[1]M_Input!F25</f>
        <v>0</v>
      </c>
      <c r="O125" s="80" t="str">
        <f>[1]M_Input!G25</f>
        <v>A-Da-Proc-MilkingSchedule-All-All-S</v>
      </c>
      <c r="P125" s="80"/>
      <c r="Q125" s="122">
        <f>INDEX([1]!MeasureOutput,MATCH($F125,[1]M_Input_Out!$A$4:$A$83,0),14)</f>
        <v>1.2344692631461982E-3</v>
      </c>
      <c r="R125" s="122">
        <f>INDEX([1]!MeasureOutput,MATCH($F125,[1]M_Input_Out!$A$4:$A$83,0),3)</f>
        <v>4.6922686084544551</v>
      </c>
      <c r="S125" s="122">
        <f>INDEX([1]!MeasureOutput,MATCH($F125,[1]M_Input_Out!$A$4:$A$83,0),11)</f>
        <v>21.665483700237171</v>
      </c>
      <c r="T125" s="122">
        <f>SUM([1]forRPM!$L20:$AE20)</f>
        <v>4.7035079085644884E-3</v>
      </c>
      <c r="U125" s="122">
        <f>INDEX([1]forRPM!AF:AF,MATCH($F125,[1]forRPM!$J:$J,0),1)</f>
        <v>6.9935007806630886E-3</v>
      </c>
      <c r="V125" s="122">
        <f>INDEX([1]!MeasureOutput,MATCH($F125,[1]M_Input_Out!$A$4:$A$83,0),12)</f>
        <v>1.3558896241992286</v>
      </c>
      <c r="W125" s="179" t="str">
        <f>[1]forRPM!A20</f>
        <v>Retro3Slow</v>
      </c>
      <c r="X125" s="80"/>
      <c r="Y125" s="80"/>
      <c r="Z125" s="80"/>
      <c r="AA125" s="80"/>
      <c r="AB125" s="80"/>
      <c r="AC125" s="80"/>
      <c r="AD125" s="80"/>
      <c r="AE125" s="80"/>
      <c r="AF125" s="80"/>
      <c r="AG125" s="80"/>
      <c r="AH125" s="80"/>
      <c r="AI125" s="80" t="s">
        <v>122</v>
      </c>
      <c r="AJ125" s="80" t="s">
        <v>441</v>
      </c>
      <c r="AK125" s="86" t="s">
        <v>428</v>
      </c>
      <c r="AL125" s="79" t="s">
        <v>76</v>
      </c>
    </row>
    <row r="126" spans="1:38" s="84" customFormat="1" ht="13.2" x14ac:dyDescent="0.25">
      <c r="A126" s="161" t="str">
        <f>"AG_"&amp;VLOOKUP($E126,MeasureTypeCode,2,0)&amp;"_"&amp;VLOOKUP($G126,State,2,0)&amp;COUNTIFS($E$3:$E126,$E126,$G$3:$G126,$G126)</f>
        <v>AG_DairyHeatRecov_OR1</v>
      </c>
      <c r="B126" s="79" t="s">
        <v>479</v>
      </c>
      <c r="C126" s="80" t="s">
        <v>115</v>
      </c>
      <c r="D126" s="80" t="s">
        <v>162</v>
      </c>
      <c r="E126" s="80" t="s">
        <v>168</v>
      </c>
      <c r="F126" s="80" t="str">
        <f>[1]M_Input!A26</f>
        <v>Heat Recovery Refrigeration - Any - Oregon</v>
      </c>
      <c r="G126" s="80" t="s">
        <v>24</v>
      </c>
      <c r="H126" s="79" t="s">
        <v>160</v>
      </c>
      <c r="I126" s="79" t="s">
        <v>171</v>
      </c>
      <c r="J126" s="80" t="str">
        <f>[1]M_Input!B26</f>
        <v>Water Heating</v>
      </c>
      <c r="K126" s="81">
        <f>[1]M_Input!C26</f>
        <v>4.2176143003636426</v>
      </c>
      <c r="L126" s="82">
        <f>[1]M_Input!D26</f>
        <v>15</v>
      </c>
      <c r="M126" s="83">
        <f>[1]M_Input!E26</f>
        <v>1.1288790013181331</v>
      </c>
      <c r="N126" s="85">
        <f>[1]M_Input!F26</f>
        <v>0</v>
      </c>
      <c r="O126" s="80" t="str">
        <f>[1]M_Input!G26</f>
        <v>A-Da-Proc-MilkingSchedule-All-All-S</v>
      </c>
      <c r="P126" s="80"/>
      <c r="Q126" s="122">
        <f>INDEX([1]!MeasureOutput,MATCH($F126,[1]M_Input_Out!$A$4:$A$83,0),14)</f>
        <v>1.2344692631461982E-3</v>
      </c>
      <c r="R126" s="122">
        <f>INDEX([1]!MeasureOutput,MATCH($F126,[1]M_Input_Out!$A$4:$A$83,0),3)</f>
        <v>4.6922686084544551</v>
      </c>
      <c r="S126" s="122">
        <f>INDEX([1]!MeasureOutput,MATCH($F126,[1]M_Input_Out!$A$4:$A$83,0),11)</f>
        <v>21.665483700237171</v>
      </c>
      <c r="T126" s="122">
        <f>SUM([1]forRPM!$L21:$AE21)</f>
        <v>0.16642960383684793</v>
      </c>
      <c r="U126" s="122">
        <f>INDEX([1]forRPM!AF:AF,MATCH($F126,[1]forRPM!$J:$J,0),1)</f>
        <v>0.26456952251515425</v>
      </c>
      <c r="V126" s="122">
        <f>INDEX([1]!MeasureOutput,MATCH($F126,[1]M_Input_Out!$A$4:$A$83,0),12)</f>
        <v>1.3558896241992286</v>
      </c>
      <c r="W126" s="179" t="str">
        <f>[1]forRPM!A21</f>
        <v>Retro3Slow</v>
      </c>
      <c r="X126" s="80"/>
      <c r="Y126" s="80"/>
      <c r="Z126" s="80"/>
      <c r="AA126" s="80"/>
      <c r="AB126" s="80"/>
      <c r="AC126" s="80"/>
      <c r="AD126" s="80"/>
      <c r="AE126" s="80"/>
      <c r="AF126" s="80"/>
      <c r="AG126" s="80"/>
      <c r="AH126" s="80"/>
      <c r="AI126" s="80" t="s">
        <v>122</v>
      </c>
      <c r="AJ126" s="80" t="s">
        <v>441</v>
      </c>
      <c r="AK126" s="86" t="s">
        <v>428</v>
      </c>
      <c r="AL126" s="79" t="s">
        <v>76</v>
      </c>
    </row>
    <row r="127" spans="1:38" s="84" customFormat="1" ht="13.2" x14ac:dyDescent="0.25">
      <c r="A127" s="161" t="str">
        <f>"AG_"&amp;VLOOKUP($E127,MeasureTypeCode,2,0)&amp;"_"&amp;VLOOKUP($G127,State,2,0)&amp;COUNTIFS($E$3:$E127,$E127,$G$3:$G127,$G127)</f>
        <v>AG_DairyHeatRecov_WA1</v>
      </c>
      <c r="B127" s="79" t="s">
        <v>479</v>
      </c>
      <c r="C127" s="80" t="s">
        <v>115</v>
      </c>
      <c r="D127" s="80" t="s">
        <v>162</v>
      </c>
      <c r="E127" s="80" t="s">
        <v>168</v>
      </c>
      <c r="F127" s="80" t="str">
        <f>[1]M_Input!A27</f>
        <v>Heat Recovery Refrigeration - Any - Washington</v>
      </c>
      <c r="G127" s="80" t="s">
        <v>23</v>
      </c>
      <c r="H127" s="79" t="s">
        <v>160</v>
      </c>
      <c r="I127" s="79" t="s">
        <v>171</v>
      </c>
      <c r="J127" s="80" t="str">
        <f>[1]M_Input!B27</f>
        <v>Water Heating</v>
      </c>
      <c r="K127" s="81">
        <f>[1]M_Input!C27</f>
        <v>4.2176143003636426</v>
      </c>
      <c r="L127" s="82">
        <f>[1]M_Input!D27</f>
        <v>15</v>
      </c>
      <c r="M127" s="83">
        <f>[1]M_Input!E27</f>
        <v>1.1288790013181331</v>
      </c>
      <c r="N127" s="85">
        <f>[1]M_Input!F27</f>
        <v>0</v>
      </c>
      <c r="O127" s="80" t="str">
        <f>[1]M_Input!G27</f>
        <v>A-Da-Proc-MilkingSchedule-All-All-S</v>
      </c>
      <c r="P127" s="80"/>
      <c r="Q127" s="122">
        <f>INDEX([1]!MeasureOutput,MATCH($F127,[1]M_Input_Out!$A$4:$A$83,0),14)</f>
        <v>1.2344692631461982E-3</v>
      </c>
      <c r="R127" s="122">
        <f>INDEX([1]!MeasureOutput,MATCH($F127,[1]M_Input_Out!$A$4:$A$83,0),3)</f>
        <v>4.6922686084544551</v>
      </c>
      <c r="S127" s="122">
        <f>INDEX([1]!MeasureOutput,MATCH($F127,[1]M_Input_Out!$A$4:$A$83,0),11)</f>
        <v>21.665483700237171</v>
      </c>
      <c r="T127" s="122">
        <f>SUM([1]forRPM!$L22:$AE22)</f>
        <v>0.44997973654233331</v>
      </c>
      <c r="U127" s="122">
        <f>INDEX([1]forRPM!AF:AF,MATCH($F127,[1]forRPM!$J:$J,0),1)</f>
        <v>0.72278067072647445</v>
      </c>
      <c r="V127" s="122">
        <f>INDEX([1]!MeasureOutput,MATCH($F127,[1]M_Input_Out!$A$4:$A$83,0),12)</f>
        <v>1.3558896241992286</v>
      </c>
      <c r="W127" s="179" t="str">
        <f>[1]forRPM!A22</f>
        <v>Retro3Slow</v>
      </c>
      <c r="X127" s="80"/>
      <c r="Y127" s="80"/>
      <c r="Z127" s="80"/>
      <c r="AA127" s="80"/>
      <c r="AB127" s="80"/>
      <c r="AC127" s="80"/>
      <c r="AD127" s="80"/>
      <c r="AE127" s="80"/>
      <c r="AF127" s="80"/>
      <c r="AG127" s="80"/>
      <c r="AH127" s="80"/>
      <c r="AI127" s="80" t="s">
        <v>122</v>
      </c>
      <c r="AJ127" s="80" t="s">
        <v>441</v>
      </c>
      <c r="AK127" s="86" t="s">
        <v>428</v>
      </c>
      <c r="AL127" s="79" t="s">
        <v>76</v>
      </c>
    </row>
    <row r="128" spans="1:38" s="45" customFormat="1" ht="13.2" x14ac:dyDescent="0.25">
      <c r="A128" s="159" t="str">
        <f>"AG_"&amp;VLOOKUP($E128,MeasureTypeCode,2,0)&amp;"_"&amp;VLOOKUP($G128,State,2,0)&amp;COUNTIFS($E$3:$E128,$E128,$G$3:$G128,$G128)</f>
        <v>AG_DairyCompress_ID1</v>
      </c>
      <c r="B128" s="37" t="s">
        <v>37</v>
      </c>
      <c r="C128" s="38" t="s">
        <v>115</v>
      </c>
      <c r="D128" s="38" t="s">
        <v>162</v>
      </c>
      <c r="E128" s="38" t="s">
        <v>169</v>
      </c>
      <c r="F128" s="38" t="str">
        <f>[1]M_Input!A28</f>
        <v>Compressor Upgrade - Any - Idaho</v>
      </c>
      <c r="G128" s="38" t="s">
        <v>22</v>
      </c>
      <c r="H128" s="37" t="s">
        <v>160</v>
      </c>
      <c r="I128" s="37" t="s">
        <v>171</v>
      </c>
      <c r="J128" s="38" t="str">
        <f>[1]M_Input!B28</f>
        <v>Refrigeration</v>
      </c>
      <c r="K128" s="39">
        <f>[1]M_Input!C28</f>
        <v>1.435185194428604</v>
      </c>
      <c r="L128" s="40">
        <f>[1]M_Input!D28</f>
        <v>15</v>
      </c>
      <c r="M128" s="41">
        <f>[1]M_Input!E28</f>
        <v>0.4287945249775944</v>
      </c>
      <c r="N128" s="42">
        <f>[1]M_Input!F28</f>
        <v>0</v>
      </c>
      <c r="O128" s="87" t="str">
        <f>[1]M_Input!G28</f>
        <v>A-Da-Proc-MilkingSchedule-All-All-S</v>
      </c>
      <c r="P128" s="38"/>
      <c r="Q128" s="120">
        <f>INDEX([1]!MeasureOutput,MATCH($F128,[1]M_Input_Out!$A$4:$A$83,0),14)</f>
        <v>4.2006970843489806E-4</v>
      </c>
      <c r="R128" s="120">
        <f>INDEX([1]!MeasureOutput,MATCH($F128,[1]M_Input_Out!$A$4:$A$83,0),3)</f>
        <v>1.5967022955501915</v>
      </c>
      <c r="S128" s="120">
        <f>INDEX([1]!MeasureOutput,MATCH($F128,[1]M_Input_Out!$A$4:$A$83,0),11)</f>
        <v>24.572065198594089</v>
      </c>
      <c r="T128" s="120">
        <f>SUM([1]forRPM!$L23:$AE23)</f>
        <v>0.47251534017697666</v>
      </c>
      <c r="U128" s="120">
        <f>INDEX([1]forRPM!AF:AF,MATCH($F128,[1]forRPM!$J:$J,0),1)</f>
        <v>1.0935752202668918</v>
      </c>
      <c r="V128" s="120">
        <f>INDEX([1]!MeasureOutput,MATCH($F128,[1]M_Input_Out!$A$4:$A$83,0),12)</f>
        <v>1.2146847662557883</v>
      </c>
      <c r="W128" s="177" t="str">
        <f>[1]forRPM!A23</f>
        <v>Retro3Slow</v>
      </c>
      <c r="X128" s="38"/>
      <c r="Y128" s="38"/>
      <c r="Z128" s="38"/>
      <c r="AA128" s="38"/>
      <c r="AB128" s="38"/>
      <c r="AC128" s="38"/>
      <c r="AD128" s="38"/>
      <c r="AE128" s="38"/>
      <c r="AF128" s="38"/>
      <c r="AG128" s="38"/>
      <c r="AH128" s="38"/>
      <c r="AI128" s="43" t="s">
        <v>174</v>
      </c>
      <c r="AJ128" s="38" t="s">
        <v>442</v>
      </c>
      <c r="AK128" s="38" t="s">
        <v>428</v>
      </c>
      <c r="AL128" s="37" t="s">
        <v>76</v>
      </c>
    </row>
    <row r="129" spans="1:40" s="45" customFormat="1" ht="13.2" x14ac:dyDescent="0.25">
      <c r="A129" s="159" t="str">
        <f>"AG_"&amp;VLOOKUP($E129,MeasureTypeCode,2,0)&amp;"_"&amp;VLOOKUP($G129,State,2,0)&amp;COUNTIFS($E$3:$E129,$E129,$G$3:$G129,$G129)</f>
        <v>AG_DairyCompress_MT1</v>
      </c>
      <c r="B129" s="37" t="s">
        <v>37</v>
      </c>
      <c r="C129" s="38" t="s">
        <v>115</v>
      </c>
      <c r="D129" s="38" t="s">
        <v>162</v>
      </c>
      <c r="E129" s="38" t="s">
        <v>169</v>
      </c>
      <c r="F129" s="38" t="str">
        <f>[1]M_Input!A29</f>
        <v>Compressor Upgrade - Any - Montana</v>
      </c>
      <c r="G129" s="38" t="s">
        <v>25</v>
      </c>
      <c r="H129" s="37" t="s">
        <v>160</v>
      </c>
      <c r="I129" s="37" t="s">
        <v>171</v>
      </c>
      <c r="J129" s="38" t="str">
        <f>[1]M_Input!B29</f>
        <v>Refrigeration</v>
      </c>
      <c r="K129" s="39">
        <f>[1]M_Input!C29</f>
        <v>1.435185194428604</v>
      </c>
      <c r="L129" s="40">
        <f>[1]M_Input!D29</f>
        <v>15</v>
      </c>
      <c r="M129" s="41">
        <f>[1]M_Input!E29</f>
        <v>0.4287945249775944</v>
      </c>
      <c r="N129" s="42">
        <f>[1]M_Input!F29</f>
        <v>0</v>
      </c>
      <c r="O129" s="87" t="str">
        <f>[1]M_Input!G29</f>
        <v>A-Da-Proc-MilkingSchedule-All-All-S</v>
      </c>
      <c r="P129" s="38"/>
      <c r="Q129" s="120">
        <f>INDEX([1]!MeasureOutput,MATCH($F129,[1]M_Input_Out!$A$4:$A$83,0),14)</f>
        <v>4.2006970843489806E-4</v>
      </c>
      <c r="R129" s="120">
        <f>INDEX([1]!MeasureOutput,MATCH($F129,[1]M_Input_Out!$A$4:$A$83,0),3)</f>
        <v>1.5967022955501915</v>
      </c>
      <c r="S129" s="120">
        <f>INDEX([1]!MeasureOutput,MATCH($F129,[1]M_Input_Out!$A$4:$A$83,0),11)</f>
        <v>24.572065198594089</v>
      </c>
      <c r="T129" s="120">
        <f>SUM([1]forRPM!$L24:$AE24)</f>
        <v>2.196897478932197E-3</v>
      </c>
      <c r="U129" s="120">
        <f>INDEX([1]forRPM!AF:AF,MATCH($F129,[1]forRPM!$J:$J,0),1)</f>
        <v>4.6969223326682515E-3</v>
      </c>
      <c r="V129" s="120">
        <f>INDEX([1]!MeasureOutput,MATCH($F129,[1]M_Input_Out!$A$4:$A$83,0),12)</f>
        <v>1.2146847662557883</v>
      </c>
      <c r="W129" s="177" t="str">
        <f>[1]forRPM!A24</f>
        <v>Retro3Slow</v>
      </c>
      <c r="X129" s="38"/>
      <c r="Y129" s="38"/>
      <c r="Z129" s="38"/>
      <c r="AA129" s="38"/>
      <c r="AB129" s="38"/>
      <c r="AC129" s="38"/>
      <c r="AD129" s="38"/>
      <c r="AE129" s="38"/>
      <c r="AF129" s="38"/>
      <c r="AG129" s="38"/>
      <c r="AH129" s="38"/>
      <c r="AI129" s="43" t="s">
        <v>174</v>
      </c>
      <c r="AJ129" s="38" t="s">
        <v>442</v>
      </c>
      <c r="AK129" s="38" t="s">
        <v>428</v>
      </c>
      <c r="AL129" s="37" t="s">
        <v>76</v>
      </c>
    </row>
    <row r="130" spans="1:40" s="45" customFormat="1" ht="13.2" x14ac:dyDescent="0.25">
      <c r="A130" s="159" t="str">
        <f>"AG_"&amp;VLOOKUP($E130,MeasureTypeCode,2,0)&amp;"_"&amp;VLOOKUP($G130,State,2,0)&amp;COUNTIFS($E$3:$E130,$E130,$G$3:$G130,$G130)</f>
        <v>AG_DairyCompress_OR1</v>
      </c>
      <c r="B130" s="37" t="s">
        <v>37</v>
      </c>
      <c r="C130" s="38" t="s">
        <v>115</v>
      </c>
      <c r="D130" s="38" t="s">
        <v>162</v>
      </c>
      <c r="E130" s="38" t="s">
        <v>169</v>
      </c>
      <c r="F130" s="38" t="str">
        <f>[1]M_Input!A30</f>
        <v>Compressor Upgrade - Any - Oregon</v>
      </c>
      <c r="G130" s="38" t="s">
        <v>24</v>
      </c>
      <c r="H130" s="37" t="s">
        <v>160</v>
      </c>
      <c r="I130" s="37" t="s">
        <v>171</v>
      </c>
      <c r="J130" s="38" t="str">
        <f>[1]M_Input!B30</f>
        <v>Refrigeration</v>
      </c>
      <c r="K130" s="39">
        <f>[1]M_Input!C30</f>
        <v>1.435185194428604</v>
      </c>
      <c r="L130" s="40">
        <f>[1]M_Input!D30</f>
        <v>15</v>
      </c>
      <c r="M130" s="41">
        <f>[1]M_Input!E30</f>
        <v>0.4287945249775944</v>
      </c>
      <c r="N130" s="42">
        <f>[1]M_Input!F30</f>
        <v>0</v>
      </c>
      <c r="O130" s="87" t="str">
        <f>[1]M_Input!G30</f>
        <v>A-Da-Proc-MilkingSchedule-All-All-S</v>
      </c>
      <c r="P130" s="38"/>
      <c r="Q130" s="120">
        <f>INDEX([1]!MeasureOutput,MATCH($F130,[1]M_Input_Out!$A$4:$A$83,0),14)</f>
        <v>4.2006970843489806E-4</v>
      </c>
      <c r="R130" s="120">
        <f>INDEX([1]!MeasureOutput,MATCH($F130,[1]M_Input_Out!$A$4:$A$83,0),3)</f>
        <v>1.5967022955501915</v>
      </c>
      <c r="S130" s="120">
        <f>INDEX([1]!MeasureOutput,MATCH($F130,[1]M_Input_Out!$A$4:$A$83,0),11)</f>
        <v>24.572065198594089</v>
      </c>
      <c r="T130" s="120">
        <f>SUM([1]forRPM!$L25:$AE25)</f>
        <v>7.7735338006574187E-2</v>
      </c>
      <c r="U130" s="120">
        <f>INDEX([1]forRPM!AF:AF,MATCH($F130,[1]forRPM!$J:$J,0),1)</f>
        <v>0.17768819048118864</v>
      </c>
      <c r="V130" s="120">
        <f>INDEX([1]!MeasureOutput,MATCH($F130,[1]M_Input_Out!$A$4:$A$83,0),12)</f>
        <v>1.2146847662557883</v>
      </c>
      <c r="W130" s="177" t="str">
        <f>[1]forRPM!A25</f>
        <v>Retro3Slow</v>
      </c>
      <c r="X130" s="38"/>
      <c r="Y130" s="38"/>
      <c r="Z130" s="38"/>
      <c r="AA130" s="38"/>
      <c r="AB130" s="38"/>
      <c r="AC130" s="38"/>
      <c r="AD130" s="38"/>
      <c r="AE130" s="38"/>
      <c r="AF130" s="38"/>
      <c r="AG130" s="38"/>
      <c r="AH130" s="38"/>
      <c r="AI130" s="43" t="s">
        <v>174</v>
      </c>
      <c r="AJ130" s="38" t="s">
        <v>442</v>
      </c>
      <c r="AK130" s="38" t="s">
        <v>428</v>
      </c>
      <c r="AL130" s="37" t="s">
        <v>76</v>
      </c>
    </row>
    <row r="131" spans="1:40" s="45" customFormat="1" ht="13.2" x14ac:dyDescent="0.25">
      <c r="A131" s="159" t="str">
        <f>"AG_"&amp;VLOOKUP($E131,MeasureTypeCode,2,0)&amp;"_"&amp;VLOOKUP($G131,State,2,0)&amp;COUNTIFS($E$3:$E131,$E131,$G$3:$G131,$G131)</f>
        <v>AG_DairyCompress_WA1</v>
      </c>
      <c r="B131" s="37" t="s">
        <v>37</v>
      </c>
      <c r="C131" s="38" t="s">
        <v>115</v>
      </c>
      <c r="D131" s="38" t="s">
        <v>162</v>
      </c>
      <c r="E131" s="38" t="s">
        <v>169</v>
      </c>
      <c r="F131" s="38" t="str">
        <f>[1]M_Input!A31</f>
        <v>Compressor Upgrade - Any - Washington</v>
      </c>
      <c r="G131" s="38" t="s">
        <v>23</v>
      </c>
      <c r="H131" s="37" t="s">
        <v>160</v>
      </c>
      <c r="I131" s="37" t="s">
        <v>171</v>
      </c>
      <c r="J131" s="38" t="str">
        <f>[1]M_Input!B31</f>
        <v>Refrigeration</v>
      </c>
      <c r="K131" s="39">
        <f>[1]M_Input!C31</f>
        <v>1.435185194428604</v>
      </c>
      <c r="L131" s="40">
        <f>[1]M_Input!D31</f>
        <v>15</v>
      </c>
      <c r="M131" s="41">
        <f>[1]M_Input!E31</f>
        <v>0.4287945249775944</v>
      </c>
      <c r="N131" s="42">
        <f>[1]M_Input!F31</f>
        <v>0</v>
      </c>
      <c r="O131" s="87" t="str">
        <f>[1]M_Input!G31</f>
        <v>A-Da-Proc-MilkingSchedule-All-All-S</v>
      </c>
      <c r="P131" s="38"/>
      <c r="Q131" s="120">
        <f>INDEX([1]!MeasureOutput,MATCH($F131,[1]M_Input_Out!$A$4:$A$83,0),14)</f>
        <v>4.2006970843489806E-4</v>
      </c>
      <c r="R131" s="120">
        <f>INDEX([1]!MeasureOutput,MATCH($F131,[1]M_Input_Out!$A$4:$A$83,0),3)</f>
        <v>1.5967022955501915</v>
      </c>
      <c r="S131" s="120">
        <f>INDEX([1]!MeasureOutput,MATCH($F131,[1]M_Input_Out!$A$4:$A$83,0),11)</f>
        <v>24.572065198594089</v>
      </c>
      <c r="T131" s="120">
        <f>SUM([1]forRPM!$L26:$AE26)</f>
        <v>0.21017490945011175</v>
      </c>
      <c r="U131" s="120">
        <f>INDEX([1]forRPM!AF:AF,MATCH($F131,[1]forRPM!$J:$J,0),1)</f>
        <v>0.48542851147494032</v>
      </c>
      <c r="V131" s="120">
        <f>INDEX([1]!MeasureOutput,MATCH($F131,[1]M_Input_Out!$A$4:$A$83,0),12)</f>
        <v>1.2146847662557883</v>
      </c>
      <c r="W131" s="177" t="str">
        <f>[1]forRPM!A26</f>
        <v>Retro3Slow</v>
      </c>
      <c r="X131" s="38"/>
      <c r="Y131" s="38"/>
      <c r="Z131" s="38"/>
      <c r="AA131" s="38"/>
      <c r="AB131" s="38"/>
      <c r="AC131" s="38"/>
      <c r="AD131" s="38"/>
      <c r="AE131" s="38"/>
      <c r="AF131" s="38"/>
      <c r="AG131" s="38"/>
      <c r="AH131" s="38"/>
      <c r="AI131" s="43" t="s">
        <v>174</v>
      </c>
      <c r="AJ131" s="38" t="s">
        <v>442</v>
      </c>
      <c r="AK131" s="38" t="s">
        <v>428</v>
      </c>
      <c r="AL131" s="37" t="s">
        <v>76</v>
      </c>
    </row>
    <row r="132" spans="1:40" s="84" customFormat="1" ht="13.2" x14ac:dyDescent="0.25">
      <c r="A132" s="161" t="str">
        <f>"AG_"&amp;VLOOKUP($E132,MeasureTypeCode,2,0)&amp;"_"&amp;VLOOKUP($G132,State,2,0)&amp;COUNTIFS($E$3:$E132,$E132,$G$3:$G132,$G132)</f>
        <v>AG_MtrCtrl_ID3</v>
      </c>
      <c r="B132" s="79" t="s">
        <v>37</v>
      </c>
      <c r="C132" s="80" t="s">
        <v>70</v>
      </c>
      <c r="D132" s="80" t="s">
        <v>163</v>
      </c>
      <c r="E132" s="80" t="s">
        <v>167</v>
      </c>
      <c r="F132" s="80" t="str">
        <f>[1]M_Input!A32</f>
        <v>VSD - Milk Transfer Pump - Any - Idaho</v>
      </c>
      <c r="G132" s="80" t="s">
        <v>22</v>
      </c>
      <c r="H132" s="79" t="s">
        <v>160</v>
      </c>
      <c r="I132" s="79" t="s">
        <v>171</v>
      </c>
      <c r="J132" s="80" t="str">
        <f>[1]M_Input!B32</f>
        <v>Pump</v>
      </c>
      <c r="K132" s="81">
        <f>[1]M_Input!C32</f>
        <v>0.88202778278355898</v>
      </c>
      <c r="L132" s="82">
        <f>[1]M_Input!D32</f>
        <v>15</v>
      </c>
      <c r="M132" s="83">
        <f>[1]M_Input!E32</f>
        <v>0.94668074902378141</v>
      </c>
      <c r="N132" s="85">
        <f>[1]M_Input!F32</f>
        <v>0</v>
      </c>
      <c r="O132" s="80" t="str">
        <f>[1]M_Input!G32</f>
        <v>A-Da-Proc-MilkingSchedule-All-All-S</v>
      </c>
      <c r="P132" s="80"/>
      <c r="Q132" s="122">
        <f>INDEX([1]!MeasureOutput,MATCH($F132,[1]M_Input_Out!$A$4:$A$83,0),14)</f>
        <v>2.5816400209791957E-4</v>
      </c>
      <c r="R132" s="122">
        <f>INDEX([1]!MeasureOutput,MATCH($F132,[1]M_Input_Out!$A$4:$A$83,0),3)</f>
        <v>0.9812920248736684</v>
      </c>
      <c r="S132" s="122">
        <f>INDEX([1]!MeasureOutput,MATCH($F132,[1]M_Input_Out!$A$4:$A$83,0),11)</f>
        <v>96.924427146345479</v>
      </c>
      <c r="T132" s="122">
        <f>SUM([1]forRPM!$L27:$AE27)</f>
        <v>1.5062922769335962</v>
      </c>
      <c r="U132" s="122">
        <f>INDEX([1]forRPM!AF:AF,MATCH($F132,[1]forRPM!$J:$J,0),1)</f>
        <v>0.51078316250993405</v>
      </c>
      <c r="V132" s="122">
        <f>INDEX([1]!MeasureOutput,MATCH($F132,[1]M_Input_Out!$A$4:$A$83,0),12)</f>
        <v>0.33812991104546586</v>
      </c>
      <c r="W132" s="179" t="str">
        <f>[1]forRPM!A27</f>
        <v>Retro3Slow</v>
      </c>
      <c r="X132" s="80"/>
      <c r="Y132" s="80"/>
      <c r="Z132" s="80"/>
      <c r="AA132" s="80"/>
      <c r="AB132" s="80"/>
      <c r="AC132" s="80"/>
      <c r="AD132" s="80"/>
      <c r="AE132" s="80"/>
      <c r="AF132" s="80"/>
      <c r="AG132" s="80"/>
      <c r="AH132" s="80"/>
      <c r="AI132" s="80" t="s">
        <v>172</v>
      </c>
      <c r="AJ132" s="80" t="s">
        <v>200</v>
      </c>
      <c r="AK132" s="86" t="s">
        <v>428</v>
      </c>
      <c r="AL132" s="79" t="s">
        <v>76</v>
      </c>
    </row>
    <row r="133" spans="1:40" s="84" customFormat="1" ht="13.2" x14ac:dyDescent="0.25">
      <c r="A133" s="161" t="str">
        <f>"AG_"&amp;VLOOKUP($E133,MeasureTypeCode,2,0)&amp;"_"&amp;VLOOKUP($G133,State,2,0)&amp;COUNTIFS($E$3:$E133,$E133,$G$3:$G133,$G133)</f>
        <v>AG_MtrCtrl_MT3</v>
      </c>
      <c r="B133" s="79" t="s">
        <v>37</v>
      </c>
      <c r="C133" s="80" t="s">
        <v>70</v>
      </c>
      <c r="D133" s="80" t="s">
        <v>163</v>
      </c>
      <c r="E133" s="80" t="s">
        <v>167</v>
      </c>
      <c r="F133" s="80" t="str">
        <f>[1]M_Input!A33</f>
        <v>VSD - Milk Transfer Pump - Any - Montana</v>
      </c>
      <c r="G133" s="80" t="s">
        <v>25</v>
      </c>
      <c r="H133" s="79" t="s">
        <v>160</v>
      </c>
      <c r="I133" s="79" t="s">
        <v>171</v>
      </c>
      <c r="J133" s="80" t="str">
        <f>[1]M_Input!B33</f>
        <v>Pump</v>
      </c>
      <c r="K133" s="81">
        <f>[1]M_Input!C33</f>
        <v>0.88202778278355898</v>
      </c>
      <c r="L133" s="82">
        <f>[1]M_Input!D33</f>
        <v>15</v>
      </c>
      <c r="M133" s="83">
        <f>[1]M_Input!E33</f>
        <v>0.94668074902378141</v>
      </c>
      <c r="N133" s="85">
        <f>[1]M_Input!F33</f>
        <v>0</v>
      </c>
      <c r="O133" s="80" t="str">
        <f>[1]M_Input!G33</f>
        <v>A-Da-Proc-MilkingSchedule-All-All-S</v>
      </c>
      <c r="P133" s="80"/>
      <c r="Q133" s="122">
        <f>INDEX([1]!MeasureOutput,MATCH($F133,[1]M_Input_Out!$A$4:$A$83,0),14)</f>
        <v>2.5816400209791957E-4</v>
      </c>
      <c r="R133" s="122">
        <f>INDEX([1]!MeasureOutput,MATCH($F133,[1]M_Input_Out!$A$4:$A$83,0),3)</f>
        <v>0.9812920248736684</v>
      </c>
      <c r="S133" s="122">
        <f>INDEX([1]!MeasureOutput,MATCH($F133,[1]M_Input_Out!$A$4:$A$83,0),11)</f>
        <v>96.924427146345479</v>
      </c>
      <c r="T133" s="122">
        <f>SUM([1]forRPM!$L28:$AE28)</f>
        <v>7.003306399515059E-3</v>
      </c>
      <c r="U133" s="122">
        <f>INDEX([1]forRPM!AF:AF,MATCH($F133,[1]forRPM!$J:$J,0),1)</f>
        <v>2.1938215119379841E-3</v>
      </c>
      <c r="V133" s="122">
        <f>INDEX([1]!MeasureOutput,MATCH($F133,[1]M_Input_Out!$A$4:$A$83,0),12)</f>
        <v>0.33812991104546586</v>
      </c>
      <c r="W133" s="179" t="str">
        <f>[1]forRPM!A28</f>
        <v>Retro3Slow</v>
      </c>
      <c r="X133" s="80"/>
      <c r="Y133" s="80"/>
      <c r="Z133" s="80"/>
      <c r="AA133" s="80"/>
      <c r="AB133" s="80"/>
      <c r="AC133" s="80"/>
      <c r="AD133" s="80"/>
      <c r="AE133" s="80"/>
      <c r="AF133" s="80"/>
      <c r="AG133" s="80"/>
      <c r="AH133" s="80"/>
      <c r="AI133" s="80" t="s">
        <v>172</v>
      </c>
      <c r="AJ133" s="80" t="s">
        <v>200</v>
      </c>
      <c r="AK133" s="86" t="s">
        <v>428</v>
      </c>
      <c r="AL133" s="79" t="s">
        <v>76</v>
      </c>
    </row>
    <row r="134" spans="1:40" s="84" customFormat="1" ht="13.2" x14ac:dyDescent="0.25">
      <c r="A134" s="161" t="str">
        <f>"AG_"&amp;VLOOKUP($E134,MeasureTypeCode,2,0)&amp;"_"&amp;VLOOKUP($G134,State,2,0)&amp;COUNTIFS($E$3:$E134,$E134,$G$3:$G134,$G134)</f>
        <v>AG_MtrCtrl_OR3</v>
      </c>
      <c r="B134" s="79" t="s">
        <v>37</v>
      </c>
      <c r="C134" s="80" t="s">
        <v>70</v>
      </c>
      <c r="D134" s="80" t="s">
        <v>163</v>
      </c>
      <c r="E134" s="80" t="s">
        <v>167</v>
      </c>
      <c r="F134" s="80" t="str">
        <f>[1]M_Input!A34</f>
        <v>VSD - Milk Transfer Pump - Any - Oregon</v>
      </c>
      <c r="G134" s="80" t="s">
        <v>24</v>
      </c>
      <c r="H134" s="79" t="s">
        <v>160</v>
      </c>
      <c r="I134" s="79" t="s">
        <v>171</v>
      </c>
      <c r="J134" s="80" t="str">
        <f>[1]M_Input!B34</f>
        <v>Pump</v>
      </c>
      <c r="K134" s="81">
        <f>[1]M_Input!C34</f>
        <v>0.88202778278355898</v>
      </c>
      <c r="L134" s="82">
        <f>[1]M_Input!D34</f>
        <v>15</v>
      </c>
      <c r="M134" s="83">
        <f>[1]M_Input!E34</f>
        <v>0.94668074902378141</v>
      </c>
      <c r="N134" s="85">
        <f>[1]M_Input!F34</f>
        <v>0</v>
      </c>
      <c r="O134" s="80" t="str">
        <f>[1]M_Input!G34</f>
        <v>A-Da-Proc-MilkingSchedule-All-All-S</v>
      </c>
      <c r="P134" s="80"/>
      <c r="Q134" s="122">
        <f>INDEX([1]!MeasureOutput,MATCH($F134,[1]M_Input_Out!$A$4:$A$83,0),14)</f>
        <v>2.5816400209791957E-4</v>
      </c>
      <c r="R134" s="122">
        <f>INDEX([1]!MeasureOutput,MATCH($F134,[1]M_Input_Out!$A$4:$A$83,0),3)</f>
        <v>0.9812920248736684</v>
      </c>
      <c r="S134" s="122">
        <f>INDEX([1]!MeasureOutput,MATCH($F134,[1]M_Input_Out!$A$4:$A$83,0),11)</f>
        <v>96.924427146345479</v>
      </c>
      <c r="T134" s="122">
        <f>SUM([1]forRPM!$L29:$AE29)</f>
        <v>0.24780600612938716</v>
      </c>
      <c r="U134" s="122">
        <f>INDEX([1]forRPM!AF:AF,MATCH($F134,[1]forRPM!$J:$J,0),1)</f>
        <v>8.2993957976204583E-2</v>
      </c>
      <c r="V134" s="122">
        <f>INDEX([1]!MeasureOutput,MATCH($F134,[1]M_Input_Out!$A$4:$A$83,0),12)</f>
        <v>0.33812991104546586</v>
      </c>
      <c r="W134" s="179" t="str">
        <f>[1]forRPM!A29</f>
        <v>Retro3Slow</v>
      </c>
      <c r="X134" s="80"/>
      <c r="Y134" s="80"/>
      <c r="Z134" s="80"/>
      <c r="AA134" s="80"/>
      <c r="AB134" s="80"/>
      <c r="AC134" s="80"/>
      <c r="AD134" s="80"/>
      <c r="AE134" s="80"/>
      <c r="AF134" s="80"/>
      <c r="AG134" s="80"/>
      <c r="AH134" s="80"/>
      <c r="AI134" s="80" t="s">
        <v>172</v>
      </c>
      <c r="AJ134" s="80" t="s">
        <v>200</v>
      </c>
      <c r="AK134" s="86" t="s">
        <v>428</v>
      </c>
      <c r="AL134" s="79" t="s">
        <v>76</v>
      </c>
    </row>
    <row r="135" spans="1:40" s="84" customFormat="1" ht="13.2" x14ac:dyDescent="0.25">
      <c r="A135" s="161" t="str">
        <f>"AG_"&amp;VLOOKUP($E135,MeasureTypeCode,2,0)&amp;"_"&amp;VLOOKUP($G135,State,2,0)&amp;COUNTIFS($E$3:$E135,$E135,$G$3:$G135,$G135)</f>
        <v>AG_MtrCtrl_WA3</v>
      </c>
      <c r="B135" s="79" t="s">
        <v>37</v>
      </c>
      <c r="C135" s="80" t="s">
        <v>70</v>
      </c>
      <c r="D135" s="80" t="s">
        <v>163</v>
      </c>
      <c r="E135" s="80" t="s">
        <v>167</v>
      </c>
      <c r="F135" s="80" t="str">
        <f>[1]M_Input!A35</f>
        <v>VSD - Milk Transfer Pump - Any - Washington</v>
      </c>
      <c r="G135" s="80" t="s">
        <v>23</v>
      </c>
      <c r="H135" s="79" t="s">
        <v>160</v>
      </c>
      <c r="I135" s="79" t="s">
        <v>171</v>
      </c>
      <c r="J135" s="80" t="str">
        <f>[1]M_Input!B35</f>
        <v>Pump</v>
      </c>
      <c r="K135" s="81">
        <f>[1]M_Input!C35</f>
        <v>0.88202778278355898</v>
      </c>
      <c r="L135" s="82">
        <f>[1]M_Input!D35</f>
        <v>15</v>
      </c>
      <c r="M135" s="83">
        <f>[1]M_Input!E35</f>
        <v>0.94668074902378141</v>
      </c>
      <c r="N135" s="85">
        <f>[1]M_Input!F35</f>
        <v>0</v>
      </c>
      <c r="O135" s="80" t="str">
        <f>[1]M_Input!G35</f>
        <v>A-Da-Proc-MilkingSchedule-All-All-S</v>
      </c>
      <c r="P135" s="80"/>
      <c r="Q135" s="122">
        <f>INDEX([1]!MeasureOutput,MATCH($F135,[1]M_Input_Out!$A$4:$A$83,0),14)</f>
        <v>2.5816400209791957E-4</v>
      </c>
      <c r="R135" s="122">
        <f>INDEX([1]!MeasureOutput,MATCH($F135,[1]M_Input_Out!$A$4:$A$83,0),3)</f>
        <v>0.9812920248736684</v>
      </c>
      <c r="S135" s="122">
        <f>INDEX([1]!MeasureOutput,MATCH($F135,[1]M_Input_Out!$A$4:$A$83,0),11)</f>
        <v>96.924427146345479</v>
      </c>
      <c r="T135" s="122">
        <f>SUM([1]forRPM!$L30:$AE30)</f>
        <v>0.66999907937665459</v>
      </c>
      <c r="U135" s="122">
        <f>INDEX([1]forRPM!AF:AF,MATCH($F135,[1]forRPM!$J:$J,0),1)</f>
        <v>0.22673219515996981</v>
      </c>
      <c r="V135" s="122">
        <f>INDEX([1]!MeasureOutput,MATCH($F135,[1]M_Input_Out!$A$4:$A$83,0),12)</f>
        <v>0.33812991104546586</v>
      </c>
      <c r="W135" s="179" t="str">
        <f>[1]forRPM!A30</f>
        <v>Retro3Slow</v>
      </c>
      <c r="X135" s="80"/>
      <c r="Y135" s="80"/>
      <c r="Z135" s="80"/>
      <c r="AA135" s="80"/>
      <c r="AB135" s="80"/>
      <c r="AC135" s="80"/>
      <c r="AD135" s="80"/>
      <c r="AE135" s="80"/>
      <c r="AF135" s="80"/>
      <c r="AG135" s="80"/>
      <c r="AH135" s="80"/>
      <c r="AI135" s="80" t="s">
        <v>172</v>
      </c>
      <c r="AJ135" s="80" t="s">
        <v>200</v>
      </c>
      <c r="AK135" s="86" t="s">
        <v>428</v>
      </c>
      <c r="AL135" s="79" t="s">
        <v>76</v>
      </c>
    </row>
    <row r="136" spans="1:40" s="45" customFormat="1" ht="13.2" x14ac:dyDescent="0.25">
      <c r="A136" s="159" t="str">
        <f>"AG_"&amp;VLOOKUP($E136,MeasureTypeCode,2,0)&amp;"_"&amp;VLOOKUP($G136,State,2,0)&amp;COUNTIFS($E$3:$E136,$E136,$G$3:$G136,$G136)</f>
        <v>AG_Lighting_ID1</v>
      </c>
      <c r="B136" s="37" t="s">
        <v>479</v>
      </c>
      <c r="C136" s="38" t="s">
        <v>106</v>
      </c>
      <c r="D136" s="38" t="s">
        <v>170</v>
      </c>
      <c r="E136" s="38" t="s">
        <v>170</v>
      </c>
      <c r="F136" s="38" t="str">
        <f>[1]M_Input!A36</f>
        <v>Energy Efficient Lighting - Free Stall - Idaho</v>
      </c>
      <c r="G136" s="38" t="s">
        <v>22</v>
      </c>
      <c r="H136" s="37" t="s">
        <v>160</v>
      </c>
      <c r="I136" s="37" t="s">
        <v>171</v>
      </c>
      <c r="J136" s="38" t="str">
        <f>[1]M_Input!B36</f>
        <v>Lighting</v>
      </c>
      <c r="K136" s="39">
        <f>[1]M_Input!C36</f>
        <v>1.7274116258073478</v>
      </c>
      <c r="L136" s="40">
        <f>[1]M_Input!D36</f>
        <v>8</v>
      </c>
      <c r="M136" s="41">
        <f>[1]M_Input!E36</f>
        <v>0.30844890531308222</v>
      </c>
      <c r="N136" s="42">
        <f>[1]M_Input!F36</f>
        <v>0</v>
      </c>
      <c r="O136" s="87" t="str">
        <f>[1]M_Input!G36</f>
        <v>C-All-Lgt-LPD Int-All-All-E</v>
      </c>
      <c r="P136" s="38"/>
      <c r="Q136" s="120">
        <f>INDEX([1]!MeasureOutput,MATCH($F136,[1]M_Input_Out!$A$4:$A$83,0),14)</f>
        <v>2.3282533824932859E-4</v>
      </c>
      <c r="R136" s="120">
        <f>INDEX([1]!MeasureOutput,MATCH($F136,[1]M_Input_Out!$A$4:$A$83,0),3)</f>
        <v>1.9214689852816038</v>
      </c>
      <c r="S136" s="120">
        <f>INDEX([1]!MeasureOutput,MATCH($F136,[1]M_Input_Out!$A$4:$A$83,0),11)</f>
        <v>26.196862404810567</v>
      </c>
      <c r="T136" s="120">
        <f>SUM([1]forRPM!$L31:$AE31)</f>
        <v>0.26325612203888665</v>
      </c>
      <c r="U136" s="120">
        <f>INDEX([1]forRPM!AF:AF,MATCH($F136,[1]forRPM!$J:$J,0),1)</f>
        <v>1.6500532767354656</v>
      </c>
      <c r="V136" s="120">
        <f>INDEX([1]!MeasureOutput,MATCH($F136,[1]M_Input_Out!$A$4:$A$83,0),12)</f>
        <v>0.96623689155153147</v>
      </c>
      <c r="W136" s="177" t="str">
        <f>[1]forRPM!A31</f>
        <v>LO5Med</v>
      </c>
      <c r="X136" s="38"/>
      <c r="Y136" s="38"/>
      <c r="Z136" s="38"/>
      <c r="AA136" s="38"/>
      <c r="AB136" s="38"/>
      <c r="AC136" s="38"/>
      <c r="AD136" s="38"/>
      <c r="AE136" s="38"/>
      <c r="AF136" s="38"/>
      <c r="AG136" s="38"/>
      <c r="AH136" s="38"/>
      <c r="AI136" s="38" t="s">
        <v>175</v>
      </c>
      <c r="AJ136" s="38" t="s">
        <v>191</v>
      </c>
      <c r="AK136" s="38" t="s">
        <v>428</v>
      </c>
      <c r="AL136" s="37" t="s">
        <v>76</v>
      </c>
    </row>
    <row r="137" spans="1:40" s="45" customFormat="1" ht="13.2" x14ac:dyDescent="0.25">
      <c r="A137" s="159" t="str">
        <f>"AG_"&amp;VLOOKUP($E137,MeasureTypeCode,2,0)&amp;"_"&amp;VLOOKUP($G137,State,2,0)&amp;COUNTIFS($E$3:$E137,$E137,$G$3:$G137,$G137)</f>
        <v>AG_Lighting_MT1</v>
      </c>
      <c r="B137" s="37" t="s">
        <v>479</v>
      </c>
      <c r="C137" s="38" t="s">
        <v>106</v>
      </c>
      <c r="D137" s="38" t="s">
        <v>170</v>
      </c>
      <c r="E137" s="38" t="s">
        <v>170</v>
      </c>
      <c r="F137" s="38" t="str">
        <f>[1]M_Input!A37</f>
        <v>Energy Efficient Lighting - Free Stall - Montana</v>
      </c>
      <c r="G137" s="38" t="s">
        <v>25</v>
      </c>
      <c r="H137" s="37" t="s">
        <v>160</v>
      </c>
      <c r="I137" s="37" t="s">
        <v>171</v>
      </c>
      <c r="J137" s="38" t="str">
        <f>[1]M_Input!B37</f>
        <v>Lighting</v>
      </c>
      <c r="K137" s="39">
        <f>[1]M_Input!C37</f>
        <v>1.7274116258073478</v>
      </c>
      <c r="L137" s="40">
        <f>[1]M_Input!D37</f>
        <v>8</v>
      </c>
      <c r="M137" s="41">
        <f>[1]M_Input!E37</f>
        <v>0.30844890531308222</v>
      </c>
      <c r="N137" s="42">
        <f>[1]M_Input!F37</f>
        <v>0</v>
      </c>
      <c r="O137" s="87" t="str">
        <f>[1]M_Input!G37</f>
        <v>C-All-Lgt-LPD Int-All-All-E</v>
      </c>
      <c r="P137" s="38"/>
      <c r="Q137" s="120">
        <f>INDEX([1]!MeasureOutput,MATCH($F137,[1]M_Input_Out!$A$4:$A$83,0),14)</f>
        <v>2.3282533824932859E-4</v>
      </c>
      <c r="R137" s="120">
        <f>INDEX([1]!MeasureOutput,MATCH($F137,[1]M_Input_Out!$A$4:$A$83,0),3)</f>
        <v>1.9214689852816038</v>
      </c>
      <c r="S137" s="120">
        <f>INDEX([1]!MeasureOutput,MATCH($F137,[1]M_Input_Out!$A$4:$A$83,0),11)</f>
        <v>26.196862404810567</v>
      </c>
      <c r="T137" s="120">
        <f>SUM([1]forRPM!$L32:$AE32)</f>
        <v>3.8834776441800086E-3</v>
      </c>
      <c r="U137" s="120">
        <f>INDEX([1]forRPM!AF:AF,MATCH($F137,[1]forRPM!$J:$J,0),1)</f>
        <v>6.3238339333717029E-3</v>
      </c>
      <c r="V137" s="120">
        <f>INDEX([1]!MeasureOutput,MATCH($F137,[1]M_Input_Out!$A$4:$A$83,0),12)</f>
        <v>0.96623689155153147</v>
      </c>
      <c r="W137" s="177" t="str">
        <f>[1]forRPM!A32</f>
        <v>LO5Med</v>
      </c>
      <c r="X137" s="38"/>
      <c r="Y137" s="38"/>
      <c r="Z137" s="38"/>
      <c r="AA137" s="38"/>
      <c r="AB137" s="38"/>
      <c r="AC137" s="38"/>
      <c r="AD137" s="38"/>
      <c r="AE137" s="38"/>
      <c r="AF137" s="38"/>
      <c r="AG137" s="38"/>
      <c r="AH137" s="38"/>
      <c r="AI137" s="38" t="s">
        <v>175</v>
      </c>
      <c r="AJ137" s="38" t="s">
        <v>191</v>
      </c>
      <c r="AK137" s="38" t="s">
        <v>428</v>
      </c>
      <c r="AL137" s="37" t="s">
        <v>76</v>
      </c>
    </row>
    <row r="138" spans="1:40" s="45" customFormat="1" ht="13.2" x14ac:dyDescent="0.25">
      <c r="A138" s="159" t="str">
        <f>"AG_"&amp;VLOOKUP($E138,MeasureTypeCode,2,0)&amp;"_"&amp;VLOOKUP($G138,State,2,0)&amp;COUNTIFS($E$3:$E138,$E138,$G$3:$G138,$G138)</f>
        <v>AG_Lighting_OR1</v>
      </c>
      <c r="B138" s="37" t="s">
        <v>479</v>
      </c>
      <c r="C138" s="38" t="s">
        <v>106</v>
      </c>
      <c r="D138" s="38" t="s">
        <v>170</v>
      </c>
      <c r="E138" s="38" t="s">
        <v>170</v>
      </c>
      <c r="F138" s="38" t="str">
        <f>[1]M_Input!A38</f>
        <v>Energy Efficient Lighting - Free Stall - Oregon</v>
      </c>
      <c r="G138" s="38" t="s">
        <v>24</v>
      </c>
      <c r="H138" s="37" t="s">
        <v>160</v>
      </c>
      <c r="I138" s="37" t="s">
        <v>171</v>
      </c>
      <c r="J138" s="38" t="str">
        <f>[1]M_Input!B38</f>
        <v>Lighting</v>
      </c>
      <c r="K138" s="39">
        <f>[1]M_Input!C38</f>
        <v>1.7274116258073478</v>
      </c>
      <c r="L138" s="40">
        <f>[1]M_Input!D38</f>
        <v>8</v>
      </c>
      <c r="M138" s="41">
        <f>[1]M_Input!E38</f>
        <v>0.30844890531308222</v>
      </c>
      <c r="N138" s="42">
        <f>[1]M_Input!F38</f>
        <v>0</v>
      </c>
      <c r="O138" s="87" t="str">
        <f>[1]M_Input!G38</f>
        <v>C-All-Lgt-LPD Int-All-All-E</v>
      </c>
      <c r="P138" s="38"/>
      <c r="Q138" s="120">
        <f>INDEX([1]!MeasureOutput,MATCH($F138,[1]M_Input_Out!$A$4:$A$83,0),14)</f>
        <v>2.3282533824932859E-4</v>
      </c>
      <c r="R138" s="120">
        <f>INDEX([1]!MeasureOutput,MATCH($F138,[1]M_Input_Out!$A$4:$A$83,0),3)</f>
        <v>1.9214689852816038</v>
      </c>
      <c r="S138" s="120">
        <f>INDEX([1]!MeasureOutput,MATCH($F138,[1]M_Input_Out!$A$4:$A$83,0),11)</f>
        <v>26.196862404810567</v>
      </c>
      <c r="T138" s="120">
        <f>SUM([1]forRPM!$L33:$AE33)</f>
        <v>2.2285702234916396E-2</v>
      </c>
      <c r="U138" s="120">
        <f>INDEX([1]forRPM!AF:AF,MATCH($F138,[1]forRPM!$J:$J,0),1)</f>
        <v>0.26081927265541366</v>
      </c>
      <c r="V138" s="120">
        <f>INDEX([1]!MeasureOutput,MATCH($F138,[1]M_Input_Out!$A$4:$A$83,0),12)</f>
        <v>0.96623689155153147</v>
      </c>
      <c r="W138" s="177" t="str">
        <f>[1]forRPM!A33</f>
        <v>LO5Med</v>
      </c>
      <c r="X138" s="38"/>
      <c r="Y138" s="38"/>
      <c r="Z138" s="38"/>
      <c r="AA138" s="38"/>
      <c r="AB138" s="38"/>
      <c r="AC138" s="38"/>
      <c r="AD138" s="38"/>
      <c r="AE138" s="38"/>
      <c r="AF138" s="38"/>
      <c r="AG138" s="38"/>
      <c r="AH138" s="38"/>
      <c r="AI138" s="38" t="s">
        <v>175</v>
      </c>
      <c r="AJ138" s="38" t="s">
        <v>191</v>
      </c>
      <c r="AK138" s="38" t="s">
        <v>428</v>
      </c>
      <c r="AL138" s="37" t="s">
        <v>76</v>
      </c>
    </row>
    <row r="139" spans="1:40" s="45" customFormat="1" ht="13.2" x14ac:dyDescent="0.25">
      <c r="A139" s="159" t="str">
        <f>"AG_"&amp;VLOOKUP($E139,MeasureTypeCode,2,0)&amp;"_"&amp;VLOOKUP($G139,State,2,0)&amp;COUNTIFS($E$3:$E139,$E139,$G$3:$G139,$G139)</f>
        <v>AG_Lighting_WA1</v>
      </c>
      <c r="B139" s="37" t="s">
        <v>479</v>
      </c>
      <c r="C139" s="38" t="s">
        <v>106</v>
      </c>
      <c r="D139" s="38" t="s">
        <v>170</v>
      </c>
      <c r="E139" s="38" t="s">
        <v>170</v>
      </c>
      <c r="F139" s="38" t="str">
        <f>[1]M_Input!A39</f>
        <v>Energy Efficient Lighting - Free Stall - Washington</v>
      </c>
      <c r="G139" s="38" t="s">
        <v>23</v>
      </c>
      <c r="H139" s="37" t="s">
        <v>160</v>
      </c>
      <c r="I139" s="37" t="s">
        <v>171</v>
      </c>
      <c r="J139" s="38" t="str">
        <f>[1]M_Input!B39</f>
        <v>Lighting</v>
      </c>
      <c r="K139" s="39">
        <f>[1]M_Input!C39</f>
        <v>1.7274116258073478</v>
      </c>
      <c r="L139" s="40">
        <f>[1]M_Input!D39</f>
        <v>8</v>
      </c>
      <c r="M139" s="41">
        <f>[1]M_Input!E39</f>
        <v>0.30844890531308222</v>
      </c>
      <c r="N139" s="42">
        <f>[1]M_Input!F39</f>
        <v>0</v>
      </c>
      <c r="O139" s="87" t="str">
        <f>[1]M_Input!G39</f>
        <v>C-All-Lgt-LPD Int-All-All-E</v>
      </c>
      <c r="P139" s="38"/>
      <c r="Q139" s="120">
        <f>INDEX([1]!MeasureOutput,MATCH($F139,[1]M_Input_Out!$A$4:$A$83,0),14)</f>
        <v>2.3282533824932859E-4</v>
      </c>
      <c r="R139" s="120">
        <f>INDEX([1]!MeasureOutput,MATCH($F139,[1]M_Input_Out!$A$4:$A$83,0),3)</f>
        <v>1.9214689852816038</v>
      </c>
      <c r="S139" s="120">
        <f>INDEX([1]!MeasureOutput,MATCH($F139,[1]M_Input_Out!$A$4:$A$83,0),11)</f>
        <v>26.196862404810567</v>
      </c>
      <c r="T139" s="120">
        <f>SUM([1]forRPM!$L34:$AE34)</f>
        <v>0.10532874816167466</v>
      </c>
      <c r="U139" s="120">
        <f>INDEX([1]forRPM!AF:AF,MATCH($F139,[1]forRPM!$J:$J,0),1)</f>
        <v>0.73932933586298677</v>
      </c>
      <c r="V139" s="120">
        <f>INDEX([1]!MeasureOutput,MATCH($F139,[1]M_Input_Out!$A$4:$A$83,0),12)</f>
        <v>0.96623689155153147</v>
      </c>
      <c r="W139" s="177" t="str">
        <f>[1]forRPM!A34</f>
        <v>LO5Med</v>
      </c>
      <c r="X139" s="38"/>
      <c r="Y139" s="38"/>
      <c r="Z139" s="38"/>
      <c r="AA139" s="38"/>
      <c r="AB139" s="38"/>
      <c r="AC139" s="38"/>
      <c r="AD139" s="38"/>
      <c r="AE139" s="38"/>
      <c r="AF139" s="38"/>
      <c r="AG139" s="38"/>
      <c r="AH139" s="38"/>
      <c r="AI139" s="38" t="s">
        <v>175</v>
      </c>
      <c r="AJ139" s="38" t="s">
        <v>191</v>
      </c>
      <c r="AK139" s="38" t="s">
        <v>428</v>
      </c>
      <c r="AL139" s="37" t="s">
        <v>76</v>
      </c>
    </row>
    <row r="140" spans="1:40" s="45" customFormat="1" ht="13.2" x14ac:dyDescent="0.25">
      <c r="A140" s="159" t="str">
        <f>"AG_"&amp;VLOOKUP($E140,MeasureTypeCode,2,0)&amp;"_"&amp;VLOOKUP($G140,State,2,0)&amp;COUNTIFS($E$3:$E140,$E140,$G$3:$G140,$G140)</f>
        <v>AG_Lighting_ID2</v>
      </c>
      <c r="B140" s="37" t="s">
        <v>479</v>
      </c>
      <c r="C140" s="38" t="s">
        <v>106</v>
      </c>
      <c r="D140" s="38" t="s">
        <v>170</v>
      </c>
      <c r="E140" s="38" t="s">
        <v>170</v>
      </c>
      <c r="F140" s="38" t="str">
        <f>[1]M_Input!A40</f>
        <v>Energy Efficient Lighting - Tie Stall - Idaho</v>
      </c>
      <c r="G140" s="38" t="s">
        <v>22</v>
      </c>
      <c r="H140" s="37" t="s">
        <v>160</v>
      </c>
      <c r="I140" s="37" t="s">
        <v>171</v>
      </c>
      <c r="J140" s="38" t="str">
        <f>[1]M_Input!B40</f>
        <v>Lighting</v>
      </c>
      <c r="K140" s="39">
        <f>[1]M_Input!C40</f>
        <v>3.5488575595527467</v>
      </c>
      <c r="L140" s="40">
        <f>[1]M_Input!D40</f>
        <v>8</v>
      </c>
      <c r="M140" s="41">
        <f>[1]M_Input!E40</f>
        <v>0.60327114126057368</v>
      </c>
      <c r="N140" s="42">
        <f>[1]M_Input!F40</f>
        <v>0</v>
      </c>
      <c r="O140" s="87" t="str">
        <f>[1]M_Input!G40</f>
        <v>C-All-Lgt-LPD Int-All-All-E</v>
      </c>
      <c r="P140" s="38"/>
      <c r="Q140" s="120">
        <f>INDEX([1]!MeasureOutput,MATCH($F140,[1]M_Input_Out!$A$4:$A$83,0),14)</f>
        <v>4.7832488178107553E-4</v>
      </c>
      <c r="R140" s="120">
        <f>INDEX([1]!MeasureOutput,MATCH($F140,[1]M_Input_Out!$A$4:$A$83,0),3)</f>
        <v>3.9475360892489828</v>
      </c>
      <c r="S140" s="120">
        <f>INDEX([1]!MeasureOutput,MATCH($F140,[1]M_Input_Out!$A$4:$A$83,0),11)</f>
        <v>24.864848697095287</v>
      </c>
      <c r="T140" s="120">
        <f>SUM([1]forRPM!$L35:$AE35)</f>
        <v>2.2726999793019252E-2</v>
      </c>
      <c r="U140" s="120">
        <f>INDEX([1]forRPM!AF:AF,MATCH($F140,[1]forRPM!$J:$J,0),1)</f>
        <v>3.4696358804705056E-2</v>
      </c>
      <c r="V140" s="120">
        <f>INDEX([1]!MeasureOutput,MATCH($F140,[1]M_Input_Out!$A$4:$A$83,0),12)</f>
        <v>1.014955562842609</v>
      </c>
      <c r="W140" s="177" t="str">
        <f>[1]forRPM!A35</f>
        <v>LO5Med</v>
      </c>
      <c r="X140" s="38"/>
      <c r="Y140" s="38"/>
      <c r="Z140" s="38"/>
      <c r="AA140" s="38"/>
      <c r="AB140" s="38"/>
      <c r="AC140" s="38"/>
      <c r="AD140" s="38"/>
      <c r="AE140" s="38"/>
      <c r="AF140" s="38"/>
      <c r="AG140" s="38"/>
      <c r="AH140" s="38"/>
      <c r="AI140" s="38" t="s">
        <v>175</v>
      </c>
      <c r="AJ140" s="38" t="s">
        <v>191</v>
      </c>
      <c r="AK140" s="38" t="s">
        <v>428</v>
      </c>
      <c r="AL140" s="37" t="s">
        <v>76</v>
      </c>
    </row>
    <row r="141" spans="1:40" s="45" customFormat="1" ht="13.2" x14ac:dyDescent="0.25">
      <c r="A141" s="159" t="str">
        <f>"AG_"&amp;VLOOKUP($E141,MeasureTypeCode,2,0)&amp;"_"&amp;VLOOKUP($G141,State,2,0)&amp;COUNTIFS($E$3:$E141,$E141,$G$3:$G141,$G141)</f>
        <v>AG_Lighting_MT2</v>
      </c>
      <c r="B141" s="37" t="s">
        <v>479</v>
      </c>
      <c r="C141" s="38" t="s">
        <v>106</v>
      </c>
      <c r="D141" s="38" t="s">
        <v>170</v>
      </c>
      <c r="E141" s="38" t="s">
        <v>170</v>
      </c>
      <c r="F141" s="38" t="str">
        <f>[1]M_Input!A41</f>
        <v>Energy Efficient Lighting - Tie Stall - Montana</v>
      </c>
      <c r="G141" s="38" t="s">
        <v>25</v>
      </c>
      <c r="H141" s="37" t="s">
        <v>160</v>
      </c>
      <c r="I141" s="37" t="s">
        <v>171</v>
      </c>
      <c r="J141" s="38" t="str">
        <f>[1]M_Input!B41</f>
        <v>Lighting</v>
      </c>
      <c r="K141" s="39">
        <f>[1]M_Input!C41</f>
        <v>3.5488575595527467</v>
      </c>
      <c r="L141" s="40">
        <f>[1]M_Input!D41</f>
        <v>8</v>
      </c>
      <c r="M141" s="41">
        <f>[1]M_Input!E41</f>
        <v>0.60327114126057368</v>
      </c>
      <c r="N141" s="42">
        <f>[1]M_Input!F41</f>
        <v>0</v>
      </c>
      <c r="O141" s="87" t="str">
        <f>[1]M_Input!G41</f>
        <v>C-All-Lgt-LPD Int-All-All-E</v>
      </c>
      <c r="P141" s="38"/>
      <c r="Q141" s="120">
        <f>INDEX([1]!MeasureOutput,MATCH($F141,[1]M_Input_Out!$A$4:$A$83,0),14)</f>
        <v>4.7832488178107553E-4</v>
      </c>
      <c r="R141" s="120">
        <f>INDEX([1]!MeasureOutput,MATCH($F141,[1]M_Input_Out!$A$4:$A$83,0),3)</f>
        <v>3.9475360892489828</v>
      </c>
      <c r="S141" s="120">
        <f>INDEX([1]!MeasureOutput,MATCH($F141,[1]M_Input_Out!$A$4:$A$83,0),11)</f>
        <v>24.864848697095287</v>
      </c>
      <c r="T141" s="120">
        <f>SUM([1]forRPM!$L36:$AE36)</f>
        <v>6.2541145996633865E-3</v>
      </c>
      <c r="U141" s="120">
        <f>INDEX([1]forRPM!AF:AF,MATCH($F141,[1]forRPM!$J:$J,0),1)</f>
        <v>1.7169060974787031E-3</v>
      </c>
      <c r="V141" s="120">
        <f>INDEX([1]!MeasureOutput,MATCH($F141,[1]M_Input_Out!$A$4:$A$83,0),12)</f>
        <v>1.014955562842609</v>
      </c>
      <c r="W141" s="177" t="str">
        <f>[1]forRPM!A36</f>
        <v>LO5Med</v>
      </c>
      <c r="X141" s="38"/>
      <c r="Y141" s="38"/>
      <c r="Z141" s="38"/>
      <c r="AA141" s="38"/>
      <c r="AB141" s="38"/>
      <c r="AC141" s="38"/>
      <c r="AD141" s="38"/>
      <c r="AE141" s="38"/>
      <c r="AF141" s="38"/>
      <c r="AG141" s="38"/>
      <c r="AH141" s="38"/>
      <c r="AI141" s="38" t="s">
        <v>175</v>
      </c>
      <c r="AJ141" s="38" t="s">
        <v>191</v>
      </c>
      <c r="AK141" s="38" t="s">
        <v>428</v>
      </c>
      <c r="AL141" s="37" t="s">
        <v>76</v>
      </c>
    </row>
    <row r="142" spans="1:40" s="45" customFormat="1" ht="13.2" x14ac:dyDescent="0.25">
      <c r="A142" s="159" t="str">
        <f>"AG_"&amp;VLOOKUP($E142,MeasureTypeCode,2,0)&amp;"_"&amp;VLOOKUP($G142,State,2,0)&amp;COUNTIFS($E$3:$E142,$E142,$G$3:$G142,$G142)</f>
        <v>AG_Lighting_OR2</v>
      </c>
      <c r="B142" s="37" t="s">
        <v>479</v>
      </c>
      <c r="C142" s="38" t="s">
        <v>106</v>
      </c>
      <c r="D142" s="38" t="s">
        <v>170</v>
      </c>
      <c r="E142" s="38" t="s">
        <v>170</v>
      </c>
      <c r="F142" s="38" t="str">
        <f>[1]M_Input!A42</f>
        <v>Energy Efficient Lighting - Tie Stall - Oregon</v>
      </c>
      <c r="G142" s="38" t="s">
        <v>24</v>
      </c>
      <c r="H142" s="37" t="s">
        <v>160</v>
      </c>
      <c r="I142" s="37" t="s">
        <v>171</v>
      </c>
      <c r="J142" s="38" t="str">
        <f>[1]M_Input!B42</f>
        <v>Lighting</v>
      </c>
      <c r="K142" s="39">
        <f>[1]M_Input!C42</f>
        <v>3.5488575595527467</v>
      </c>
      <c r="L142" s="40">
        <f>[1]M_Input!D42</f>
        <v>8</v>
      </c>
      <c r="M142" s="41">
        <f>[1]M_Input!E42</f>
        <v>0.60327114126057368</v>
      </c>
      <c r="N142" s="42">
        <f>[1]M_Input!F42</f>
        <v>0</v>
      </c>
      <c r="O142" s="87" t="str">
        <f>[1]M_Input!G42</f>
        <v>C-All-Lgt-LPD Int-All-All-E</v>
      </c>
      <c r="P142" s="38"/>
      <c r="Q142" s="120">
        <f>INDEX([1]!MeasureOutput,MATCH($F142,[1]M_Input_Out!$A$4:$A$83,0),14)</f>
        <v>4.7832488178107553E-4</v>
      </c>
      <c r="R142" s="120">
        <f>INDEX([1]!MeasureOutput,MATCH($F142,[1]M_Input_Out!$A$4:$A$83,0),3)</f>
        <v>3.9475360892489828</v>
      </c>
      <c r="S142" s="120">
        <f>INDEX([1]!MeasureOutput,MATCH($F142,[1]M_Input_Out!$A$4:$A$83,0),11)</f>
        <v>24.864848697095287</v>
      </c>
      <c r="T142" s="120">
        <f>SUM([1]forRPM!$L37:$AE37)</f>
        <v>1.0860122059254037E-2</v>
      </c>
      <c r="U142" s="120">
        <f>INDEX([1]forRPM!AF:AF,MATCH($F142,[1]forRPM!$J:$J,0),1)</f>
        <v>2.0609409292007306E-2</v>
      </c>
      <c r="V142" s="120">
        <f>INDEX([1]!MeasureOutput,MATCH($F142,[1]M_Input_Out!$A$4:$A$83,0),12)</f>
        <v>1.014955562842609</v>
      </c>
      <c r="W142" s="177" t="str">
        <f>[1]forRPM!A37</f>
        <v>LO5Med</v>
      </c>
      <c r="X142" s="38"/>
      <c r="Y142" s="38"/>
      <c r="Z142" s="38"/>
      <c r="AA142" s="38"/>
      <c r="AB142" s="38"/>
      <c r="AC142" s="38"/>
      <c r="AD142" s="38"/>
      <c r="AE142" s="38"/>
      <c r="AF142" s="38"/>
      <c r="AG142" s="38"/>
      <c r="AH142" s="38"/>
      <c r="AI142" s="38" t="s">
        <v>175</v>
      </c>
      <c r="AJ142" s="38" t="s">
        <v>191</v>
      </c>
      <c r="AK142" s="38" t="s">
        <v>428</v>
      </c>
      <c r="AL142" s="37" t="s">
        <v>76</v>
      </c>
    </row>
    <row r="143" spans="1:40" s="45" customFormat="1" ht="13.2" x14ac:dyDescent="0.25">
      <c r="A143" s="159" t="str">
        <f>"AG_"&amp;VLOOKUP($E143,MeasureTypeCode,2,0)&amp;"_"&amp;VLOOKUP($G143,State,2,0)&amp;COUNTIFS($E$3:$E143,$E143,$G$3:$G143,$G143)</f>
        <v>AG_Lighting_WA2</v>
      </c>
      <c r="B143" s="37" t="s">
        <v>479</v>
      </c>
      <c r="C143" s="38" t="s">
        <v>106</v>
      </c>
      <c r="D143" s="38" t="s">
        <v>170</v>
      </c>
      <c r="E143" s="38" t="s">
        <v>170</v>
      </c>
      <c r="F143" s="38" t="str">
        <f>[1]M_Input!A43</f>
        <v>Energy Efficient Lighting - Tie Stall - Washington</v>
      </c>
      <c r="G143" s="38" t="s">
        <v>23</v>
      </c>
      <c r="H143" s="37" t="s">
        <v>160</v>
      </c>
      <c r="I143" s="37" t="s">
        <v>171</v>
      </c>
      <c r="J143" s="38" t="str">
        <f>[1]M_Input!B43</f>
        <v>Lighting</v>
      </c>
      <c r="K143" s="39">
        <f>[1]M_Input!C43</f>
        <v>3.5488575595527467</v>
      </c>
      <c r="L143" s="40">
        <f>[1]M_Input!D43</f>
        <v>8</v>
      </c>
      <c r="M143" s="41">
        <f>[1]M_Input!E43</f>
        <v>0.60327114126057368</v>
      </c>
      <c r="N143" s="42">
        <f>[1]M_Input!F43</f>
        <v>0</v>
      </c>
      <c r="O143" s="87" t="str">
        <f>[1]M_Input!G43</f>
        <v>C-All-Lgt-LPD Int-All-All-E</v>
      </c>
      <c r="P143" s="38"/>
      <c r="Q143" s="120">
        <f>INDEX([1]!MeasureOutput,MATCH($F143,[1]M_Input_Out!$A$4:$A$83,0),14)</f>
        <v>4.7832488178107553E-4</v>
      </c>
      <c r="R143" s="120">
        <f>INDEX([1]!MeasureOutput,MATCH($F143,[1]M_Input_Out!$A$4:$A$83,0),3)</f>
        <v>3.9475360892489828</v>
      </c>
      <c r="S143" s="120">
        <f>INDEX([1]!MeasureOutput,MATCH($F143,[1]M_Input_Out!$A$4:$A$83,0),11)</f>
        <v>24.864848697095287</v>
      </c>
      <c r="T143" s="120">
        <f>SUM([1]forRPM!$L38:$AE38)</f>
        <v>9.4295315037643788E-3</v>
      </c>
      <c r="U143" s="120">
        <f>INDEX([1]forRPM!AF:AF,MATCH($F143,[1]forRPM!$J:$J,0),1)</f>
        <v>1.2564843865353131E-3</v>
      </c>
      <c r="V143" s="120">
        <f>INDEX([1]!MeasureOutput,MATCH($F143,[1]M_Input_Out!$A$4:$A$83,0),12)</f>
        <v>1.014955562842609</v>
      </c>
      <c r="W143" s="177" t="str">
        <f>[1]forRPM!A38</f>
        <v>LO5Med</v>
      </c>
      <c r="X143" s="38"/>
      <c r="Y143" s="38"/>
      <c r="Z143" s="38"/>
      <c r="AA143" s="38"/>
      <c r="AB143" s="38"/>
      <c r="AC143" s="38"/>
      <c r="AD143" s="38"/>
      <c r="AE143" s="38"/>
      <c r="AF143" s="38"/>
      <c r="AG143" s="38"/>
      <c r="AH143" s="38"/>
      <c r="AI143" s="38" t="s">
        <v>175</v>
      </c>
      <c r="AJ143" s="38" t="s">
        <v>191</v>
      </c>
      <c r="AK143" s="38" t="s">
        <v>428</v>
      </c>
      <c r="AL143" s="37" t="s">
        <v>76</v>
      </c>
    </row>
    <row r="144" spans="1:40" s="84" customFormat="1" ht="13.2" x14ac:dyDescent="0.25">
      <c r="A144" s="161" t="str">
        <f>"AG_"&amp;VLOOKUP($E144,MeasureTypeCode,2,0)&amp;"_"&amp;VLOOKUP($G144,State,2,0)&amp;COUNTIFS($E$3:$E144,$E144,$G$3:$G144,$G144)</f>
        <v>AG_Vent_ID1</v>
      </c>
      <c r="B144" s="79" t="s">
        <v>37</v>
      </c>
      <c r="C144" s="80" t="s">
        <v>164</v>
      </c>
      <c r="D144" s="80" t="s">
        <v>165</v>
      </c>
      <c r="E144" s="80" t="s">
        <v>166</v>
      </c>
      <c r="F144" s="80" t="str">
        <f>[1]M_Input!A44</f>
        <v>High Volume Low Speed Fans - Any - Idaho</v>
      </c>
      <c r="G144" s="80" t="s">
        <v>22</v>
      </c>
      <c r="H144" s="79" t="s">
        <v>161</v>
      </c>
      <c r="I144" s="79" t="s">
        <v>171</v>
      </c>
      <c r="J144" s="80" t="str">
        <f>[1]M_Input!B44</f>
        <v>Ventilation</v>
      </c>
      <c r="K144" s="81">
        <f>[1]M_Input!C44</f>
        <v>3582.6179919698643</v>
      </c>
      <c r="L144" s="82">
        <f>[1]M_Input!D44</f>
        <v>15</v>
      </c>
      <c r="M144" s="83">
        <f>[1]M_Input!E44</f>
        <v>2514.0647053927014</v>
      </c>
      <c r="N144" s="85">
        <f>[1]M_Input!F44</f>
        <v>7.6517253394153641</v>
      </c>
      <c r="O144" s="125" t="str">
        <f>[1]M_Input!G44</f>
        <v>C-All-HVAC-Vent-All-All-E</v>
      </c>
      <c r="P144" s="80"/>
      <c r="Q144" s="122">
        <f>INDEX([1]!MeasureOutput,MATCH($F144,[1]M_Input_Out!$A$4:$A$83,0),14)</f>
        <v>0.53171627521544473</v>
      </c>
      <c r="R144" s="122">
        <f>INDEX([1]!MeasureOutput,MATCH($F144,[1]M_Input_Out!$A$4:$A$83,0),3)</f>
        <v>3987.4867870098083</v>
      </c>
      <c r="S144" s="122">
        <f>INDEX([1]!MeasureOutput,MATCH($F144,[1]M_Input_Out!$A$4:$A$83,0),11)</f>
        <v>65.818014818870296</v>
      </c>
      <c r="T144" s="122">
        <f>SUM([1]forRPM!$L39:$AE39)</f>
        <v>1.0402134105577401</v>
      </c>
      <c r="U144" s="122">
        <f>INDEX([1]forRPM!AF:AF,MATCH($AM144,[1]forRPM!$J:$J,0),1)+INDEX([1]forRPM!AF:AF,MATCH($AN144,[1]forRPM!$J:$J,0),1)</f>
        <v>4.0495352222443142</v>
      </c>
      <c r="V144" s="122">
        <f>INDEX([1]!MeasureOutput,MATCH($F144,[1]M_Input_Out!$A$4:$A$83,0),12)</f>
        <v>0.47559685922891209</v>
      </c>
      <c r="W144" s="179" t="str">
        <f>[1]forRPM!A39</f>
        <v>LO5Med</v>
      </c>
      <c r="X144" s="80"/>
      <c r="Y144" s="80"/>
      <c r="Z144" s="80"/>
      <c r="AA144" s="80"/>
      <c r="AB144" s="80"/>
      <c r="AC144" s="80"/>
      <c r="AD144" s="80"/>
      <c r="AE144" s="80"/>
      <c r="AF144" s="80"/>
      <c r="AG144" s="80"/>
      <c r="AH144" s="80"/>
      <c r="AI144" s="80" t="s">
        <v>176</v>
      </c>
      <c r="AJ144" s="80" t="s">
        <v>443</v>
      </c>
      <c r="AK144" s="80" t="s">
        <v>428</v>
      </c>
      <c r="AL144" s="79" t="s">
        <v>76</v>
      </c>
      <c r="AM144" s="84" t="s">
        <v>543</v>
      </c>
      <c r="AN144" s="84" t="s">
        <v>544</v>
      </c>
    </row>
    <row r="145" spans="1:46" s="84" customFormat="1" ht="13.2" x14ac:dyDescent="0.25">
      <c r="A145" s="161" t="str">
        <f>"AG_"&amp;VLOOKUP($E145,MeasureTypeCode,2,0)&amp;"_"&amp;VLOOKUP($G145,State,2,0)&amp;COUNTIFS($E$3:$E145,$E145,$G$3:$G145,$G145)</f>
        <v>AG_Vent_MT1</v>
      </c>
      <c r="B145" s="79" t="s">
        <v>37</v>
      </c>
      <c r="C145" s="80" t="s">
        <v>164</v>
      </c>
      <c r="D145" s="80" t="s">
        <v>165</v>
      </c>
      <c r="E145" s="80" t="s">
        <v>166</v>
      </c>
      <c r="F145" s="80" t="str">
        <f>[1]M_Input!A45</f>
        <v>High Volume Low Speed Fans - Any - Montana</v>
      </c>
      <c r="G145" s="80" t="s">
        <v>25</v>
      </c>
      <c r="H145" s="79" t="s">
        <v>161</v>
      </c>
      <c r="I145" s="79" t="s">
        <v>171</v>
      </c>
      <c r="J145" s="80" t="str">
        <f>[1]M_Input!B45</f>
        <v>Ventilation</v>
      </c>
      <c r="K145" s="81">
        <f>[1]M_Input!C45</f>
        <v>2726.5370470897797</v>
      </c>
      <c r="L145" s="82">
        <f>[1]M_Input!D45</f>
        <v>15</v>
      </c>
      <c r="M145" s="83">
        <f>[1]M_Input!E45</f>
        <v>2514.0647053927014</v>
      </c>
      <c r="N145" s="85">
        <f>[1]M_Input!F45</f>
        <v>7.6517253394153641</v>
      </c>
      <c r="O145" s="125" t="str">
        <f>[1]M_Input!G45</f>
        <v>C-All-HVAC-Vent-All-All-E</v>
      </c>
      <c r="P145" s="80"/>
      <c r="Q145" s="122">
        <f>INDEX([1]!MeasureOutput,MATCH($F145,[1]M_Input_Out!$A$4:$A$83,0),14)</f>
        <v>0.40466053767523474</v>
      </c>
      <c r="R145" s="122">
        <f>INDEX([1]!MeasureOutput,MATCH($F145,[1]M_Input_Out!$A$4:$A$83,0),3)</f>
        <v>3034.6608189686913</v>
      </c>
      <c r="S145" s="122">
        <f>INDEX([1]!MeasureOutput,MATCH($F145,[1]M_Input_Out!$A$4:$A$83,0),11)</f>
        <v>86.994230490475687</v>
      </c>
      <c r="T145" s="122">
        <f>SUM([1]forRPM!$L40:$AE40)</f>
        <v>1.5344925290970113E-2</v>
      </c>
      <c r="U145" s="122">
        <f>INDEX([1]forRPM!AF:AF,MATCH($AM145,[1]forRPM!$J:$J,0),1)+INDEX([1]forRPM!AF:AF,MATCH($AN145,[1]forRPM!$J:$J,0),1)</f>
        <v>0.1435488101438529</v>
      </c>
      <c r="V145" s="122">
        <f>INDEX([1]!MeasureOutput,MATCH($F145,[1]M_Input_Out!$A$4:$A$83,0),12)</f>
        <v>0.36195108132479925</v>
      </c>
      <c r="W145" s="179" t="str">
        <f>[1]forRPM!A40</f>
        <v>LO5Med</v>
      </c>
      <c r="X145" s="80"/>
      <c r="Y145" s="80"/>
      <c r="Z145" s="80"/>
      <c r="AA145" s="80"/>
      <c r="AB145" s="80"/>
      <c r="AC145" s="80"/>
      <c r="AD145" s="80"/>
      <c r="AE145" s="80"/>
      <c r="AF145" s="80"/>
      <c r="AG145" s="80"/>
      <c r="AH145" s="80"/>
      <c r="AI145" s="80" t="s">
        <v>176</v>
      </c>
      <c r="AJ145" s="80" t="s">
        <v>443</v>
      </c>
      <c r="AK145" s="80" t="s">
        <v>428</v>
      </c>
      <c r="AL145" s="79" t="s">
        <v>76</v>
      </c>
      <c r="AM145" s="84" t="s">
        <v>545</v>
      </c>
      <c r="AN145" s="84" t="s">
        <v>546</v>
      </c>
    </row>
    <row r="146" spans="1:46" s="84" customFormat="1" ht="13.2" x14ac:dyDescent="0.25">
      <c r="A146" s="161" t="str">
        <f>"AG_"&amp;VLOOKUP($E146,MeasureTypeCode,2,0)&amp;"_"&amp;VLOOKUP($G146,State,2,0)&amp;COUNTIFS($E$3:$E146,$E146,$G$3:$G146,$G146)</f>
        <v>AG_Vent_OR1</v>
      </c>
      <c r="B146" s="79" t="s">
        <v>37</v>
      </c>
      <c r="C146" s="80" t="s">
        <v>164</v>
      </c>
      <c r="D146" s="80" t="s">
        <v>165</v>
      </c>
      <c r="E146" s="80" t="s">
        <v>166</v>
      </c>
      <c r="F146" s="80" t="str">
        <f>[1]M_Input!A46</f>
        <v>High Volume Low Speed Fans - Any - Oregon</v>
      </c>
      <c r="G146" s="80" t="s">
        <v>24</v>
      </c>
      <c r="H146" s="79" t="s">
        <v>161</v>
      </c>
      <c r="I146" s="79" t="s">
        <v>171</v>
      </c>
      <c r="J146" s="80" t="str">
        <f>[1]M_Input!B46</f>
        <v>Ventilation</v>
      </c>
      <c r="K146" s="81">
        <f>[1]M_Input!C46</f>
        <v>2907.4447184606656</v>
      </c>
      <c r="L146" s="82">
        <f>[1]M_Input!D46</f>
        <v>15</v>
      </c>
      <c r="M146" s="83">
        <f>[1]M_Input!E46</f>
        <v>2514.0647053927014</v>
      </c>
      <c r="N146" s="85">
        <f>[1]M_Input!F46</f>
        <v>7.6517253394153641</v>
      </c>
      <c r="O146" s="125" t="str">
        <f>[1]M_Input!G46</f>
        <v>C-All-HVAC-Vent-All-All-E</v>
      </c>
      <c r="P146" s="80"/>
      <c r="Q146" s="122">
        <f>INDEX([1]!MeasureOutput,MATCH($F146,[1]M_Input_Out!$A$4:$A$83,0),14)</f>
        <v>0.43151005202335463</v>
      </c>
      <c r="R146" s="122">
        <f>INDEX([1]!MeasureOutput,MATCH($F146,[1]M_Input_Out!$A$4:$A$83,0),3)</f>
        <v>3236.0127216490782</v>
      </c>
      <c r="S146" s="122">
        <f>INDEX([1]!MeasureOutput,MATCH($F146,[1]M_Input_Out!$A$4:$A$83,0),11)</f>
        <v>81.480068234419605</v>
      </c>
      <c r="T146" s="122">
        <f>SUM([1]forRPM!$L41:$AE41)</f>
        <v>8.8058299077399427E-2</v>
      </c>
      <c r="U146" s="122">
        <f>INDEX([1]forRPM!AF:AF,MATCH($AM146,[1]forRPM!$J:$J,0),1)+INDEX([1]forRPM!AF:AF,MATCH($AN146,[1]forRPM!$J:$J,0),1)</f>
        <v>0.4693465197867826</v>
      </c>
      <c r="V146" s="122">
        <f>INDEX([1]!MeasureOutput,MATCH($F146,[1]M_Input_Out!$A$4:$A$83,0),12)</f>
        <v>0.38596679288189434</v>
      </c>
      <c r="W146" s="179" t="str">
        <f>[1]forRPM!A41</f>
        <v>LO5Med</v>
      </c>
      <c r="X146" s="80"/>
      <c r="Y146" s="80"/>
      <c r="Z146" s="80"/>
      <c r="AA146" s="80"/>
      <c r="AB146" s="80"/>
      <c r="AC146" s="80"/>
      <c r="AD146" s="80"/>
      <c r="AE146" s="80"/>
      <c r="AF146" s="80"/>
      <c r="AG146" s="80"/>
      <c r="AH146" s="80"/>
      <c r="AI146" s="80" t="s">
        <v>176</v>
      </c>
      <c r="AJ146" s="80" t="s">
        <v>443</v>
      </c>
      <c r="AK146" s="80" t="s">
        <v>428</v>
      </c>
      <c r="AL146" s="79" t="s">
        <v>76</v>
      </c>
      <c r="AM146" s="84" t="s">
        <v>547</v>
      </c>
      <c r="AN146" s="84" t="s">
        <v>548</v>
      </c>
    </row>
    <row r="147" spans="1:46" s="84" customFormat="1" ht="13.2" x14ac:dyDescent="0.25">
      <c r="A147" s="161" t="str">
        <f>"AG_"&amp;VLOOKUP($E147,MeasureTypeCode,2,0)&amp;"_"&amp;VLOOKUP($G147,State,2,0)&amp;COUNTIFS($E$3:$E147,$E147,$G$3:$G147,$G147)</f>
        <v>AG_Vent_WA1</v>
      </c>
      <c r="B147" s="79" t="s">
        <v>37</v>
      </c>
      <c r="C147" s="80" t="s">
        <v>164</v>
      </c>
      <c r="D147" s="80" t="s">
        <v>165</v>
      </c>
      <c r="E147" s="80" t="s">
        <v>166</v>
      </c>
      <c r="F147" s="80" t="str">
        <f>[1]M_Input!A47</f>
        <v>High Volume Low Speed Fans - Any - Washington</v>
      </c>
      <c r="G147" s="80" t="s">
        <v>23</v>
      </c>
      <c r="H147" s="79" t="s">
        <v>161</v>
      </c>
      <c r="I147" s="79" t="s">
        <v>171</v>
      </c>
      <c r="J147" s="80" t="str">
        <f>[1]M_Input!B47</f>
        <v>Ventilation</v>
      </c>
      <c r="K147" s="81">
        <f>[1]M_Input!C47</f>
        <v>3081.2453027419806</v>
      </c>
      <c r="L147" s="82">
        <f>[1]M_Input!D47</f>
        <v>15</v>
      </c>
      <c r="M147" s="83">
        <f>[1]M_Input!E47</f>
        <v>2514.0647053927014</v>
      </c>
      <c r="N147" s="85">
        <f>[1]M_Input!F47</f>
        <v>7.6517253394153641</v>
      </c>
      <c r="O147" s="125" t="str">
        <f>[1]M_Input!G47</f>
        <v>C-All-HVAC-Vent-All-All-E</v>
      </c>
      <c r="P147" s="80"/>
      <c r="Q147" s="122">
        <f>INDEX([1]!MeasureOutput,MATCH($F147,[1]M_Input_Out!$A$4:$A$83,0),14)</f>
        <v>0.45730476402208398</v>
      </c>
      <c r="R147" s="122">
        <f>INDEX([1]!MeasureOutput,MATCH($F147,[1]M_Input_Out!$A$4:$A$83,0),3)</f>
        <v>3429.4543710098783</v>
      </c>
      <c r="S147" s="122">
        <f>INDEX([1]!MeasureOutput,MATCH($F147,[1]M_Input_Out!$A$4:$A$83,0),11)</f>
        <v>76.792377860703994</v>
      </c>
      <c r="T147" s="122">
        <f>SUM([1]forRPM!$L42:$AE42)</f>
        <v>0.41618928177802728</v>
      </c>
      <c r="U147" s="122">
        <f>INDEX([1]forRPM!AF:AF,MATCH($AM147,[1]forRPM!$J:$J,0),1)+INDEX([1]forRPM!AF:AF,MATCH($AN147,[1]forRPM!$J:$J,0),1)</f>
        <v>1.624982945051243</v>
      </c>
      <c r="V147" s="122">
        <f>INDEX([1]!MeasureOutput,MATCH($F147,[1]M_Input_Out!$A$4:$A$83,0),12)</f>
        <v>0.40903903005638964</v>
      </c>
      <c r="W147" s="179" t="str">
        <f>[1]forRPM!A42</f>
        <v>LO5Med</v>
      </c>
      <c r="X147" s="80"/>
      <c r="Y147" s="80"/>
      <c r="Z147" s="80"/>
      <c r="AA147" s="80"/>
      <c r="AB147" s="80"/>
      <c r="AC147" s="80"/>
      <c r="AD147" s="80"/>
      <c r="AE147" s="80"/>
      <c r="AF147" s="80"/>
      <c r="AG147" s="80"/>
      <c r="AH147" s="80"/>
      <c r="AI147" s="80" t="s">
        <v>176</v>
      </c>
      <c r="AJ147" s="80" t="s">
        <v>443</v>
      </c>
      <c r="AK147" s="80" t="s">
        <v>428</v>
      </c>
      <c r="AL147" s="79" t="s">
        <v>76</v>
      </c>
      <c r="AM147" s="84" t="s">
        <v>549</v>
      </c>
      <c r="AN147" s="84" t="s">
        <v>550</v>
      </c>
    </row>
    <row r="148" spans="1:46" s="84" customFormat="1" ht="13.2" x14ac:dyDescent="0.25">
      <c r="A148" s="159" t="str">
        <f>"AG_"&amp;VLOOKUP($E148,MeasureTypeCode,2,0)&amp;"_"&amp;VLOOKUP($G148,State,2,0)&amp;COUNTIFS($E$3:$E148,$E148,$G$3:$G148,$G148)</f>
        <v>AG_Vent_ID2</v>
      </c>
      <c r="B148" s="37" t="s">
        <v>37</v>
      </c>
      <c r="C148" s="38" t="s">
        <v>164</v>
      </c>
      <c r="D148" s="38" t="s">
        <v>165</v>
      </c>
      <c r="E148" s="38" t="s">
        <v>166</v>
      </c>
      <c r="F148" s="38" t="str">
        <f>[1]M_Input!A48</f>
        <v>Efficient High Speed Fans - Any - Idaho</v>
      </c>
      <c r="G148" s="38" t="s">
        <v>22</v>
      </c>
      <c r="H148" s="37" t="s">
        <v>161</v>
      </c>
      <c r="I148" s="37" t="s">
        <v>171</v>
      </c>
      <c r="J148" s="38" t="str">
        <f>[1]M_Input!B48</f>
        <v>Ventilation</v>
      </c>
      <c r="K148" s="39">
        <f>[1]M_Input!C48</f>
        <v>181.96950133835591</v>
      </c>
      <c r="L148" s="40">
        <f>[1]M_Input!D48</f>
        <v>10</v>
      </c>
      <c r="M148" s="41">
        <f>[1]M_Input!E48</f>
        <v>165.33373046117987</v>
      </c>
      <c r="N148" s="42">
        <f>[1]M_Input!F48</f>
        <v>0</v>
      </c>
      <c r="O148" s="38" t="str">
        <f>[1]M_Input!G48</f>
        <v>C-All-HVAC-CAC-All-All-E</v>
      </c>
      <c r="P148" s="38"/>
      <c r="Q148" s="120">
        <f>INDEX([1]!MeasureOutput,MATCH($F148,[1]M_Input_Out!$A$4:$A$83,0),14)</f>
        <v>2.7582404012824011E-2</v>
      </c>
      <c r="R148" s="120">
        <f>INDEX([1]!MeasureOutput,MATCH($F148,[1]M_Input_Out!$A$4:$A$83,0),3)</f>
        <v>201.82979715030959</v>
      </c>
      <c r="S148" s="120">
        <f>INDEX([1]!MeasureOutput,MATCH($F148,[1]M_Input_Out!$A$4:$A$83,0),11)</f>
        <v>109.63315416718144</v>
      </c>
      <c r="T148" s="120">
        <f>SUM([1]forRPM!$L43:$AE43)</f>
        <v>0</v>
      </c>
      <c r="U148" s="120">
        <f>INDEX([1]forRPM!AF:AF,MATCH($AM148,[1]forRPM!$J:$J,0),1)+INDEX([1]forRPM!AF:AF,MATCH($AN148,[1]forRPM!$J:$J,0),1)</f>
        <v>0.20497042776949356</v>
      </c>
      <c r="V148" s="120">
        <f>INDEX([1]!MeasureOutput,MATCH($F148,[1]M_Input_Out!$A$4:$A$83,0),12)</f>
        <v>0.28960635446502597</v>
      </c>
      <c r="W148" s="177" t="str">
        <f>[1]forRPM!A43</f>
        <v>LO5Med</v>
      </c>
      <c r="X148" s="38"/>
      <c r="Y148" s="38"/>
      <c r="Z148" s="38"/>
      <c r="AA148" s="38"/>
      <c r="AB148" s="38"/>
      <c r="AC148" s="38"/>
      <c r="AD148" s="38"/>
      <c r="AE148" s="38"/>
      <c r="AF148" s="38"/>
      <c r="AG148" s="38"/>
      <c r="AH148" s="38"/>
      <c r="AI148" s="38" t="s">
        <v>109</v>
      </c>
      <c r="AJ148" s="38" t="s">
        <v>444</v>
      </c>
      <c r="AK148" s="43" t="s">
        <v>428</v>
      </c>
      <c r="AL148" s="37" t="s">
        <v>76</v>
      </c>
      <c r="AM148" s="84" t="s">
        <v>551</v>
      </c>
      <c r="AN148" s="84" t="s">
        <v>552</v>
      </c>
    </row>
    <row r="149" spans="1:46" s="84" customFormat="1" ht="13.2" x14ac:dyDescent="0.25">
      <c r="A149" s="159" t="str">
        <f>"AG_"&amp;VLOOKUP($E149,MeasureTypeCode,2,0)&amp;"_"&amp;VLOOKUP($G149,State,2,0)&amp;COUNTIFS($E$3:$E149,$E149,$G$3:$G149,$G149)</f>
        <v>AG_Vent_MT2</v>
      </c>
      <c r="B149" s="37" t="s">
        <v>37</v>
      </c>
      <c r="C149" s="38" t="s">
        <v>164</v>
      </c>
      <c r="D149" s="38" t="s">
        <v>165</v>
      </c>
      <c r="E149" s="38" t="s">
        <v>166</v>
      </c>
      <c r="F149" s="38" t="str">
        <f>[1]M_Input!A49</f>
        <v>Efficient High Speed Fans - Any - Montana</v>
      </c>
      <c r="G149" s="38" t="s">
        <v>25</v>
      </c>
      <c r="H149" s="37" t="s">
        <v>161</v>
      </c>
      <c r="I149" s="37" t="s">
        <v>171</v>
      </c>
      <c r="J149" s="38" t="str">
        <f>[1]M_Input!B49</f>
        <v>Ventilation</v>
      </c>
      <c r="K149" s="39">
        <f>[1]M_Input!C49</f>
        <v>138.48715881837006</v>
      </c>
      <c r="L149" s="40">
        <f>[1]M_Input!D49</f>
        <v>10</v>
      </c>
      <c r="M149" s="41">
        <f>[1]M_Input!E49</f>
        <v>165.33373046117987</v>
      </c>
      <c r="N149" s="42">
        <f>[1]M_Input!F49</f>
        <v>0</v>
      </c>
      <c r="O149" s="38" t="str">
        <f>[1]M_Input!G49</f>
        <v>C-All-HVAC-CAC-All-All-E</v>
      </c>
      <c r="P149" s="38"/>
      <c r="Q149" s="120">
        <f>INDEX([1]!MeasureOutput,MATCH($F149,[1]M_Input_Out!$A$4:$A$83,0),14)</f>
        <v>2.0991477896143793E-2</v>
      </c>
      <c r="R149" s="120">
        <f>INDEX([1]!MeasureOutput,MATCH($F149,[1]M_Input_Out!$A$4:$A$83,0),3)</f>
        <v>153.60175725415806</v>
      </c>
      <c r="S149" s="120">
        <f>INDEX([1]!MeasureOutput,MATCH($F149,[1]M_Input_Out!$A$4:$A$83,0),11)</f>
        <v>146.4618963006379</v>
      </c>
      <c r="T149" s="120">
        <f>SUM([1]forRPM!$L44:$AE44)</f>
        <v>0</v>
      </c>
      <c r="U149" s="120">
        <f>INDEX([1]forRPM!AF:AF,MATCH($AM149,[1]forRPM!$J:$J,0),1)+INDEX([1]forRPM!AF:AF,MATCH($AN149,[1]forRPM!$J:$J,0),1)</f>
        <v>7.2658365481954035E-3</v>
      </c>
      <c r="V149" s="120">
        <f>INDEX([1]!MeasureOutput,MATCH($F149,[1]M_Input_Out!$A$4:$A$83,0),12)</f>
        <v>0.22040375398420387</v>
      </c>
      <c r="W149" s="177" t="str">
        <f>[1]forRPM!A44</f>
        <v>LO5Med</v>
      </c>
      <c r="X149" s="38"/>
      <c r="Y149" s="38"/>
      <c r="Z149" s="38"/>
      <c r="AA149" s="38"/>
      <c r="AB149" s="38"/>
      <c r="AC149" s="38"/>
      <c r="AD149" s="38"/>
      <c r="AE149" s="38"/>
      <c r="AF149" s="38"/>
      <c r="AG149" s="38"/>
      <c r="AH149" s="38"/>
      <c r="AI149" s="38" t="s">
        <v>109</v>
      </c>
      <c r="AJ149" s="38" t="s">
        <v>444</v>
      </c>
      <c r="AK149" s="43" t="s">
        <v>428</v>
      </c>
      <c r="AL149" s="37" t="s">
        <v>76</v>
      </c>
      <c r="AM149" s="84" t="s">
        <v>553</v>
      </c>
      <c r="AN149" s="84" t="s">
        <v>554</v>
      </c>
    </row>
    <row r="150" spans="1:46" s="84" customFormat="1" ht="13.2" x14ac:dyDescent="0.25">
      <c r="A150" s="159" t="str">
        <f>"AG_"&amp;VLOOKUP($E150,MeasureTypeCode,2,0)&amp;"_"&amp;VLOOKUP($G150,State,2,0)&amp;COUNTIFS($E$3:$E150,$E150,$G$3:$G150,$G150)</f>
        <v>AG_Vent_OR2</v>
      </c>
      <c r="B150" s="37" t="s">
        <v>37</v>
      </c>
      <c r="C150" s="38" t="s">
        <v>164</v>
      </c>
      <c r="D150" s="38" t="s">
        <v>165</v>
      </c>
      <c r="E150" s="38" t="s">
        <v>166</v>
      </c>
      <c r="F150" s="38" t="str">
        <f>[1]M_Input!A50</f>
        <v>Efficient High Speed Fans - Any - Oregon</v>
      </c>
      <c r="G150" s="38" t="s">
        <v>24</v>
      </c>
      <c r="H150" s="37" t="s">
        <v>161</v>
      </c>
      <c r="I150" s="37" t="s">
        <v>171</v>
      </c>
      <c r="J150" s="38" t="str">
        <f>[1]M_Input!B50</f>
        <v>Ventilation</v>
      </c>
      <c r="K150" s="39">
        <f>[1]M_Input!C50</f>
        <v>147.67588025655576</v>
      </c>
      <c r="L150" s="40">
        <f>[1]M_Input!D50</f>
        <v>10</v>
      </c>
      <c r="M150" s="41">
        <f>[1]M_Input!E50</f>
        <v>165.33373046117987</v>
      </c>
      <c r="N150" s="42">
        <f>[1]M_Input!F50</f>
        <v>0</v>
      </c>
      <c r="O150" s="38" t="str">
        <f>[1]M_Input!G50</f>
        <v>C-All-HVAC-CAC-All-All-E</v>
      </c>
      <c r="P150" s="38"/>
      <c r="Q150" s="120">
        <f>INDEX([1]!MeasureOutput,MATCH($F150,[1]M_Input_Out!$A$4:$A$83,0),14)</f>
        <v>2.2384277377404518E-2</v>
      </c>
      <c r="R150" s="120">
        <f>INDEX([1]!MeasureOutput,MATCH($F150,[1]M_Input_Out!$A$4:$A$83,0),3)</f>
        <v>163.7933430435335</v>
      </c>
      <c r="S150" s="120">
        <f>INDEX([1]!MeasureOutput,MATCH($F150,[1]M_Input_Out!$A$4:$A$83,0),11)</f>
        <v>136.87190803457423</v>
      </c>
      <c r="T150" s="120">
        <f>SUM([1]forRPM!$L45:$AE45)</f>
        <v>0</v>
      </c>
      <c r="U150" s="120">
        <f>INDEX([1]forRPM!AF:AF,MATCH($AM150,[1]forRPM!$J:$J,0),1)+INDEX([1]forRPM!AF:AF,MATCH($AN150,[1]forRPM!$J:$J,0),1)</f>
        <v>2.3756345272508386E-2</v>
      </c>
      <c r="V150" s="120">
        <f>INDEX([1]!MeasureOutput,MATCH($F150,[1]M_Input_Out!$A$4:$A$83,0),12)</f>
        <v>0.23502769974618878</v>
      </c>
      <c r="W150" s="177" t="str">
        <f>[1]forRPM!A45</f>
        <v>LO5Med</v>
      </c>
      <c r="X150" s="38"/>
      <c r="Y150" s="38"/>
      <c r="Z150" s="38"/>
      <c r="AA150" s="38"/>
      <c r="AB150" s="38"/>
      <c r="AC150" s="38"/>
      <c r="AD150" s="38"/>
      <c r="AE150" s="38"/>
      <c r="AF150" s="38"/>
      <c r="AG150" s="38"/>
      <c r="AH150" s="38"/>
      <c r="AI150" s="38" t="s">
        <v>109</v>
      </c>
      <c r="AJ150" s="38" t="s">
        <v>444</v>
      </c>
      <c r="AK150" s="43" t="s">
        <v>428</v>
      </c>
      <c r="AL150" s="37" t="s">
        <v>76</v>
      </c>
      <c r="AM150" s="84" t="s">
        <v>555</v>
      </c>
      <c r="AN150" s="84" t="s">
        <v>556</v>
      </c>
    </row>
    <row r="151" spans="1:46" s="84" customFormat="1" ht="13.2" x14ac:dyDescent="0.25">
      <c r="A151" s="159" t="str">
        <f>"AG_"&amp;VLOOKUP($E151,MeasureTypeCode,2,0)&amp;"_"&amp;VLOOKUP($G151,State,2,0)&amp;COUNTIFS($E$3:$E151,$E151,$G$3:$G151,$G151)</f>
        <v>AG_Vent_WA2</v>
      </c>
      <c r="B151" s="37" t="s">
        <v>37</v>
      </c>
      <c r="C151" s="38" t="s">
        <v>164</v>
      </c>
      <c r="D151" s="38" t="s">
        <v>165</v>
      </c>
      <c r="E151" s="38" t="s">
        <v>166</v>
      </c>
      <c r="F151" s="38" t="str">
        <f>[1]M_Input!A51</f>
        <v>Efficient High Speed Fans - Any - Washington</v>
      </c>
      <c r="G151" s="38" t="s">
        <v>23</v>
      </c>
      <c r="H151" s="37" t="s">
        <v>161</v>
      </c>
      <c r="I151" s="37" t="s">
        <v>171</v>
      </c>
      <c r="J151" s="38" t="str">
        <f>[1]M_Input!B51</f>
        <v>Ventilation</v>
      </c>
      <c r="K151" s="39">
        <f>[1]M_Input!C51</f>
        <v>156.50361620966984</v>
      </c>
      <c r="L151" s="40">
        <f>[1]M_Input!D51</f>
        <v>10</v>
      </c>
      <c r="M151" s="41">
        <f>[1]M_Input!E51</f>
        <v>165.33373046117987</v>
      </c>
      <c r="N151" s="42">
        <f>[1]M_Input!F51</f>
        <v>0</v>
      </c>
      <c r="O151" s="38" t="str">
        <f>[1]M_Input!G51</f>
        <v>C-All-HVAC-CAC-All-All-E</v>
      </c>
      <c r="P151" s="38"/>
      <c r="Q151" s="120">
        <f>INDEX([1]!MeasureOutput,MATCH($F151,[1]M_Input_Out!$A$4:$A$83,0),14)</f>
        <v>2.3722359736187141E-2</v>
      </c>
      <c r="R151" s="120">
        <f>INDEX([1]!MeasureOutput,MATCH($F151,[1]M_Input_Out!$A$4:$A$83,0),3)</f>
        <v>173.58454510546912</v>
      </c>
      <c r="S151" s="120">
        <f>INDEX([1]!MeasureOutput,MATCH($F151,[1]M_Input_Out!$A$4:$A$83,0),11)</f>
        <v>128.71928328554779</v>
      </c>
      <c r="T151" s="120">
        <f>SUM([1]forRPM!$L46:$AE46)</f>
        <v>0</v>
      </c>
      <c r="U151" s="120">
        <f>INDEX([1]forRPM!AF:AF,MATCH($AM151,[1]forRPM!$J:$J,0),1)+INDEX([1]forRPM!AF:AF,MATCH($AN151,[1]forRPM!$J:$J,0),1)</f>
        <v>8.2249796849696313E-2</v>
      </c>
      <c r="V151" s="120">
        <f>INDEX([1]!MeasureOutput,MATCH($F151,[1]M_Input_Out!$A$4:$A$83,0),12)</f>
        <v>0.24907713335323875</v>
      </c>
      <c r="W151" s="177" t="str">
        <f>[1]forRPM!A46</f>
        <v>LO5Med</v>
      </c>
      <c r="X151" s="38"/>
      <c r="Y151" s="38"/>
      <c r="Z151" s="38"/>
      <c r="AA151" s="38"/>
      <c r="AB151" s="38"/>
      <c r="AC151" s="38"/>
      <c r="AD151" s="38"/>
      <c r="AE151" s="38"/>
      <c r="AF151" s="38"/>
      <c r="AG151" s="38"/>
      <c r="AH151" s="38"/>
      <c r="AI151" s="38" t="s">
        <v>109</v>
      </c>
      <c r="AJ151" s="38" t="s">
        <v>444</v>
      </c>
      <c r="AK151" s="43" t="s">
        <v>428</v>
      </c>
      <c r="AL151" s="37" t="s">
        <v>76</v>
      </c>
      <c r="AM151" s="84" t="s">
        <v>557</v>
      </c>
      <c r="AN151" s="84" t="s">
        <v>558</v>
      </c>
    </row>
    <row r="152" spans="1:46" s="84" customFormat="1" ht="13.2" x14ac:dyDescent="0.25">
      <c r="A152" s="161" t="str">
        <f>"AG_"&amp;VLOOKUP($E152,MeasureTypeCode,2,0)&amp;"_"&amp;VLOOKUP($G152,State,2,0)&amp;COUNTIFS($E$3:$E152,$E152,$G$3:$G152,$G152)</f>
        <v>AG_Lighting_PNW1</v>
      </c>
      <c r="B152" s="79" t="s">
        <v>479</v>
      </c>
      <c r="C152" s="80" t="s">
        <v>106</v>
      </c>
      <c r="D152" s="80" t="s">
        <v>170</v>
      </c>
      <c r="E152" s="80" t="s">
        <v>170</v>
      </c>
      <c r="F152" s="80" t="str">
        <f>[6]M_Input!A8</f>
        <v>Exterior LED Area Light w/ New Photocell 20 - 29W</v>
      </c>
      <c r="G152" s="80" t="s">
        <v>196</v>
      </c>
      <c r="H152" s="79" t="s">
        <v>161</v>
      </c>
      <c r="I152" s="79" t="s">
        <v>171</v>
      </c>
      <c r="J152" s="80" t="str">
        <f>[6]M_Input!B8</f>
        <v>Lighting</v>
      </c>
      <c r="K152" s="81">
        <f>[6]M_Input!C8</f>
        <v>144.54</v>
      </c>
      <c r="L152" s="82">
        <f>[6]M_Input!D8</f>
        <v>11</v>
      </c>
      <c r="M152" s="83">
        <f>[6]M_Input!E8</f>
        <v>51.45739939398689</v>
      </c>
      <c r="N152" s="85">
        <f>[6]M_Input!F8</f>
        <v>0</v>
      </c>
      <c r="O152" s="80" t="str">
        <f>[6]M_Input!G8</f>
        <v>S-All-Lgt-Streetlight-All-All-U</v>
      </c>
      <c r="P152" s="80"/>
      <c r="Q152" s="122">
        <f>[6]forRPM!G3</f>
        <v>0</v>
      </c>
      <c r="R152" s="122">
        <f>[6]forRPM!H3</f>
        <v>159.30199839104753</v>
      </c>
      <c r="S152" s="122">
        <f>[6]forRPM!I3</f>
        <v>19.216396349856183</v>
      </c>
      <c r="T152" s="122">
        <f>SUM([6]forRPM!$L19:$AE19)</f>
        <v>0</v>
      </c>
      <c r="U152" s="122">
        <f>[6]forRPM!AF19</f>
        <v>0</v>
      </c>
      <c r="V152" s="122">
        <f>[6]forRPM!BF19</f>
        <v>0</v>
      </c>
      <c r="W152" s="179">
        <f>[6]forRPM!A19</f>
        <v>0</v>
      </c>
      <c r="X152" s="126">
        <f>[6]M_Input!I8</f>
        <v>-35.218166453248671</v>
      </c>
      <c r="Y152" s="127">
        <f>[6]M_Input!J8</f>
        <v>5</v>
      </c>
      <c r="Z152" s="80"/>
      <c r="AA152" s="80"/>
      <c r="AB152" s="80"/>
      <c r="AC152" s="80"/>
      <c r="AD152" s="80"/>
      <c r="AE152" s="80"/>
      <c r="AF152" s="80"/>
      <c r="AG152" s="80"/>
      <c r="AH152" s="80"/>
      <c r="AI152" s="80" t="s">
        <v>107</v>
      </c>
      <c r="AJ152" s="86" t="s">
        <v>511</v>
      </c>
      <c r="AK152" s="86" t="s">
        <v>434</v>
      </c>
      <c r="AL152" s="79" t="s">
        <v>66</v>
      </c>
    </row>
    <row r="153" spans="1:46" s="84" customFormat="1" ht="13.2" x14ac:dyDescent="0.25">
      <c r="A153" s="161" t="str">
        <f>"AG_"&amp;VLOOKUP($E153,MeasureTypeCode,2,0)&amp;"_"&amp;VLOOKUP($G153,State,2,0)&amp;COUNTIFS($E$3:$E153,$E153,$G$3:$G153,$G153)</f>
        <v>AG_Lighting_PNW2</v>
      </c>
      <c r="B153" s="79" t="s">
        <v>479</v>
      </c>
      <c r="C153" s="80" t="s">
        <v>106</v>
      </c>
      <c r="D153" s="80" t="s">
        <v>170</v>
      </c>
      <c r="E153" s="80" t="s">
        <v>170</v>
      </c>
      <c r="F153" s="80" t="str">
        <f>[6]M_Input!A9</f>
        <v>Exterior LED Area Light w/ New Photocell 30 - 44W</v>
      </c>
      <c r="G153" s="80" t="s">
        <v>196</v>
      </c>
      <c r="H153" s="79" t="s">
        <v>161</v>
      </c>
      <c r="I153" s="79" t="s">
        <v>171</v>
      </c>
      <c r="J153" s="80" t="str">
        <f>[6]M_Input!B9</f>
        <v>Lighting</v>
      </c>
      <c r="K153" s="81">
        <f>[6]M_Input!C9</f>
        <v>200.38499999999999</v>
      </c>
      <c r="L153" s="82">
        <f>[6]M_Input!D9</f>
        <v>11</v>
      </c>
      <c r="M153" s="83">
        <f>[6]M_Input!E9</f>
        <v>55.102060530051574</v>
      </c>
      <c r="N153" s="85">
        <f>[6]M_Input!F9</f>
        <v>0</v>
      </c>
      <c r="O153" s="80" t="str">
        <f>[6]M_Input!G9</f>
        <v>S-All-Lgt-Streetlight-All-All-U</v>
      </c>
      <c r="P153" s="80"/>
      <c r="Q153" s="122">
        <f>[6]forRPM!G4</f>
        <v>0</v>
      </c>
      <c r="R153" s="122">
        <f>[6]forRPM!H4</f>
        <v>220.85049776940679</v>
      </c>
      <c r="S153" s="122">
        <f>[6]forRPM!I4</f>
        <v>16.050766622774997</v>
      </c>
      <c r="T153" s="122">
        <f>SUM([6]forRPM!$L20:$AE20)</f>
        <v>0</v>
      </c>
      <c r="U153" s="122">
        <f>[6]forRPM!AF20</f>
        <v>0</v>
      </c>
      <c r="V153" s="122">
        <f>[6]forRPM!BF20</f>
        <v>0</v>
      </c>
      <c r="W153" s="179">
        <f>[6]forRPM!A20</f>
        <v>0</v>
      </c>
      <c r="X153" s="126">
        <f>[6]M_Input!I9</f>
        <v>-35.192255317183992</v>
      </c>
      <c r="Y153" s="127">
        <f>[6]M_Input!J9</f>
        <v>5</v>
      </c>
      <c r="Z153" s="80"/>
      <c r="AA153" s="80"/>
      <c r="AB153" s="80"/>
      <c r="AC153" s="80"/>
      <c r="AD153" s="80"/>
      <c r="AE153" s="80"/>
      <c r="AF153" s="80"/>
      <c r="AG153" s="80"/>
      <c r="AH153" s="80"/>
      <c r="AI153" s="80" t="s">
        <v>107</v>
      </c>
      <c r="AJ153" s="86" t="s">
        <v>511</v>
      </c>
      <c r="AK153" s="86" t="s">
        <v>434</v>
      </c>
      <c r="AL153" s="79" t="s">
        <v>66</v>
      </c>
    </row>
    <row r="154" spans="1:46" s="84" customFormat="1" ht="13.2" x14ac:dyDescent="0.25">
      <c r="A154" s="161" t="str">
        <f>"AG_"&amp;VLOOKUP($E154,MeasureTypeCode,2,0)&amp;"_"&amp;VLOOKUP($G154,State,2,0)&amp;COUNTIFS($E$3:$E154,$E154,$G$3:$G154,$G154)</f>
        <v>AG_Lighting_PNW3</v>
      </c>
      <c r="B154" s="79" t="s">
        <v>479</v>
      </c>
      <c r="C154" s="80" t="s">
        <v>106</v>
      </c>
      <c r="D154" s="80" t="s">
        <v>170</v>
      </c>
      <c r="E154" s="80" t="s">
        <v>170</v>
      </c>
      <c r="F154" s="80" t="str">
        <f>[6]M_Input!A10</f>
        <v>Exterior LED Area Light w/ New Photocell 45 - 59W</v>
      </c>
      <c r="G154" s="80" t="s">
        <v>196</v>
      </c>
      <c r="H154" s="79" t="s">
        <v>161</v>
      </c>
      <c r="I154" s="79" t="s">
        <v>171</v>
      </c>
      <c r="J154" s="80" t="str">
        <f>[6]M_Input!B10</f>
        <v>Lighting</v>
      </c>
      <c r="K154" s="81">
        <f>[6]M_Input!C10</f>
        <v>290.17500000000001</v>
      </c>
      <c r="L154" s="82">
        <f>[6]M_Input!D10</f>
        <v>11</v>
      </c>
      <c r="M154" s="83">
        <f>[6]M_Input!E10</f>
        <v>59.382821650292527</v>
      </c>
      <c r="N154" s="85">
        <f>[6]M_Input!F10</f>
        <v>0</v>
      </c>
      <c r="O154" s="80" t="str">
        <f>[6]M_Input!G10</f>
        <v>S-All-Lgt-Streetlight-All-All-U</v>
      </c>
      <c r="P154" s="80"/>
      <c r="Q154" s="122">
        <f>[6]forRPM!G5</f>
        <v>0</v>
      </c>
      <c r="R154" s="122">
        <f>[6]forRPM!H5</f>
        <v>319.81083010323937</v>
      </c>
      <c r="S154" s="122">
        <f>[6]forRPM!I5</f>
        <v>12.827236642615462</v>
      </c>
      <c r="T154" s="122">
        <f>SUM([6]forRPM!$L21:$AE21)</f>
        <v>0</v>
      </c>
      <c r="U154" s="122">
        <f>[6]forRPM!AF21</f>
        <v>0</v>
      </c>
      <c r="V154" s="122">
        <f>[6]forRPM!BF21</f>
        <v>0</v>
      </c>
      <c r="W154" s="179">
        <f>[6]forRPM!A21</f>
        <v>0</v>
      </c>
      <c r="X154" s="126">
        <f>[6]M_Input!I10</f>
        <v>-35.25399419694304</v>
      </c>
      <c r="Y154" s="127">
        <f>[6]M_Input!J10</f>
        <v>5</v>
      </c>
      <c r="Z154" s="80"/>
      <c r="AA154" s="80"/>
      <c r="AB154" s="80"/>
      <c r="AC154" s="80"/>
      <c r="AD154" s="80"/>
      <c r="AE154" s="80"/>
      <c r="AF154" s="80"/>
      <c r="AG154" s="80"/>
      <c r="AH154" s="80"/>
      <c r="AI154" s="80" t="s">
        <v>107</v>
      </c>
      <c r="AJ154" s="86" t="s">
        <v>511</v>
      </c>
      <c r="AK154" s="86" t="s">
        <v>434</v>
      </c>
      <c r="AL154" s="79" t="s">
        <v>66</v>
      </c>
    </row>
    <row r="155" spans="1:46" s="84" customFormat="1" ht="13.2" x14ac:dyDescent="0.25">
      <c r="A155" s="161" t="str">
        <f>"AG_"&amp;VLOOKUP($E155,MeasureTypeCode,2,0)&amp;"_"&amp;VLOOKUP($G155,State,2,0)&amp;COUNTIFS($E$3:$E155,$E155,$G$3:$G155,$G155)</f>
        <v>AG_Lighting_PNW4</v>
      </c>
      <c r="B155" s="79" t="s">
        <v>479</v>
      </c>
      <c r="C155" s="80" t="s">
        <v>106</v>
      </c>
      <c r="D155" s="80" t="s">
        <v>170</v>
      </c>
      <c r="E155" s="80" t="s">
        <v>170</v>
      </c>
      <c r="F155" s="80" t="str">
        <f>[6]M_Input!A11</f>
        <v>Exterior LED Area Light w/ New Photocell 60 - 75W</v>
      </c>
      <c r="G155" s="80" t="s">
        <v>196</v>
      </c>
      <c r="H155" s="79" t="s">
        <v>161</v>
      </c>
      <c r="I155" s="79" t="s">
        <v>171</v>
      </c>
      <c r="J155" s="80" t="str">
        <f>[6]M_Input!B11</f>
        <v>Lighting</v>
      </c>
      <c r="K155" s="81">
        <f>[6]M_Input!C11</f>
        <v>376.76549916341332</v>
      </c>
      <c r="L155" s="82">
        <f>[6]M_Input!D11</f>
        <v>11</v>
      </c>
      <c r="M155" s="83">
        <f>[6]M_Input!E11</f>
        <v>64.315519749543498</v>
      </c>
      <c r="N155" s="85">
        <f>[6]M_Input!F11</f>
        <v>0</v>
      </c>
      <c r="O155" s="80" t="str">
        <f>[6]M_Input!G11</f>
        <v>S-All-Lgt-Streetlight-All-All-U</v>
      </c>
      <c r="P155" s="80"/>
      <c r="Q155" s="122">
        <f>[6]forRPM!G6</f>
        <v>0</v>
      </c>
      <c r="R155" s="122">
        <f>[6]forRPM!H6</f>
        <v>415.24489374244007</v>
      </c>
      <c r="S155" s="122">
        <f>[6]forRPM!I6</f>
        <v>11.59699952031918</v>
      </c>
      <c r="T155" s="122">
        <f>SUM([6]forRPM!$L22:$AE22)</f>
        <v>0</v>
      </c>
      <c r="U155" s="122">
        <f>[6]forRPM!AF22</f>
        <v>0</v>
      </c>
      <c r="V155" s="122">
        <f>[6]forRPM!BF22</f>
        <v>0</v>
      </c>
      <c r="W155" s="179">
        <f>[6]forRPM!A22</f>
        <v>0</v>
      </c>
      <c r="X155" s="126">
        <f>[6]M_Input!I11</f>
        <v>-34.663796097692071</v>
      </c>
      <c r="Y155" s="127">
        <f>[6]M_Input!J11</f>
        <v>5</v>
      </c>
      <c r="Z155" s="80"/>
      <c r="AA155" s="80"/>
      <c r="AB155" s="80"/>
      <c r="AC155" s="80"/>
      <c r="AD155" s="80"/>
      <c r="AE155" s="80"/>
      <c r="AF155" s="80"/>
      <c r="AG155" s="80"/>
      <c r="AH155" s="80"/>
      <c r="AI155" s="80" t="s">
        <v>107</v>
      </c>
      <c r="AJ155" s="86" t="s">
        <v>511</v>
      </c>
      <c r="AK155" s="86" t="s">
        <v>434</v>
      </c>
      <c r="AL155" s="79" t="s">
        <v>66</v>
      </c>
    </row>
    <row r="156" spans="1:46" x14ac:dyDescent="0.3">
      <c r="A156" s="159" t="str">
        <f>"AG_"&amp;VLOOKUP($E156,MeasureTypeCode,2,0)&amp;"_"&amp;VLOOKUP($G156,State,2,0)&amp;COUNTIFS($E$3:$E156,$E156,$G$3:$G156,$G156)</f>
        <v>AG_EngBlockHt_ID1</v>
      </c>
      <c r="B156" s="37" t="s">
        <v>37</v>
      </c>
      <c r="C156" s="38" t="s">
        <v>455</v>
      </c>
      <c r="D156" s="38" t="s">
        <v>33</v>
      </c>
      <c r="E156" s="38" t="s">
        <v>79</v>
      </c>
      <c r="F156" s="38" t="str">
        <f>[7]M_Input!A8</f>
        <v>Stationary Engine Circulating Block Heater for Backup Generator (&lt; 800 kW) - Idaho</v>
      </c>
      <c r="G156" s="38" t="s">
        <v>22</v>
      </c>
      <c r="H156" s="37" t="s">
        <v>75</v>
      </c>
      <c r="I156" s="37" t="s">
        <v>171</v>
      </c>
      <c r="J156" s="38" t="str">
        <f>[7]M_Input!B8</f>
        <v>Engine Block Heating</v>
      </c>
      <c r="K156" s="39">
        <f>[7]M_Input!C8</f>
        <v>4506.1776755519932</v>
      </c>
      <c r="L156" s="40">
        <f>[7]M_Input!D8</f>
        <v>15</v>
      </c>
      <c r="M156" s="41">
        <f>[7]M_Input!E8</f>
        <v>1001.8702424024679</v>
      </c>
      <c r="N156" s="42">
        <f>[7]M_Input!F8</f>
        <v>0</v>
      </c>
      <c r="O156" s="124" t="str">
        <f>[7]M_Input!G8</f>
        <v>R-All-EBHC-HZ2-All-All-S</v>
      </c>
      <c r="P156" s="38"/>
      <c r="Q156" s="120">
        <f>[7]forRPM!F3</f>
        <v>2.2139376216045021</v>
      </c>
      <c r="R156" s="120">
        <f>[7]forRPM!H3</f>
        <v>5024.5639686388522</v>
      </c>
      <c r="S156" s="120">
        <f>[7]forRPM!I3</f>
        <v>23.568342940088094</v>
      </c>
      <c r="T156" s="120">
        <f>SUM([7]forRPM!$L3:$AE3)</f>
        <v>7.0443840047839698E-2</v>
      </c>
      <c r="U156" s="120">
        <f>[7]forRPM!AF3</f>
        <v>6.9701628950911587E-2</v>
      </c>
      <c r="V156" s="120">
        <f>[7]forRPM!BF3</f>
        <v>1.3536076849177108</v>
      </c>
      <c r="W156" s="177" t="str">
        <f>[7]forRPM!A3</f>
        <v>Retro5Med</v>
      </c>
      <c r="X156" s="38"/>
      <c r="Y156" s="38"/>
      <c r="Z156" s="38"/>
      <c r="AA156" s="38"/>
      <c r="AB156" s="38"/>
      <c r="AC156" s="38"/>
      <c r="AD156" s="38"/>
      <c r="AE156" s="38"/>
      <c r="AF156" s="38"/>
      <c r="AG156" s="38"/>
      <c r="AH156" s="38"/>
      <c r="AI156" s="38" t="s">
        <v>177</v>
      </c>
      <c r="AJ156" s="38" t="s">
        <v>429</v>
      </c>
      <c r="AK156" s="43" t="s">
        <v>453</v>
      </c>
      <c r="AL156" s="37" t="s">
        <v>76</v>
      </c>
      <c r="AM156" s="45"/>
      <c r="AN156" s="45"/>
      <c r="AO156" s="45"/>
      <c r="AP156" s="45"/>
      <c r="AQ156" s="45"/>
      <c r="AR156" s="45"/>
      <c r="AS156" s="45"/>
      <c r="AT156" s="45"/>
    </row>
    <row r="157" spans="1:46" x14ac:dyDescent="0.3">
      <c r="A157" s="159" t="str">
        <f>"AG_"&amp;VLOOKUP($E157,MeasureTypeCode,2,0)&amp;"_"&amp;VLOOKUP($G157,State,2,0)&amp;COUNTIFS($E$3:$E157,$E157,$G$3:$G157,$G157)</f>
        <v>AG_EngBlockHt_MT1</v>
      </c>
      <c r="B157" s="37" t="s">
        <v>37</v>
      </c>
      <c r="C157" s="38" t="s">
        <v>455</v>
      </c>
      <c r="D157" s="38" t="s">
        <v>33</v>
      </c>
      <c r="E157" s="38" t="s">
        <v>79</v>
      </c>
      <c r="F157" s="38" t="str">
        <f>[7]M_Input!A9</f>
        <v>Stationary Engine Circulating Block Heater for Backup Generator (&lt; 800 kW) - Montana</v>
      </c>
      <c r="G157" s="38" t="s">
        <v>25</v>
      </c>
      <c r="H157" s="37" t="s">
        <v>75</v>
      </c>
      <c r="I157" s="37" t="s">
        <v>171</v>
      </c>
      <c r="J157" s="38" t="str">
        <f>[7]M_Input!B9</f>
        <v>Engine Block Heating</v>
      </c>
      <c r="K157" s="39">
        <f>[7]M_Input!C9</f>
        <v>5114.5796911278785</v>
      </c>
      <c r="L157" s="40">
        <f>[7]M_Input!D9</f>
        <v>15</v>
      </c>
      <c r="M157" s="41">
        <f>[7]M_Input!E9</f>
        <v>1001.8702424024679</v>
      </c>
      <c r="N157" s="42">
        <f>[7]M_Input!F9</f>
        <v>0</v>
      </c>
      <c r="O157" s="124" t="str">
        <f>[7]M_Input!G9</f>
        <v>R-All-EBHC-HZ3-All-All-S</v>
      </c>
      <c r="P157" s="38"/>
      <c r="Q157" s="120">
        <f>[7]forRPM!F4</f>
        <v>2.2957796352499771</v>
      </c>
      <c r="R157" s="120">
        <f>[7]forRPM!H4</f>
        <v>5687.208943807027</v>
      </c>
      <c r="S157" s="120">
        <f>[7]forRPM!I4</f>
        <v>20.684531619381819</v>
      </c>
      <c r="T157" s="120">
        <f>SUM([7]forRPM!$L4:$AE4)</f>
        <v>2.0767843691206736E-3</v>
      </c>
      <c r="U157" s="120">
        <f>[7]forRPM!AF4</f>
        <v>2.0549029327361513E-3</v>
      </c>
      <c r="V157" s="120">
        <f>[7]forRPM!BF4</f>
        <v>1.5233946143492056</v>
      </c>
      <c r="W157" s="177" t="str">
        <f>[7]forRPM!A4</f>
        <v>Retro5Med</v>
      </c>
      <c r="X157" s="38"/>
      <c r="Y157" s="38"/>
      <c r="Z157" s="38"/>
      <c r="AA157" s="38"/>
      <c r="AB157" s="38"/>
      <c r="AC157" s="38"/>
      <c r="AD157" s="38"/>
      <c r="AE157" s="38"/>
      <c r="AF157" s="38"/>
      <c r="AG157" s="38"/>
      <c r="AH157" s="38"/>
      <c r="AI157" s="38" t="s">
        <v>177</v>
      </c>
      <c r="AJ157" s="38" t="s">
        <v>429</v>
      </c>
      <c r="AK157" s="43" t="s">
        <v>453</v>
      </c>
      <c r="AL157" s="37" t="s">
        <v>76</v>
      </c>
      <c r="AM157" s="45"/>
      <c r="AN157" s="45"/>
      <c r="AO157" s="45"/>
      <c r="AP157" s="45"/>
      <c r="AQ157" s="45"/>
      <c r="AR157" s="45"/>
      <c r="AS157" s="45"/>
      <c r="AT157" s="45"/>
    </row>
    <row r="158" spans="1:46" x14ac:dyDescent="0.3">
      <c r="A158" s="159" t="str">
        <f>"AG_"&amp;VLOOKUP($E158,MeasureTypeCode,2,0)&amp;"_"&amp;VLOOKUP($G158,State,2,0)&amp;COUNTIFS($E$3:$E158,$E158,$G$3:$G158,$G158)</f>
        <v>AG_EngBlockHt_OR1</v>
      </c>
      <c r="B158" s="37" t="s">
        <v>37</v>
      </c>
      <c r="C158" s="38" t="s">
        <v>455</v>
      </c>
      <c r="D158" s="38" t="s">
        <v>33</v>
      </c>
      <c r="E158" s="38" t="s">
        <v>79</v>
      </c>
      <c r="F158" s="38" t="str">
        <f>[7]M_Input!A10</f>
        <v>Stationary Engine Circulating Block Heater for Backup Generator (&lt; 800 kW) - Oregon</v>
      </c>
      <c r="G158" s="38" t="s">
        <v>24</v>
      </c>
      <c r="H158" s="37" t="s">
        <v>75</v>
      </c>
      <c r="I158" s="37" t="s">
        <v>171</v>
      </c>
      <c r="J158" s="38" t="str">
        <f>[7]M_Input!B10</f>
        <v>Engine Block Heating</v>
      </c>
      <c r="K158" s="39">
        <f>[7]M_Input!C10</f>
        <v>4506.1776755519932</v>
      </c>
      <c r="L158" s="40">
        <f>[7]M_Input!D10</f>
        <v>15</v>
      </c>
      <c r="M158" s="41">
        <f>[7]M_Input!E10</f>
        <v>1001.8702424024679</v>
      </c>
      <c r="N158" s="42">
        <f>[7]M_Input!F10</f>
        <v>0</v>
      </c>
      <c r="O158" s="124" t="str">
        <f>[7]M_Input!G10</f>
        <v>R-All-EBHC-HZ1-All-All-S</v>
      </c>
      <c r="P158" s="38"/>
      <c r="Q158" s="120">
        <f>[7]forRPM!F5</f>
        <v>2.7781570672344507</v>
      </c>
      <c r="R158" s="120">
        <f>[7]forRPM!H5</f>
        <v>5030.6438251518066</v>
      </c>
      <c r="S158" s="120">
        <f>[7]forRPM!I5</f>
        <v>22.465701720053907</v>
      </c>
      <c r="T158" s="120">
        <f>SUM([7]forRPM!$L5:$AE5)</f>
        <v>5.1068647552087149E-2</v>
      </c>
      <c r="U158" s="120">
        <f>[7]forRPM!AF5</f>
        <v>5.0530577553453769E-2</v>
      </c>
      <c r="V158" s="120">
        <f>[7]forRPM!BF5</f>
        <v>1.4182529365327812</v>
      </c>
      <c r="W158" s="177" t="str">
        <f>[7]forRPM!A5</f>
        <v>Retro5Med</v>
      </c>
      <c r="X158" s="38"/>
      <c r="Y158" s="38"/>
      <c r="Z158" s="38"/>
      <c r="AA158" s="38"/>
      <c r="AB158" s="38"/>
      <c r="AC158" s="38"/>
      <c r="AD158" s="38"/>
      <c r="AE158" s="38"/>
      <c r="AF158" s="38"/>
      <c r="AG158" s="38"/>
      <c r="AH158" s="38"/>
      <c r="AI158" s="38" t="s">
        <v>177</v>
      </c>
      <c r="AJ158" s="38" t="s">
        <v>429</v>
      </c>
      <c r="AK158" s="43" t="s">
        <v>453</v>
      </c>
      <c r="AL158" s="37" t="s">
        <v>76</v>
      </c>
      <c r="AM158" s="45"/>
      <c r="AN158" s="45"/>
      <c r="AO158" s="45"/>
      <c r="AP158" s="45"/>
      <c r="AQ158" s="45"/>
      <c r="AR158" s="45"/>
      <c r="AS158" s="45"/>
      <c r="AT158" s="45"/>
    </row>
    <row r="159" spans="1:46" x14ac:dyDescent="0.3">
      <c r="A159" s="159" t="str">
        <f>"AG_"&amp;VLOOKUP($E159,MeasureTypeCode,2,0)&amp;"_"&amp;VLOOKUP($G159,State,2,0)&amp;COUNTIFS($E$3:$E159,$E159,$G$3:$G159,$G159)</f>
        <v>AG_EngBlockHt_WA1</v>
      </c>
      <c r="B159" s="37" t="s">
        <v>37</v>
      </c>
      <c r="C159" s="38" t="s">
        <v>455</v>
      </c>
      <c r="D159" s="38" t="s">
        <v>33</v>
      </c>
      <c r="E159" s="38" t="s">
        <v>79</v>
      </c>
      <c r="F159" s="38" t="str">
        <f>[7]M_Input!A11</f>
        <v>Stationary Engine Circulating Block Heater for Backup Generator (&lt; 800 kW) - Washington</v>
      </c>
      <c r="G159" s="38" t="s">
        <v>23</v>
      </c>
      <c r="H159" s="37" t="s">
        <v>75</v>
      </c>
      <c r="I159" s="37" t="s">
        <v>171</v>
      </c>
      <c r="J159" s="38" t="str">
        <f>[7]M_Input!B11</f>
        <v>Engine Block Heating</v>
      </c>
      <c r="K159" s="39">
        <f>[7]M_Input!C11</f>
        <v>3352.9172616469086</v>
      </c>
      <c r="L159" s="40">
        <f>[7]M_Input!D11</f>
        <v>15</v>
      </c>
      <c r="M159" s="41">
        <f>[7]M_Input!E11</f>
        <v>1001.8702424024679</v>
      </c>
      <c r="N159" s="42">
        <f>[7]M_Input!F11</f>
        <v>0</v>
      </c>
      <c r="O159" s="124" t="str">
        <f>[7]M_Input!G11</f>
        <v>R-All-EBHC-HZ1-All-All-S</v>
      </c>
      <c r="P159" s="38"/>
      <c r="Q159" s="120">
        <f>[7]forRPM!F6</f>
        <v>2.0671468053366739</v>
      </c>
      <c r="R159" s="120">
        <f>[7]forRPM!H6</f>
        <v>3743.1574458463247</v>
      </c>
      <c r="S159" s="120">
        <f>[7]forRPM!I6</f>
        <v>32.012629271526571</v>
      </c>
      <c r="T159" s="120">
        <f>SUM([7]forRPM!$L6:$AE6)</f>
        <v>0.11429346697815376</v>
      </c>
      <c r="U159" s="120">
        <f>[7]forRPM!AF6</f>
        <v>0.11308924700036765</v>
      </c>
      <c r="V159" s="120">
        <f>[7]forRPM!BF6</f>
        <v>1.0552812371517661</v>
      </c>
      <c r="W159" s="177" t="str">
        <f>[7]forRPM!A6</f>
        <v>Retro5Med</v>
      </c>
      <c r="X159" s="38"/>
      <c r="Y159" s="38"/>
      <c r="Z159" s="38"/>
      <c r="AA159" s="38"/>
      <c r="AB159" s="38"/>
      <c r="AC159" s="38"/>
      <c r="AD159" s="38"/>
      <c r="AE159" s="38"/>
      <c r="AF159" s="38"/>
      <c r="AG159" s="38"/>
      <c r="AH159" s="38"/>
      <c r="AI159" s="38" t="s">
        <v>177</v>
      </c>
      <c r="AJ159" s="38" t="s">
        <v>429</v>
      </c>
      <c r="AK159" s="43" t="s">
        <v>453</v>
      </c>
      <c r="AL159" s="37" t="s">
        <v>76</v>
      </c>
      <c r="AM159" s="45"/>
      <c r="AN159" s="45"/>
      <c r="AO159" s="45"/>
      <c r="AP159" s="45"/>
      <c r="AQ159" s="45"/>
      <c r="AR159" s="45"/>
      <c r="AS159" s="45"/>
      <c r="AT159" s="45"/>
    </row>
    <row r="160" spans="1:46" x14ac:dyDescent="0.3">
      <c r="A160" s="173"/>
      <c r="B160" s="44"/>
      <c r="C160" s="45"/>
      <c r="D160" s="45"/>
      <c r="E160" s="45"/>
      <c r="F160" s="45"/>
      <c r="G160" s="45"/>
      <c r="H160" s="44"/>
      <c r="I160" s="44"/>
      <c r="J160" s="45"/>
      <c r="K160" s="45"/>
      <c r="L160" s="44"/>
      <c r="M160" s="45"/>
      <c r="N160" s="45"/>
      <c r="O160" s="45"/>
      <c r="P160" s="45"/>
      <c r="Q160" s="45"/>
      <c r="R160" s="45"/>
      <c r="S160" s="45"/>
      <c r="T160" s="183"/>
      <c r="U160" s="183"/>
      <c r="V160" s="45"/>
      <c r="W160" s="173"/>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row>
    <row r="161" spans="1:46" x14ac:dyDescent="0.3">
      <c r="A161" s="173"/>
      <c r="B161" s="44"/>
      <c r="C161" s="45"/>
      <c r="D161" s="45"/>
      <c r="E161" s="45"/>
      <c r="F161" s="45"/>
      <c r="G161" s="45"/>
      <c r="H161" s="44"/>
      <c r="I161" s="44"/>
      <c r="J161" s="45"/>
      <c r="K161" s="45"/>
      <c r="L161" s="44"/>
      <c r="M161" s="45"/>
      <c r="N161" s="45"/>
      <c r="O161" s="45"/>
      <c r="P161" s="45"/>
      <c r="Q161" s="45"/>
      <c r="R161" s="45"/>
      <c r="S161" s="45"/>
      <c r="T161" s="45"/>
      <c r="U161" s="45"/>
      <c r="V161" s="45"/>
      <c r="W161" s="173"/>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row>
    <row r="162" spans="1:46" x14ac:dyDescent="0.3">
      <c r="A162" s="173"/>
      <c r="B162" s="44"/>
      <c r="C162" s="45"/>
      <c r="D162" s="45"/>
      <c r="E162" s="45"/>
      <c r="F162" s="45"/>
      <c r="G162" s="45"/>
      <c r="H162" s="44"/>
      <c r="I162" s="44"/>
      <c r="J162" s="45"/>
      <c r="K162" s="45"/>
      <c r="L162" s="44"/>
      <c r="M162" s="45"/>
      <c r="N162" s="45"/>
      <c r="O162" s="45"/>
      <c r="P162" s="45"/>
      <c r="Q162" s="45"/>
      <c r="R162" s="45"/>
      <c r="S162" s="45"/>
      <c r="T162" s="45"/>
      <c r="U162" s="45"/>
      <c r="V162" s="45"/>
      <c r="W162" s="173"/>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row>
    <row r="163" spans="1:46" x14ac:dyDescent="0.3">
      <c r="A163" s="173"/>
      <c r="B163" s="44"/>
      <c r="C163" s="45"/>
      <c r="D163" s="45"/>
      <c r="E163" s="45"/>
      <c r="F163" s="45"/>
      <c r="G163" s="45"/>
      <c r="H163" s="44"/>
      <c r="I163" s="44"/>
      <c r="J163" s="45"/>
      <c r="K163" s="45"/>
      <c r="L163" s="44"/>
      <c r="M163" s="45"/>
      <c r="N163" s="45"/>
      <c r="O163" s="45"/>
      <c r="P163" s="45"/>
      <c r="Q163" s="45"/>
      <c r="R163" s="45"/>
      <c r="S163" s="45"/>
      <c r="T163" s="45"/>
      <c r="U163" s="45"/>
      <c r="V163" s="45"/>
      <c r="W163" s="173"/>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row>
    <row r="164" spans="1:46" x14ac:dyDescent="0.3">
      <c r="A164" s="173"/>
      <c r="B164" s="44"/>
      <c r="C164" s="45"/>
      <c r="D164" s="45"/>
      <c r="E164" s="45"/>
      <c r="F164" s="45"/>
      <c r="G164" s="45"/>
      <c r="H164" s="44"/>
      <c r="I164" s="44"/>
      <c r="J164" s="45"/>
      <c r="K164" s="45"/>
      <c r="L164" s="44"/>
      <c r="M164" s="45"/>
      <c r="N164" s="45"/>
      <c r="O164" s="45"/>
      <c r="P164" s="45"/>
      <c r="Q164" s="45"/>
      <c r="R164" s="45"/>
      <c r="S164" s="45"/>
      <c r="T164" s="45"/>
      <c r="U164" s="45"/>
      <c r="V164" s="45"/>
      <c r="W164" s="173"/>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row>
    <row r="165" spans="1:46" x14ac:dyDescent="0.3">
      <c r="A165" s="173"/>
      <c r="B165" s="44"/>
      <c r="C165" s="45"/>
      <c r="D165" s="45"/>
      <c r="E165" s="45"/>
      <c r="F165" s="45"/>
      <c r="G165" s="45"/>
      <c r="H165" s="44"/>
      <c r="I165" s="44"/>
      <c r="J165" s="45"/>
      <c r="K165" s="45"/>
      <c r="L165" s="44"/>
      <c r="M165" s="45"/>
      <c r="N165" s="45"/>
      <c r="O165" s="45"/>
      <c r="P165" s="45"/>
      <c r="Q165" s="45"/>
      <c r="R165" s="45"/>
      <c r="S165" s="45"/>
      <c r="T165" s="45"/>
      <c r="U165" s="45"/>
      <c r="V165" s="45"/>
      <c r="W165" s="173"/>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row>
    <row r="166" spans="1:46" x14ac:dyDescent="0.3">
      <c r="A166" s="173"/>
      <c r="B166" s="44"/>
      <c r="C166" s="45"/>
      <c r="D166" s="45"/>
      <c r="E166" s="45"/>
      <c r="F166" s="45"/>
      <c r="G166" s="45"/>
      <c r="H166" s="44"/>
      <c r="I166" s="44"/>
      <c r="J166" s="45"/>
      <c r="K166" s="45"/>
      <c r="L166" s="44"/>
      <c r="M166" s="45"/>
      <c r="N166" s="45"/>
      <c r="O166" s="45"/>
      <c r="P166" s="45"/>
      <c r="Q166" s="45"/>
      <c r="R166" s="45"/>
      <c r="S166" s="45"/>
      <c r="T166" s="45"/>
      <c r="U166" s="45"/>
      <c r="V166" s="45"/>
      <c r="W166" s="173"/>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row>
    <row r="167" spans="1:46" x14ac:dyDescent="0.3">
      <c r="A167" s="173"/>
      <c r="B167" s="44"/>
      <c r="C167" s="45"/>
      <c r="D167" s="45"/>
      <c r="E167" s="45"/>
      <c r="F167" s="45"/>
      <c r="G167" s="45"/>
      <c r="H167" s="44"/>
      <c r="I167" s="44"/>
      <c r="J167" s="45"/>
      <c r="K167" s="45"/>
      <c r="L167" s="44"/>
      <c r="M167" s="45"/>
      <c r="N167" s="45"/>
      <c r="O167" s="45"/>
      <c r="P167" s="45"/>
      <c r="Q167" s="45"/>
      <c r="R167" s="45"/>
      <c r="S167" s="45"/>
      <c r="T167" s="45"/>
      <c r="U167" s="45"/>
      <c r="V167" s="45"/>
      <c r="W167" s="173"/>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row>
    <row r="168" spans="1:46" x14ac:dyDescent="0.3">
      <c r="A168" s="173"/>
      <c r="B168" s="44"/>
      <c r="C168" s="45"/>
      <c r="D168" s="45"/>
      <c r="E168" s="45"/>
      <c r="F168" s="45"/>
      <c r="G168" s="45"/>
      <c r="H168" s="44"/>
      <c r="I168" s="44"/>
      <c r="J168" s="45"/>
      <c r="K168" s="45"/>
      <c r="L168" s="44"/>
      <c r="M168" s="45"/>
      <c r="N168" s="45"/>
      <c r="O168" s="45"/>
      <c r="P168" s="45"/>
      <c r="Q168" s="45"/>
      <c r="R168" s="45"/>
      <c r="S168" s="45"/>
      <c r="T168" s="45"/>
      <c r="U168" s="45"/>
      <c r="V168" s="45"/>
      <c r="W168" s="173"/>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row>
    <row r="169" spans="1:46" x14ac:dyDescent="0.3">
      <c r="A169" s="173"/>
      <c r="B169" s="44"/>
      <c r="C169" s="45"/>
      <c r="D169" s="45"/>
      <c r="E169" s="45"/>
      <c r="F169" s="45"/>
      <c r="G169" s="45"/>
      <c r="H169" s="44"/>
      <c r="I169" s="44"/>
      <c r="J169" s="45"/>
      <c r="K169" s="45"/>
      <c r="L169" s="44"/>
      <c r="M169" s="45"/>
      <c r="N169" s="45"/>
      <c r="O169" s="45"/>
      <c r="P169" s="45"/>
      <c r="Q169" s="45"/>
      <c r="R169" s="45"/>
      <c r="S169" s="45"/>
      <c r="T169" s="45"/>
      <c r="U169" s="45"/>
      <c r="V169" s="45"/>
      <c r="W169" s="173"/>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row>
    <row r="170" spans="1:46" x14ac:dyDescent="0.3">
      <c r="A170" s="173"/>
      <c r="B170" s="44"/>
      <c r="C170" s="45"/>
      <c r="D170" s="45"/>
      <c r="E170" s="45"/>
      <c r="F170" s="45"/>
      <c r="G170" s="45"/>
      <c r="H170" s="44"/>
      <c r="I170" s="44"/>
      <c r="J170" s="45"/>
      <c r="K170" s="45"/>
      <c r="L170" s="44"/>
      <c r="M170" s="45"/>
      <c r="N170" s="45"/>
      <c r="O170" s="45"/>
      <c r="P170" s="45"/>
      <c r="Q170" s="45"/>
      <c r="R170" s="45"/>
      <c r="S170" s="45"/>
      <c r="T170" s="45"/>
      <c r="U170" s="45"/>
      <c r="V170" s="45"/>
      <c r="W170" s="173"/>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row>
    <row r="171" spans="1:46" x14ac:dyDescent="0.3">
      <c r="A171" s="173"/>
      <c r="B171" s="44"/>
      <c r="C171" s="45"/>
      <c r="D171" s="45"/>
      <c r="E171" s="45"/>
      <c r="F171" s="45"/>
      <c r="G171" s="45"/>
      <c r="H171" s="44"/>
      <c r="I171" s="44"/>
      <c r="J171" s="45"/>
      <c r="K171" s="45"/>
      <c r="L171" s="44"/>
      <c r="M171" s="45"/>
      <c r="N171" s="45"/>
      <c r="O171" s="45"/>
      <c r="P171" s="45"/>
      <c r="Q171" s="45"/>
      <c r="R171" s="45"/>
      <c r="S171" s="45"/>
      <c r="T171" s="45"/>
      <c r="U171" s="45"/>
      <c r="V171" s="45"/>
      <c r="W171" s="173"/>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row>
    <row r="172" spans="1:46" x14ac:dyDescent="0.3">
      <c r="A172" s="173"/>
      <c r="B172" s="44"/>
      <c r="C172" s="45"/>
      <c r="D172" s="45"/>
      <c r="E172" s="45"/>
      <c r="F172" s="45"/>
      <c r="G172" s="45"/>
      <c r="H172" s="44"/>
      <c r="I172" s="44"/>
      <c r="J172" s="45"/>
      <c r="K172" s="45"/>
      <c r="L172" s="44"/>
      <c r="M172" s="45"/>
      <c r="N172" s="45"/>
      <c r="O172" s="45"/>
      <c r="P172" s="45"/>
      <c r="Q172" s="45"/>
      <c r="R172" s="45"/>
      <c r="S172" s="45"/>
      <c r="T172" s="45"/>
      <c r="U172" s="45"/>
      <c r="V172" s="45"/>
      <c r="W172" s="173"/>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row>
    <row r="173" spans="1:46" x14ac:dyDescent="0.3">
      <c r="A173" s="173"/>
      <c r="B173" s="44"/>
      <c r="C173" s="45"/>
      <c r="D173" s="45"/>
      <c r="E173" s="45"/>
      <c r="F173" s="45"/>
      <c r="G173" s="45"/>
      <c r="H173" s="44"/>
      <c r="I173" s="44"/>
      <c r="J173" s="45"/>
      <c r="K173" s="45"/>
      <c r="L173" s="44"/>
      <c r="M173" s="45"/>
      <c r="N173" s="45"/>
      <c r="O173" s="45"/>
      <c r="P173" s="45"/>
      <c r="Q173" s="45"/>
      <c r="R173" s="45"/>
      <c r="S173" s="45"/>
      <c r="T173" s="45"/>
      <c r="U173" s="45"/>
      <c r="V173" s="45"/>
      <c r="W173" s="173"/>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row>
    <row r="174" spans="1:46" x14ac:dyDescent="0.3">
      <c r="A174" s="173"/>
      <c r="B174" s="44"/>
      <c r="C174" s="45"/>
      <c r="D174" s="45"/>
      <c r="E174" s="45"/>
      <c r="F174" s="45"/>
      <c r="G174" s="45"/>
      <c r="H174" s="44"/>
      <c r="I174" s="44"/>
      <c r="J174" s="45"/>
      <c r="K174" s="45"/>
      <c r="L174" s="44"/>
      <c r="M174" s="45"/>
      <c r="N174" s="45"/>
      <c r="O174" s="45"/>
      <c r="P174" s="45"/>
      <c r="Q174" s="45"/>
      <c r="R174" s="45"/>
      <c r="S174" s="45"/>
      <c r="T174" s="45"/>
      <c r="U174" s="45"/>
      <c r="V174" s="45"/>
      <c r="W174" s="173"/>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row>
    <row r="175" spans="1:46" x14ac:dyDescent="0.3">
      <c r="A175" s="173"/>
      <c r="B175" s="44"/>
      <c r="C175" s="45"/>
      <c r="D175" s="45"/>
      <c r="E175" s="45"/>
      <c r="F175" s="45"/>
      <c r="G175" s="45"/>
      <c r="H175" s="44"/>
      <c r="I175" s="44"/>
      <c r="J175" s="45"/>
      <c r="K175" s="45"/>
      <c r="L175" s="44"/>
      <c r="M175" s="45"/>
      <c r="N175" s="45"/>
      <c r="O175" s="45"/>
      <c r="P175" s="45"/>
      <c r="Q175" s="45"/>
      <c r="R175" s="45"/>
      <c r="S175" s="45"/>
      <c r="T175" s="45"/>
      <c r="U175" s="45"/>
      <c r="V175" s="45"/>
      <c r="W175" s="173"/>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row>
    <row r="176" spans="1:46" x14ac:dyDescent="0.3">
      <c r="A176" s="173"/>
      <c r="B176" s="44"/>
      <c r="C176" s="45"/>
      <c r="D176" s="45"/>
      <c r="E176" s="45"/>
      <c r="F176" s="45"/>
      <c r="G176" s="45"/>
      <c r="H176" s="44"/>
      <c r="I176" s="44"/>
      <c r="J176" s="45"/>
      <c r="K176" s="45"/>
      <c r="L176" s="44"/>
      <c r="M176" s="45"/>
      <c r="N176" s="45"/>
      <c r="O176" s="45"/>
      <c r="P176" s="45"/>
      <c r="Q176" s="45"/>
      <c r="R176" s="45"/>
      <c r="S176" s="45"/>
      <c r="T176" s="45"/>
      <c r="U176" s="45"/>
      <c r="V176" s="45"/>
      <c r="W176" s="173"/>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row>
    <row r="177" spans="1:46" x14ac:dyDescent="0.3">
      <c r="A177" s="173"/>
      <c r="B177" s="44"/>
      <c r="C177" s="45"/>
      <c r="D177" s="45"/>
      <c r="E177" s="45"/>
      <c r="F177" s="45"/>
      <c r="G177" s="45"/>
      <c r="H177" s="44"/>
      <c r="I177" s="44"/>
      <c r="J177" s="45"/>
      <c r="K177" s="45"/>
      <c r="L177" s="44"/>
      <c r="M177" s="45"/>
      <c r="N177" s="45"/>
      <c r="O177" s="45"/>
      <c r="P177" s="45"/>
      <c r="Q177" s="45"/>
      <c r="R177" s="45"/>
      <c r="S177" s="45"/>
      <c r="T177" s="45"/>
      <c r="U177" s="45"/>
      <c r="V177" s="45"/>
      <c r="W177" s="173"/>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row>
    <row r="178" spans="1:46" x14ac:dyDescent="0.3">
      <c r="A178" s="173"/>
      <c r="B178" s="44"/>
      <c r="C178" s="45"/>
      <c r="D178" s="45"/>
      <c r="E178" s="45"/>
      <c r="F178" s="45"/>
      <c r="G178" s="45"/>
      <c r="H178" s="44"/>
      <c r="I178" s="44"/>
      <c r="J178" s="45"/>
      <c r="K178" s="45"/>
      <c r="L178" s="44"/>
      <c r="M178" s="45"/>
      <c r="N178" s="45"/>
      <c r="O178" s="45"/>
      <c r="P178" s="45"/>
      <c r="Q178" s="45"/>
      <c r="R178" s="45"/>
      <c r="S178" s="45"/>
      <c r="T178" s="45"/>
      <c r="U178" s="45"/>
      <c r="V178" s="45"/>
      <c r="W178" s="173"/>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row>
    <row r="179" spans="1:46" x14ac:dyDescent="0.3">
      <c r="A179" s="173"/>
      <c r="B179" s="44"/>
      <c r="C179" s="45"/>
      <c r="D179" s="45"/>
      <c r="E179" s="45"/>
      <c r="F179" s="45"/>
      <c r="G179" s="45"/>
      <c r="H179" s="44"/>
      <c r="I179" s="44"/>
      <c r="J179" s="45"/>
      <c r="K179" s="45"/>
      <c r="L179" s="44"/>
      <c r="M179" s="45"/>
      <c r="N179" s="45"/>
      <c r="O179" s="45"/>
      <c r="P179" s="45"/>
      <c r="Q179" s="45"/>
      <c r="R179" s="45"/>
      <c r="S179" s="45"/>
      <c r="T179" s="45"/>
      <c r="U179" s="45"/>
      <c r="V179" s="45"/>
      <c r="W179" s="173"/>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row>
    <row r="180" spans="1:46" x14ac:dyDescent="0.3">
      <c r="A180" s="173"/>
      <c r="B180" s="44"/>
      <c r="C180" s="45"/>
      <c r="D180" s="45"/>
      <c r="E180" s="45"/>
      <c r="F180" s="45"/>
      <c r="G180" s="45"/>
      <c r="H180" s="44"/>
      <c r="I180" s="44"/>
      <c r="J180" s="45"/>
      <c r="K180" s="45"/>
      <c r="L180" s="44"/>
      <c r="M180" s="45"/>
      <c r="N180" s="45"/>
      <c r="O180" s="45"/>
      <c r="P180" s="45"/>
      <c r="Q180" s="45"/>
      <c r="R180" s="45"/>
      <c r="S180" s="45"/>
      <c r="T180" s="45"/>
      <c r="U180" s="45"/>
      <c r="V180" s="45"/>
      <c r="W180" s="173"/>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row>
    <row r="181" spans="1:46" x14ac:dyDescent="0.3">
      <c r="A181" s="173"/>
      <c r="B181" s="44"/>
      <c r="C181" s="45"/>
      <c r="D181" s="45"/>
      <c r="E181" s="45"/>
      <c r="F181" s="45"/>
      <c r="G181" s="45"/>
      <c r="H181" s="44"/>
      <c r="I181" s="44"/>
      <c r="J181" s="45"/>
      <c r="K181" s="45"/>
      <c r="L181" s="44"/>
      <c r="M181" s="45"/>
      <c r="N181" s="45"/>
      <c r="O181" s="45"/>
      <c r="P181" s="45"/>
      <c r="Q181" s="45"/>
      <c r="R181" s="45"/>
      <c r="S181" s="45"/>
      <c r="T181" s="45"/>
      <c r="U181" s="45"/>
      <c r="V181" s="45"/>
      <c r="W181" s="173"/>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row>
    <row r="182" spans="1:46" x14ac:dyDescent="0.3">
      <c r="A182" s="173"/>
      <c r="B182" s="44"/>
      <c r="C182" s="45"/>
      <c r="D182" s="45"/>
      <c r="E182" s="45"/>
      <c r="F182" s="45"/>
      <c r="G182" s="45"/>
      <c r="H182" s="44"/>
      <c r="I182" s="44"/>
      <c r="J182" s="45"/>
      <c r="K182" s="45"/>
      <c r="L182" s="44"/>
      <c r="M182" s="45"/>
      <c r="N182" s="45"/>
      <c r="O182" s="45"/>
      <c r="P182" s="45"/>
      <c r="Q182" s="45"/>
      <c r="R182" s="45"/>
      <c r="S182" s="45"/>
      <c r="T182" s="45"/>
      <c r="U182" s="45"/>
      <c r="V182" s="45"/>
      <c r="W182" s="173"/>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row>
    <row r="183" spans="1:46" x14ac:dyDescent="0.3">
      <c r="A183" s="173"/>
      <c r="B183" s="44"/>
      <c r="C183" s="45"/>
      <c r="D183" s="45"/>
      <c r="E183" s="45"/>
      <c r="F183" s="45"/>
      <c r="G183" s="45"/>
      <c r="H183" s="44"/>
      <c r="I183" s="44"/>
      <c r="J183" s="45"/>
      <c r="K183" s="45"/>
      <c r="L183" s="44"/>
      <c r="M183" s="45"/>
      <c r="N183" s="45"/>
      <c r="O183" s="45"/>
      <c r="P183" s="45"/>
      <c r="Q183" s="45"/>
      <c r="R183" s="45"/>
      <c r="S183" s="45"/>
      <c r="T183" s="45"/>
      <c r="U183" s="45"/>
      <c r="V183" s="45"/>
      <c r="W183" s="173"/>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row>
    <row r="184" spans="1:46" x14ac:dyDescent="0.3">
      <c r="A184" s="173"/>
      <c r="B184" s="44"/>
      <c r="C184" s="45"/>
      <c r="D184" s="45"/>
      <c r="E184" s="45"/>
      <c r="F184" s="45"/>
      <c r="G184" s="45"/>
      <c r="H184" s="44"/>
      <c r="I184" s="44"/>
      <c r="J184" s="45"/>
      <c r="K184" s="45"/>
      <c r="L184" s="44"/>
      <c r="M184" s="45"/>
      <c r="N184" s="45"/>
      <c r="O184" s="45"/>
      <c r="P184" s="45"/>
      <c r="Q184" s="45"/>
      <c r="R184" s="45"/>
      <c r="S184" s="45"/>
      <c r="T184" s="45"/>
      <c r="U184" s="45"/>
      <c r="V184" s="45"/>
      <c r="W184" s="173"/>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row>
    <row r="185" spans="1:46" x14ac:dyDescent="0.3">
      <c r="A185" s="173"/>
      <c r="B185" s="44"/>
      <c r="C185" s="45"/>
      <c r="D185" s="45"/>
      <c r="E185" s="45"/>
      <c r="F185" s="45"/>
      <c r="G185" s="45"/>
      <c r="H185" s="44"/>
      <c r="I185" s="44"/>
      <c r="J185" s="45"/>
      <c r="K185" s="45"/>
      <c r="L185" s="44"/>
      <c r="M185" s="45"/>
      <c r="N185" s="45"/>
      <c r="O185" s="45"/>
      <c r="P185" s="45"/>
      <c r="Q185" s="45"/>
      <c r="R185" s="45"/>
      <c r="S185" s="45"/>
      <c r="T185" s="45"/>
      <c r="U185" s="45"/>
      <c r="V185" s="45"/>
      <c r="W185" s="173"/>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row>
    <row r="186" spans="1:46" x14ac:dyDescent="0.3">
      <c r="A186" s="173"/>
      <c r="B186" s="44"/>
      <c r="C186" s="45"/>
      <c r="D186" s="45"/>
      <c r="E186" s="45"/>
      <c r="F186" s="45"/>
      <c r="G186" s="45"/>
      <c r="H186" s="44"/>
      <c r="I186" s="44"/>
      <c r="J186" s="45"/>
      <c r="K186" s="45"/>
      <c r="L186" s="44"/>
      <c r="M186" s="45"/>
      <c r="N186" s="45"/>
      <c r="O186" s="45"/>
      <c r="P186" s="45"/>
      <c r="Q186" s="45"/>
      <c r="R186" s="45"/>
      <c r="S186" s="45"/>
      <c r="T186" s="45"/>
      <c r="U186" s="45"/>
      <c r="V186" s="45"/>
      <c r="W186" s="173"/>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row>
    <row r="187" spans="1:46" x14ac:dyDescent="0.3">
      <c r="A187" s="173"/>
      <c r="B187" s="44"/>
      <c r="C187" s="45"/>
      <c r="D187" s="45"/>
      <c r="E187" s="45"/>
      <c r="F187" s="45"/>
      <c r="G187" s="45"/>
      <c r="H187" s="44"/>
      <c r="I187" s="44"/>
      <c r="J187" s="45"/>
      <c r="K187" s="45"/>
      <c r="L187" s="44"/>
      <c r="M187" s="45"/>
      <c r="N187" s="45"/>
      <c r="O187" s="45"/>
      <c r="P187" s="45"/>
      <c r="Q187" s="45"/>
      <c r="R187" s="45"/>
      <c r="S187" s="45"/>
      <c r="T187" s="45"/>
      <c r="U187" s="45"/>
      <c r="V187" s="45"/>
      <c r="W187" s="173"/>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row>
    <row r="188" spans="1:46" x14ac:dyDescent="0.3">
      <c r="A188" s="173"/>
      <c r="B188" s="44"/>
      <c r="C188" s="45"/>
      <c r="D188" s="45"/>
      <c r="E188" s="45"/>
      <c r="F188" s="45"/>
      <c r="G188" s="45"/>
      <c r="H188" s="44"/>
      <c r="I188" s="44"/>
      <c r="J188" s="45"/>
      <c r="K188" s="45"/>
      <c r="L188" s="44"/>
      <c r="M188" s="45"/>
      <c r="N188" s="45"/>
      <c r="O188" s="45"/>
      <c r="P188" s="45"/>
      <c r="Q188" s="45"/>
      <c r="R188" s="45"/>
      <c r="S188" s="45"/>
      <c r="T188" s="45"/>
      <c r="U188" s="45"/>
      <c r="V188" s="45"/>
      <c r="W188" s="173"/>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row>
    <row r="189" spans="1:46" x14ac:dyDescent="0.3">
      <c r="A189" s="173"/>
      <c r="B189" s="44"/>
      <c r="C189" s="45"/>
      <c r="D189" s="45"/>
      <c r="E189" s="45"/>
      <c r="F189" s="45"/>
      <c r="G189" s="45"/>
      <c r="H189" s="44"/>
      <c r="I189" s="44"/>
      <c r="J189" s="45"/>
      <c r="K189" s="45"/>
      <c r="L189" s="44"/>
      <c r="M189" s="45"/>
      <c r="N189" s="45"/>
      <c r="O189" s="45"/>
      <c r="P189" s="45"/>
      <c r="Q189" s="45"/>
      <c r="R189" s="45"/>
      <c r="S189" s="45"/>
      <c r="T189" s="45"/>
      <c r="U189" s="45"/>
      <c r="V189" s="45"/>
      <c r="W189" s="173"/>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row>
    <row r="190" spans="1:46" x14ac:dyDescent="0.3">
      <c r="A190" s="173"/>
      <c r="B190" s="44"/>
      <c r="C190" s="45"/>
      <c r="D190" s="45"/>
      <c r="E190" s="45"/>
      <c r="F190" s="45"/>
      <c r="G190" s="45"/>
      <c r="H190" s="44"/>
      <c r="I190" s="44"/>
      <c r="J190" s="45"/>
      <c r="K190" s="45"/>
      <c r="L190" s="44"/>
      <c r="M190" s="45"/>
      <c r="N190" s="45"/>
      <c r="O190" s="45"/>
      <c r="P190" s="45"/>
      <c r="Q190" s="45"/>
      <c r="R190" s="45"/>
      <c r="S190" s="45"/>
      <c r="T190" s="45"/>
      <c r="U190" s="45"/>
      <c r="V190" s="45"/>
      <c r="W190" s="173"/>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row>
    <row r="191" spans="1:46" x14ac:dyDescent="0.3">
      <c r="A191" s="173"/>
      <c r="B191" s="44"/>
      <c r="C191" s="45"/>
      <c r="D191" s="45"/>
      <c r="E191" s="45"/>
      <c r="F191" s="45"/>
      <c r="G191" s="45"/>
      <c r="H191" s="44"/>
      <c r="I191" s="44"/>
      <c r="J191" s="45"/>
      <c r="K191" s="45"/>
      <c r="L191" s="44"/>
      <c r="M191" s="45"/>
      <c r="N191" s="45"/>
      <c r="O191" s="45"/>
      <c r="P191" s="45"/>
      <c r="Q191" s="45"/>
      <c r="R191" s="45"/>
      <c r="S191" s="45"/>
      <c r="T191" s="45"/>
      <c r="U191" s="45"/>
      <c r="V191" s="45"/>
      <c r="W191" s="173"/>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row>
    <row r="192" spans="1:46" x14ac:dyDescent="0.3">
      <c r="A192" s="173"/>
      <c r="B192" s="44"/>
      <c r="C192" s="45"/>
      <c r="D192" s="45"/>
      <c r="E192" s="45"/>
      <c r="F192" s="45"/>
      <c r="G192" s="45"/>
      <c r="H192" s="44"/>
      <c r="I192" s="44"/>
      <c r="J192" s="45"/>
      <c r="K192" s="45"/>
      <c r="L192" s="44"/>
      <c r="M192" s="45"/>
      <c r="N192" s="45"/>
      <c r="O192" s="45"/>
      <c r="P192" s="45"/>
      <c r="Q192" s="45"/>
      <c r="R192" s="45"/>
      <c r="S192" s="45"/>
      <c r="T192" s="45"/>
      <c r="U192" s="45"/>
      <c r="V192" s="45"/>
      <c r="W192" s="173"/>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row>
    <row r="193" spans="1:46" x14ac:dyDescent="0.3">
      <c r="A193" s="173"/>
      <c r="B193" s="44"/>
      <c r="C193" s="45"/>
      <c r="D193" s="45"/>
      <c r="E193" s="45"/>
      <c r="F193" s="45"/>
      <c r="G193" s="45"/>
      <c r="H193" s="44"/>
      <c r="I193" s="44"/>
      <c r="J193" s="45"/>
      <c r="K193" s="45"/>
      <c r="L193" s="44"/>
      <c r="M193" s="45"/>
      <c r="N193" s="45"/>
      <c r="O193" s="45"/>
      <c r="P193" s="45"/>
      <c r="Q193" s="45"/>
      <c r="R193" s="45"/>
      <c r="S193" s="45"/>
      <c r="T193" s="45"/>
      <c r="U193" s="45"/>
      <c r="V193" s="45"/>
      <c r="W193" s="173"/>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row>
    <row r="194" spans="1:46" x14ac:dyDescent="0.3">
      <c r="A194" s="173"/>
      <c r="B194" s="44"/>
      <c r="C194" s="45"/>
      <c r="D194" s="45"/>
      <c r="E194" s="45"/>
      <c r="F194" s="45"/>
      <c r="G194" s="45"/>
      <c r="H194" s="44"/>
      <c r="I194" s="44"/>
      <c r="J194" s="45"/>
      <c r="K194" s="45"/>
      <c r="L194" s="44"/>
      <c r="M194" s="45"/>
      <c r="N194" s="45"/>
      <c r="O194" s="45"/>
      <c r="P194" s="45"/>
      <c r="Q194" s="45"/>
      <c r="R194" s="45"/>
      <c r="S194" s="45"/>
      <c r="T194" s="45"/>
      <c r="U194" s="45"/>
      <c r="V194" s="45"/>
      <c r="W194" s="173"/>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row>
    <row r="195" spans="1:46" x14ac:dyDescent="0.3">
      <c r="A195" s="173"/>
      <c r="B195" s="44"/>
      <c r="C195" s="45"/>
      <c r="D195" s="45"/>
      <c r="E195" s="45"/>
      <c r="F195" s="45"/>
      <c r="G195" s="45"/>
      <c r="H195" s="44"/>
      <c r="I195" s="44"/>
      <c r="J195" s="45"/>
      <c r="K195" s="45"/>
      <c r="L195" s="44"/>
      <c r="M195" s="45"/>
      <c r="N195" s="45"/>
      <c r="O195" s="45"/>
      <c r="P195" s="45"/>
      <c r="Q195" s="45"/>
      <c r="R195" s="45"/>
      <c r="S195" s="45"/>
      <c r="T195" s="45"/>
      <c r="U195" s="45"/>
      <c r="V195" s="45"/>
      <c r="W195" s="173"/>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row>
    <row r="196" spans="1:46" x14ac:dyDescent="0.3">
      <c r="A196" s="173"/>
      <c r="B196" s="44"/>
      <c r="C196" s="45"/>
      <c r="D196" s="45"/>
      <c r="E196" s="45"/>
      <c r="F196" s="45"/>
      <c r="G196" s="45"/>
      <c r="H196" s="44"/>
      <c r="I196" s="44"/>
      <c r="J196" s="45"/>
      <c r="K196" s="45"/>
      <c r="L196" s="44"/>
      <c r="M196" s="45"/>
      <c r="N196" s="45"/>
      <c r="O196" s="45"/>
      <c r="P196" s="45"/>
      <c r="Q196" s="45"/>
      <c r="R196" s="45"/>
      <c r="S196" s="45"/>
      <c r="T196" s="45"/>
      <c r="U196" s="45"/>
      <c r="V196" s="45"/>
      <c r="W196" s="173"/>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row>
    <row r="197" spans="1:46" x14ac:dyDescent="0.3">
      <c r="A197" s="173"/>
      <c r="B197" s="44"/>
      <c r="C197" s="45"/>
      <c r="D197" s="45"/>
      <c r="E197" s="45"/>
      <c r="F197" s="45"/>
      <c r="G197" s="45"/>
      <c r="H197" s="44"/>
      <c r="I197" s="44"/>
      <c r="J197" s="45"/>
      <c r="K197" s="45"/>
      <c r="L197" s="44"/>
      <c r="M197" s="45"/>
      <c r="N197" s="45"/>
      <c r="O197" s="45"/>
      <c r="P197" s="45"/>
      <c r="Q197" s="45"/>
      <c r="R197" s="45"/>
      <c r="S197" s="45"/>
      <c r="T197" s="45"/>
      <c r="U197" s="45"/>
      <c r="V197" s="45"/>
      <c r="W197" s="173"/>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row>
    <row r="198" spans="1:46" x14ac:dyDescent="0.3">
      <c r="A198" s="173"/>
      <c r="B198" s="44"/>
      <c r="C198" s="45"/>
      <c r="D198" s="45"/>
      <c r="E198" s="45"/>
      <c r="F198" s="45"/>
      <c r="G198" s="45"/>
      <c r="H198" s="44"/>
      <c r="I198" s="44"/>
      <c r="J198" s="45"/>
      <c r="K198" s="45"/>
      <c r="L198" s="44"/>
      <c r="M198" s="45"/>
      <c r="N198" s="45"/>
      <c r="O198" s="45"/>
      <c r="P198" s="45"/>
      <c r="Q198" s="45"/>
      <c r="R198" s="45"/>
      <c r="S198" s="45"/>
      <c r="T198" s="45"/>
      <c r="U198" s="45"/>
      <c r="V198" s="45"/>
      <c r="W198" s="173"/>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row>
    <row r="199" spans="1:46" x14ac:dyDescent="0.3">
      <c r="A199" s="173"/>
      <c r="B199" s="44"/>
      <c r="C199" s="45"/>
      <c r="D199" s="45"/>
      <c r="E199" s="45"/>
      <c r="F199" s="45"/>
      <c r="G199" s="45"/>
      <c r="H199" s="44"/>
      <c r="I199" s="44"/>
      <c r="J199" s="45"/>
      <c r="K199" s="45"/>
      <c r="L199" s="44"/>
      <c r="M199" s="45"/>
      <c r="N199" s="45"/>
      <c r="O199" s="45"/>
      <c r="P199" s="45"/>
      <c r="Q199" s="45"/>
      <c r="R199" s="45"/>
      <c r="S199" s="45"/>
      <c r="T199" s="45"/>
      <c r="U199" s="45"/>
      <c r="V199" s="45"/>
      <c r="W199" s="173"/>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row>
    <row r="200" spans="1:46" x14ac:dyDescent="0.3">
      <c r="A200" s="173"/>
      <c r="B200" s="44"/>
      <c r="C200" s="45"/>
      <c r="D200" s="45"/>
      <c r="E200" s="45"/>
      <c r="F200" s="45"/>
      <c r="G200" s="45"/>
      <c r="H200" s="44"/>
      <c r="I200" s="44"/>
      <c r="J200" s="45"/>
      <c r="K200" s="45"/>
      <c r="L200" s="44"/>
      <c r="M200" s="45"/>
      <c r="N200" s="45"/>
      <c r="O200" s="45"/>
      <c r="P200" s="45"/>
      <c r="Q200" s="45"/>
      <c r="R200" s="45"/>
      <c r="S200" s="45"/>
      <c r="T200" s="45"/>
      <c r="U200" s="45"/>
      <c r="V200" s="45"/>
      <c r="W200" s="173"/>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row>
    <row r="201" spans="1:46" x14ac:dyDescent="0.3">
      <c r="A201" s="173"/>
      <c r="B201" s="44"/>
      <c r="C201" s="45"/>
      <c r="D201" s="45"/>
      <c r="E201" s="45"/>
      <c r="F201" s="45"/>
      <c r="G201" s="45"/>
      <c r="H201" s="44"/>
      <c r="I201" s="44"/>
      <c r="J201" s="45"/>
      <c r="K201" s="45"/>
      <c r="L201" s="44"/>
      <c r="M201" s="45"/>
      <c r="N201" s="45"/>
      <c r="O201" s="45"/>
      <c r="P201" s="45"/>
      <c r="Q201" s="45"/>
      <c r="R201" s="45"/>
      <c r="S201" s="45"/>
      <c r="T201" s="45"/>
      <c r="U201" s="45"/>
      <c r="V201" s="45"/>
      <c r="W201" s="173"/>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row>
    <row r="202" spans="1:46" x14ac:dyDescent="0.3">
      <c r="A202" s="173"/>
      <c r="B202" s="44"/>
      <c r="C202" s="45"/>
      <c r="D202" s="45"/>
      <c r="E202" s="45"/>
      <c r="F202" s="45"/>
      <c r="G202" s="45"/>
      <c r="H202" s="44"/>
      <c r="I202" s="44"/>
      <c r="J202" s="45"/>
      <c r="K202" s="45"/>
      <c r="L202" s="44"/>
      <c r="M202" s="45"/>
      <c r="N202" s="45"/>
      <c r="O202" s="45"/>
      <c r="P202" s="45"/>
      <c r="Q202" s="45"/>
      <c r="R202" s="45"/>
      <c r="S202" s="45"/>
      <c r="T202" s="45"/>
      <c r="U202" s="45"/>
      <c r="V202" s="45"/>
      <c r="W202" s="173"/>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row>
    <row r="203" spans="1:46" x14ac:dyDescent="0.3">
      <c r="A203" s="173"/>
      <c r="B203" s="44"/>
      <c r="C203" s="45"/>
      <c r="D203" s="45"/>
      <c r="E203" s="45"/>
      <c r="F203" s="45"/>
      <c r="G203" s="45"/>
      <c r="H203" s="44"/>
      <c r="I203" s="44"/>
      <c r="J203" s="45"/>
      <c r="K203" s="45"/>
      <c r="L203" s="44"/>
      <c r="M203" s="45"/>
      <c r="N203" s="45"/>
      <c r="O203" s="45"/>
      <c r="P203" s="45"/>
      <c r="Q203" s="45"/>
      <c r="R203" s="45"/>
      <c r="S203" s="45"/>
      <c r="T203" s="45"/>
      <c r="U203" s="45"/>
      <c r="V203" s="45"/>
      <c r="W203" s="173"/>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row>
    <row r="204" spans="1:46" x14ac:dyDescent="0.3">
      <c r="A204" s="173"/>
      <c r="B204" s="44"/>
      <c r="C204" s="45"/>
      <c r="D204" s="45"/>
      <c r="E204" s="45"/>
      <c r="F204" s="45"/>
      <c r="G204" s="45"/>
      <c r="H204" s="44"/>
      <c r="I204" s="44"/>
      <c r="J204" s="45"/>
      <c r="K204" s="45"/>
      <c r="L204" s="44"/>
      <c r="M204" s="45"/>
      <c r="N204" s="45"/>
      <c r="O204" s="45"/>
      <c r="P204" s="45"/>
      <c r="Q204" s="45"/>
      <c r="R204" s="45"/>
      <c r="S204" s="45"/>
      <c r="T204" s="45"/>
      <c r="U204" s="45"/>
      <c r="V204" s="45"/>
      <c r="W204" s="173"/>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row>
    <row r="205" spans="1:46" x14ac:dyDescent="0.3">
      <c r="A205" s="173"/>
      <c r="B205" s="44"/>
      <c r="C205" s="45"/>
      <c r="D205" s="45"/>
      <c r="E205" s="45"/>
      <c r="F205" s="45"/>
      <c r="G205" s="45"/>
      <c r="H205" s="44"/>
      <c r="I205" s="44"/>
      <c r="J205" s="45"/>
      <c r="K205" s="45"/>
      <c r="L205" s="44"/>
      <c r="M205" s="45"/>
      <c r="N205" s="45"/>
      <c r="O205" s="45"/>
      <c r="P205" s="45"/>
      <c r="Q205" s="45"/>
      <c r="R205" s="45"/>
      <c r="S205" s="45"/>
      <c r="T205" s="45"/>
      <c r="U205" s="45"/>
      <c r="V205" s="45"/>
      <c r="W205" s="173"/>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row>
    <row r="206" spans="1:46" x14ac:dyDescent="0.3">
      <c r="A206" s="173"/>
      <c r="B206" s="44"/>
      <c r="C206" s="45"/>
      <c r="D206" s="45"/>
      <c r="E206" s="45"/>
      <c r="F206" s="45"/>
      <c r="G206" s="45"/>
      <c r="H206" s="44"/>
      <c r="I206" s="44"/>
      <c r="J206" s="45"/>
      <c r="K206" s="45"/>
      <c r="L206" s="44"/>
      <c r="M206" s="45"/>
      <c r="N206" s="45"/>
      <c r="O206" s="45"/>
      <c r="P206" s="45"/>
      <c r="Q206" s="45"/>
      <c r="R206" s="45"/>
      <c r="S206" s="45"/>
      <c r="T206" s="45"/>
      <c r="U206" s="45"/>
      <c r="V206" s="45"/>
      <c r="W206" s="173"/>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row>
    <row r="207" spans="1:46" x14ac:dyDescent="0.3">
      <c r="A207" s="173"/>
      <c r="B207" s="44"/>
      <c r="C207" s="45"/>
      <c r="D207" s="45"/>
      <c r="E207" s="45"/>
      <c r="F207" s="45"/>
      <c r="G207" s="45"/>
      <c r="H207" s="44"/>
      <c r="I207" s="44"/>
      <c r="J207" s="45"/>
      <c r="K207" s="45"/>
      <c r="L207" s="44"/>
      <c r="M207" s="45"/>
      <c r="N207" s="45"/>
      <c r="O207" s="45"/>
      <c r="P207" s="45"/>
      <c r="Q207" s="45"/>
      <c r="R207" s="45"/>
      <c r="S207" s="45"/>
      <c r="T207" s="45"/>
      <c r="U207" s="45"/>
      <c r="V207" s="45"/>
      <c r="W207" s="173"/>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row>
    <row r="208" spans="1:46" x14ac:dyDescent="0.3">
      <c r="A208" s="173"/>
      <c r="B208" s="44"/>
      <c r="C208" s="45"/>
      <c r="D208" s="45"/>
      <c r="E208" s="45"/>
      <c r="F208" s="45"/>
      <c r="G208" s="45"/>
      <c r="H208" s="44"/>
      <c r="I208" s="44"/>
      <c r="J208" s="45"/>
      <c r="K208" s="45"/>
      <c r="L208" s="44"/>
      <c r="M208" s="45"/>
      <c r="N208" s="45"/>
      <c r="O208" s="45"/>
      <c r="P208" s="45"/>
      <c r="Q208" s="45"/>
      <c r="R208" s="45"/>
      <c r="S208" s="45"/>
      <c r="T208" s="45"/>
      <c r="U208" s="45"/>
      <c r="V208" s="45"/>
      <c r="W208" s="173"/>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row>
    <row r="209" spans="1:46" x14ac:dyDescent="0.3">
      <c r="A209" s="173"/>
      <c r="B209" s="44"/>
      <c r="C209" s="45"/>
      <c r="D209" s="45"/>
      <c r="E209" s="45"/>
      <c r="F209" s="45"/>
      <c r="G209" s="45"/>
      <c r="H209" s="44"/>
      <c r="I209" s="44"/>
      <c r="J209" s="45"/>
      <c r="K209" s="45"/>
      <c r="L209" s="44"/>
      <c r="M209" s="45"/>
      <c r="N209" s="45"/>
      <c r="O209" s="45"/>
      <c r="P209" s="45"/>
      <c r="Q209" s="45"/>
      <c r="R209" s="45"/>
      <c r="S209" s="45"/>
      <c r="T209" s="45"/>
      <c r="U209" s="45"/>
      <c r="V209" s="45"/>
      <c r="W209" s="173"/>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row>
    <row r="210" spans="1:46" x14ac:dyDescent="0.3">
      <c r="A210" s="173"/>
      <c r="B210" s="44"/>
      <c r="C210" s="45"/>
      <c r="D210" s="45"/>
      <c r="E210" s="45"/>
      <c r="F210" s="45"/>
      <c r="G210" s="45"/>
      <c r="H210" s="44"/>
      <c r="I210" s="44"/>
      <c r="J210" s="45"/>
      <c r="K210" s="45"/>
      <c r="L210" s="44"/>
      <c r="M210" s="45"/>
      <c r="N210" s="45"/>
      <c r="O210" s="45"/>
      <c r="P210" s="45"/>
      <c r="Q210" s="45"/>
      <c r="R210" s="45"/>
      <c r="S210" s="45"/>
      <c r="T210" s="45"/>
      <c r="U210" s="45"/>
      <c r="V210" s="45"/>
      <c r="W210" s="173"/>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row>
    <row r="211" spans="1:46" x14ac:dyDescent="0.3">
      <c r="A211" s="173"/>
      <c r="B211" s="44"/>
      <c r="C211" s="45"/>
      <c r="D211" s="45"/>
      <c r="E211" s="45"/>
      <c r="F211" s="45"/>
      <c r="G211" s="45"/>
      <c r="H211" s="44"/>
      <c r="I211" s="44"/>
      <c r="J211" s="45"/>
      <c r="K211" s="45"/>
      <c r="L211" s="44"/>
      <c r="M211" s="45"/>
      <c r="N211" s="45"/>
      <c r="O211" s="45"/>
      <c r="P211" s="45"/>
      <c r="Q211" s="45"/>
      <c r="R211" s="45"/>
      <c r="S211" s="45"/>
      <c r="T211" s="45"/>
      <c r="U211" s="45"/>
      <c r="V211" s="45"/>
      <c r="W211" s="173"/>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row>
    <row r="212" spans="1:46" x14ac:dyDescent="0.3">
      <c r="A212" s="173"/>
      <c r="B212" s="44"/>
      <c r="C212" s="45"/>
      <c r="D212" s="45"/>
      <c r="E212" s="45"/>
      <c r="F212" s="45"/>
      <c r="G212" s="45"/>
      <c r="H212" s="44"/>
      <c r="I212" s="44"/>
      <c r="J212" s="45"/>
      <c r="K212" s="45"/>
      <c r="L212" s="44"/>
      <c r="M212" s="45"/>
      <c r="N212" s="45"/>
      <c r="O212" s="45"/>
      <c r="P212" s="45"/>
      <c r="Q212" s="45"/>
      <c r="R212" s="45"/>
      <c r="S212" s="45"/>
      <c r="T212" s="45"/>
      <c r="U212" s="45"/>
      <c r="V212" s="45"/>
      <c r="W212" s="173"/>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row>
    <row r="213" spans="1:46" x14ac:dyDescent="0.3">
      <c r="A213" s="173"/>
      <c r="B213" s="44"/>
      <c r="C213" s="45"/>
      <c r="D213" s="45"/>
      <c r="E213" s="45"/>
      <c r="F213" s="45"/>
      <c r="G213" s="45"/>
      <c r="H213" s="44"/>
      <c r="I213" s="44"/>
      <c r="J213" s="45"/>
      <c r="K213" s="45"/>
      <c r="L213" s="44"/>
      <c r="M213" s="45"/>
      <c r="N213" s="45"/>
      <c r="O213" s="45"/>
      <c r="P213" s="45"/>
      <c r="Q213" s="45"/>
      <c r="R213" s="45"/>
      <c r="S213" s="45"/>
      <c r="T213" s="45"/>
      <c r="U213" s="45"/>
      <c r="V213" s="45"/>
      <c r="W213" s="173"/>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row>
    <row r="214" spans="1:46" x14ac:dyDescent="0.3">
      <c r="A214" s="173"/>
      <c r="B214" s="44"/>
      <c r="C214" s="45"/>
      <c r="D214" s="45"/>
      <c r="E214" s="45"/>
      <c r="F214" s="45"/>
      <c r="G214" s="45"/>
      <c r="H214" s="44"/>
      <c r="I214" s="44"/>
      <c r="J214" s="45"/>
      <c r="K214" s="45"/>
      <c r="L214" s="44"/>
      <c r="M214" s="45"/>
      <c r="N214" s="45"/>
      <c r="O214" s="45"/>
      <c r="P214" s="45"/>
      <c r="Q214" s="45"/>
      <c r="R214" s="45"/>
      <c r="S214" s="45"/>
      <c r="T214" s="45"/>
      <c r="U214" s="45"/>
      <c r="V214" s="45"/>
      <c r="W214" s="173"/>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row>
    <row r="215" spans="1:46" x14ac:dyDescent="0.3">
      <c r="A215" s="173"/>
      <c r="B215" s="44"/>
      <c r="C215" s="45"/>
      <c r="D215" s="45"/>
      <c r="E215" s="45"/>
      <c r="F215" s="45"/>
      <c r="G215" s="45"/>
      <c r="H215" s="44"/>
      <c r="I215" s="44"/>
      <c r="J215" s="45"/>
      <c r="K215" s="45"/>
      <c r="L215" s="44"/>
      <c r="M215" s="45"/>
      <c r="N215" s="45"/>
      <c r="O215" s="45"/>
      <c r="P215" s="45"/>
      <c r="Q215" s="45"/>
      <c r="R215" s="45"/>
      <c r="S215" s="45"/>
      <c r="T215" s="45"/>
      <c r="U215" s="45"/>
      <c r="V215" s="45"/>
      <c r="W215" s="173"/>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row>
    <row r="216" spans="1:46" x14ac:dyDescent="0.3">
      <c r="A216" s="173"/>
      <c r="B216" s="44"/>
      <c r="C216" s="45"/>
      <c r="D216" s="45"/>
      <c r="E216" s="45"/>
      <c r="F216" s="45"/>
      <c r="G216" s="45"/>
      <c r="H216" s="44"/>
      <c r="I216" s="44"/>
      <c r="J216" s="45"/>
      <c r="K216" s="45"/>
      <c r="L216" s="44"/>
      <c r="M216" s="45"/>
      <c r="N216" s="45"/>
      <c r="O216" s="45"/>
      <c r="P216" s="45"/>
      <c r="Q216" s="45"/>
      <c r="R216" s="45"/>
      <c r="S216" s="45"/>
      <c r="T216" s="45"/>
      <c r="U216" s="45"/>
      <c r="V216" s="45"/>
      <c r="W216" s="173"/>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row>
    <row r="217" spans="1:46" x14ac:dyDescent="0.3">
      <c r="A217" s="173"/>
      <c r="B217" s="44"/>
      <c r="C217" s="45"/>
      <c r="D217" s="45"/>
      <c r="E217" s="45"/>
      <c r="F217" s="45"/>
      <c r="G217" s="45"/>
      <c r="H217" s="44"/>
      <c r="I217" s="44"/>
      <c r="J217" s="45"/>
      <c r="K217" s="45"/>
      <c r="L217" s="44"/>
      <c r="M217" s="45"/>
      <c r="N217" s="45"/>
      <c r="O217" s="45"/>
      <c r="P217" s="45"/>
      <c r="Q217" s="45"/>
      <c r="R217" s="45"/>
      <c r="S217" s="45"/>
      <c r="T217" s="45"/>
      <c r="U217" s="45"/>
      <c r="V217" s="45"/>
      <c r="W217" s="173"/>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row>
    <row r="218" spans="1:46" x14ac:dyDescent="0.3">
      <c r="A218" s="173"/>
      <c r="B218" s="44"/>
      <c r="C218" s="45"/>
      <c r="D218" s="45"/>
      <c r="E218" s="45"/>
      <c r="F218" s="45"/>
      <c r="G218" s="45"/>
      <c r="H218" s="44"/>
      <c r="I218" s="44"/>
      <c r="J218" s="45"/>
      <c r="K218" s="45"/>
      <c r="L218" s="44"/>
      <c r="M218" s="45"/>
      <c r="N218" s="45"/>
      <c r="O218" s="45"/>
      <c r="P218" s="45"/>
      <c r="Q218" s="45"/>
      <c r="R218" s="45"/>
      <c r="S218" s="45"/>
      <c r="T218" s="45"/>
      <c r="U218" s="45"/>
      <c r="V218" s="45"/>
      <c r="W218" s="173"/>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row>
    <row r="219" spans="1:46" x14ac:dyDescent="0.3">
      <c r="A219" s="173"/>
      <c r="B219" s="44"/>
      <c r="C219" s="45"/>
      <c r="D219" s="45"/>
      <c r="E219" s="45"/>
      <c r="F219" s="45"/>
      <c r="G219" s="45"/>
      <c r="H219" s="44"/>
      <c r="I219" s="44"/>
      <c r="J219" s="45"/>
      <c r="K219" s="45"/>
      <c r="L219" s="44"/>
      <c r="M219" s="45"/>
      <c r="N219" s="45"/>
      <c r="O219" s="45"/>
      <c r="P219" s="45"/>
      <c r="Q219" s="45"/>
      <c r="R219" s="45"/>
      <c r="S219" s="45"/>
      <c r="T219" s="45"/>
      <c r="U219" s="45"/>
      <c r="V219" s="45"/>
      <c r="W219" s="173"/>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row>
    <row r="220" spans="1:46" x14ac:dyDescent="0.3">
      <c r="A220" s="173"/>
      <c r="B220" s="44"/>
      <c r="C220" s="45"/>
      <c r="D220" s="45"/>
      <c r="E220" s="45"/>
      <c r="F220" s="45"/>
      <c r="G220" s="45"/>
      <c r="H220" s="44"/>
      <c r="I220" s="44"/>
      <c r="J220" s="45"/>
      <c r="K220" s="45"/>
      <c r="L220" s="44"/>
      <c r="M220" s="45"/>
      <c r="N220" s="45"/>
      <c r="O220" s="45"/>
      <c r="P220" s="45"/>
      <c r="Q220" s="45"/>
      <c r="R220" s="45"/>
      <c r="S220" s="45"/>
      <c r="T220" s="45"/>
      <c r="U220" s="45"/>
      <c r="V220" s="45"/>
      <c r="W220" s="173"/>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row>
    <row r="221" spans="1:46" x14ac:dyDescent="0.3">
      <c r="A221" s="173"/>
      <c r="B221" s="44"/>
      <c r="C221" s="45"/>
      <c r="D221" s="45"/>
      <c r="E221" s="45"/>
      <c r="F221" s="45"/>
      <c r="G221" s="45"/>
      <c r="H221" s="44"/>
      <c r="I221" s="44"/>
      <c r="J221" s="45"/>
      <c r="K221" s="45"/>
      <c r="L221" s="44"/>
      <c r="M221" s="45"/>
      <c r="N221" s="45"/>
      <c r="O221" s="45"/>
      <c r="P221" s="45"/>
      <c r="Q221" s="45"/>
      <c r="R221" s="45"/>
      <c r="S221" s="45"/>
      <c r="T221" s="45"/>
      <c r="U221" s="45"/>
      <c r="V221" s="45"/>
      <c r="W221" s="173"/>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row>
    <row r="222" spans="1:46" x14ac:dyDescent="0.3">
      <c r="A222" s="173"/>
      <c r="B222" s="44"/>
      <c r="C222" s="45"/>
      <c r="D222" s="45"/>
      <c r="E222" s="45"/>
      <c r="F222" s="45"/>
      <c r="G222" s="45"/>
      <c r="H222" s="44"/>
      <c r="I222" s="44"/>
      <c r="J222" s="45"/>
      <c r="K222" s="45"/>
      <c r="L222" s="44"/>
      <c r="M222" s="45"/>
      <c r="N222" s="45"/>
      <c r="O222" s="45"/>
      <c r="P222" s="45"/>
      <c r="Q222" s="45"/>
      <c r="R222" s="45"/>
      <c r="S222" s="45"/>
      <c r="T222" s="45"/>
      <c r="U222" s="45"/>
      <c r="V222" s="45"/>
      <c r="W222" s="173"/>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row>
    <row r="223" spans="1:46" x14ac:dyDescent="0.3">
      <c r="A223" s="173"/>
      <c r="B223" s="44"/>
      <c r="C223" s="45"/>
      <c r="D223" s="45"/>
      <c r="E223" s="45"/>
      <c r="F223" s="45"/>
      <c r="G223" s="45"/>
      <c r="H223" s="44"/>
      <c r="I223" s="44"/>
      <c r="J223" s="45"/>
      <c r="K223" s="45"/>
      <c r="L223" s="44"/>
      <c r="M223" s="45"/>
      <c r="N223" s="45"/>
      <c r="O223" s="45"/>
      <c r="P223" s="45"/>
      <c r="Q223" s="45"/>
      <c r="R223" s="45"/>
      <c r="S223" s="45"/>
      <c r="T223" s="45"/>
      <c r="U223" s="45"/>
      <c r="V223" s="45"/>
      <c r="W223" s="173"/>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row>
    <row r="224" spans="1:46" x14ac:dyDescent="0.3">
      <c r="A224" s="173"/>
      <c r="B224" s="44"/>
      <c r="C224" s="45"/>
      <c r="D224" s="45"/>
      <c r="E224" s="45"/>
      <c r="F224" s="45"/>
      <c r="G224" s="45"/>
      <c r="H224" s="44"/>
      <c r="I224" s="44"/>
      <c r="J224" s="45"/>
      <c r="K224" s="45"/>
      <c r="L224" s="44"/>
      <c r="M224" s="45"/>
      <c r="N224" s="45"/>
      <c r="O224" s="45"/>
      <c r="P224" s="45"/>
      <c r="Q224" s="45"/>
      <c r="R224" s="45"/>
      <c r="S224" s="45"/>
      <c r="T224" s="45"/>
      <c r="U224" s="45"/>
      <c r="V224" s="45"/>
      <c r="W224" s="173"/>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row>
    <row r="225" spans="1:46" x14ac:dyDescent="0.3">
      <c r="A225" s="173"/>
      <c r="B225" s="44"/>
      <c r="C225" s="45"/>
      <c r="D225" s="45"/>
      <c r="E225" s="45"/>
      <c r="F225" s="45"/>
      <c r="G225" s="45"/>
      <c r="H225" s="44"/>
      <c r="I225" s="44"/>
      <c r="J225" s="45"/>
      <c r="K225" s="45"/>
      <c r="L225" s="44"/>
      <c r="M225" s="45"/>
      <c r="N225" s="45"/>
      <c r="O225" s="45"/>
      <c r="P225" s="45"/>
      <c r="Q225" s="45"/>
      <c r="R225" s="45"/>
      <c r="S225" s="45"/>
      <c r="T225" s="45"/>
      <c r="U225" s="45"/>
      <c r="V225" s="45"/>
      <c r="W225" s="173"/>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row>
    <row r="226" spans="1:46" x14ac:dyDescent="0.3">
      <c r="A226" s="173"/>
      <c r="B226" s="44"/>
      <c r="C226" s="45"/>
      <c r="D226" s="45"/>
      <c r="E226" s="45"/>
      <c r="F226" s="45"/>
      <c r="G226" s="45"/>
      <c r="H226" s="44"/>
      <c r="I226" s="44"/>
      <c r="J226" s="45"/>
      <c r="K226" s="45"/>
      <c r="L226" s="44"/>
      <c r="M226" s="45"/>
      <c r="N226" s="45"/>
      <c r="O226" s="45"/>
      <c r="P226" s="45"/>
      <c r="Q226" s="45"/>
      <c r="R226" s="45"/>
      <c r="S226" s="45"/>
      <c r="T226" s="45"/>
      <c r="U226" s="45"/>
      <c r="V226" s="45"/>
      <c r="W226" s="173"/>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row>
    <row r="227" spans="1:46" x14ac:dyDescent="0.3">
      <c r="A227" s="173"/>
      <c r="B227" s="44"/>
      <c r="C227" s="45"/>
      <c r="D227" s="45"/>
      <c r="E227" s="45"/>
      <c r="F227" s="45"/>
      <c r="G227" s="45"/>
      <c r="H227" s="44"/>
      <c r="I227" s="44"/>
      <c r="J227" s="45"/>
      <c r="K227" s="45"/>
      <c r="L227" s="44"/>
      <c r="M227" s="45"/>
      <c r="N227" s="45"/>
      <c r="O227" s="45"/>
      <c r="P227" s="45"/>
      <c r="Q227" s="45"/>
      <c r="R227" s="45"/>
      <c r="S227" s="45"/>
      <c r="T227" s="45"/>
      <c r="U227" s="45"/>
      <c r="V227" s="45"/>
      <c r="W227" s="173"/>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row>
    <row r="228" spans="1:46" x14ac:dyDescent="0.3">
      <c r="A228" s="173"/>
      <c r="B228" s="44"/>
      <c r="C228" s="45"/>
      <c r="D228" s="45"/>
      <c r="E228" s="45"/>
      <c r="F228" s="45"/>
      <c r="G228" s="45"/>
      <c r="H228" s="44"/>
      <c r="I228" s="44"/>
      <c r="J228" s="45"/>
      <c r="K228" s="45"/>
      <c r="L228" s="44"/>
      <c r="M228" s="45"/>
      <c r="N228" s="45"/>
      <c r="O228" s="45"/>
      <c r="P228" s="45"/>
      <c r="Q228" s="45"/>
      <c r="R228" s="45"/>
      <c r="S228" s="45"/>
      <c r="T228" s="45"/>
      <c r="U228" s="45"/>
      <c r="V228" s="45"/>
      <c r="W228" s="173"/>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row>
    <row r="229" spans="1:46" x14ac:dyDescent="0.3">
      <c r="A229" s="173"/>
      <c r="B229" s="44"/>
      <c r="C229" s="45"/>
      <c r="D229" s="45"/>
      <c r="E229" s="45"/>
      <c r="F229" s="45"/>
      <c r="G229" s="45"/>
      <c r="H229" s="44"/>
      <c r="I229" s="44"/>
      <c r="J229" s="45"/>
      <c r="K229" s="45"/>
      <c r="L229" s="44"/>
      <c r="M229" s="45"/>
      <c r="N229" s="45"/>
      <c r="O229" s="45"/>
      <c r="P229" s="45"/>
      <c r="Q229" s="45"/>
      <c r="R229" s="45"/>
      <c r="S229" s="45"/>
      <c r="T229" s="45"/>
      <c r="U229" s="45"/>
      <c r="V229" s="45"/>
      <c r="W229" s="173"/>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row>
    <row r="230" spans="1:46" x14ac:dyDescent="0.3">
      <c r="A230" s="173"/>
      <c r="B230" s="44"/>
      <c r="C230" s="45"/>
      <c r="D230" s="45"/>
      <c r="E230" s="45"/>
      <c r="F230" s="45"/>
      <c r="G230" s="45"/>
      <c r="H230" s="44"/>
      <c r="I230" s="44"/>
      <c r="J230" s="45"/>
      <c r="K230" s="45"/>
      <c r="L230" s="44"/>
      <c r="M230" s="45"/>
      <c r="N230" s="45"/>
      <c r="O230" s="45"/>
      <c r="P230" s="45"/>
      <c r="Q230" s="45"/>
      <c r="R230" s="45"/>
      <c r="S230" s="45"/>
      <c r="T230" s="45"/>
      <c r="U230" s="45"/>
      <c r="V230" s="45"/>
      <c r="W230" s="173"/>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row>
    <row r="231" spans="1:46" x14ac:dyDescent="0.3">
      <c r="A231" s="173"/>
      <c r="B231" s="44"/>
      <c r="C231" s="45"/>
      <c r="D231" s="45"/>
      <c r="E231" s="45"/>
      <c r="F231" s="45"/>
      <c r="G231" s="45"/>
      <c r="H231" s="44"/>
      <c r="I231" s="44"/>
      <c r="J231" s="45"/>
      <c r="K231" s="45"/>
      <c r="L231" s="44"/>
      <c r="M231" s="45"/>
      <c r="N231" s="45"/>
      <c r="O231" s="45"/>
      <c r="P231" s="45"/>
      <c r="Q231" s="45"/>
      <c r="R231" s="45"/>
      <c r="S231" s="45"/>
      <c r="T231" s="45"/>
      <c r="U231" s="45"/>
      <c r="V231" s="45"/>
      <c r="W231" s="173"/>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row>
    <row r="232" spans="1:46" x14ac:dyDescent="0.3">
      <c r="A232" s="173"/>
      <c r="B232" s="44"/>
      <c r="C232" s="45"/>
      <c r="D232" s="45"/>
      <c r="E232" s="45"/>
      <c r="F232" s="45"/>
      <c r="G232" s="45"/>
      <c r="H232" s="44"/>
      <c r="I232" s="44"/>
      <c r="J232" s="45"/>
      <c r="K232" s="45"/>
      <c r="L232" s="44"/>
      <c r="M232" s="45"/>
      <c r="N232" s="45"/>
      <c r="O232" s="45"/>
      <c r="P232" s="45"/>
      <c r="Q232" s="45"/>
      <c r="R232" s="45"/>
      <c r="S232" s="45"/>
      <c r="T232" s="45"/>
      <c r="U232" s="45"/>
      <c r="V232" s="45"/>
      <c r="W232" s="173"/>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row>
    <row r="233" spans="1:46" x14ac:dyDescent="0.3">
      <c r="A233" s="173"/>
      <c r="B233" s="44"/>
      <c r="C233" s="45"/>
      <c r="D233" s="45"/>
      <c r="E233" s="45"/>
      <c r="F233" s="45"/>
      <c r="G233" s="45"/>
      <c r="H233" s="44"/>
      <c r="I233" s="44"/>
      <c r="J233" s="45"/>
      <c r="K233" s="45"/>
      <c r="L233" s="44"/>
      <c r="M233" s="45"/>
      <c r="N233" s="45"/>
      <c r="O233" s="45"/>
      <c r="P233" s="45"/>
      <c r="Q233" s="45"/>
      <c r="R233" s="45"/>
      <c r="S233" s="45"/>
      <c r="T233" s="45"/>
      <c r="U233" s="45"/>
      <c r="V233" s="45"/>
      <c r="W233" s="173"/>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row>
    <row r="234" spans="1:46" x14ac:dyDescent="0.3">
      <c r="A234" s="173"/>
      <c r="B234" s="44"/>
      <c r="C234" s="45"/>
      <c r="D234" s="45"/>
      <c r="E234" s="45"/>
      <c r="F234" s="45"/>
      <c r="G234" s="45"/>
      <c r="H234" s="44"/>
      <c r="I234" s="44"/>
      <c r="J234" s="45"/>
      <c r="K234" s="45"/>
      <c r="L234" s="44"/>
      <c r="M234" s="45"/>
      <c r="N234" s="45"/>
      <c r="O234" s="45"/>
      <c r="P234" s="45"/>
      <c r="Q234" s="45"/>
      <c r="R234" s="45"/>
      <c r="S234" s="45"/>
      <c r="T234" s="45"/>
      <c r="U234" s="45"/>
      <c r="V234" s="45"/>
      <c r="W234" s="173"/>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row>
    <row r="235" spans="1:46" x14ac:dyDescent="0.3">
      <c r="A235" s="173"/>
      <c r="B235" s="44"/>
      <c r="C235" s="45"/>
      <c r="D235" s="45"/>
      <c r="E235" s="45"/>
      <c r="F235" s="45"/>
      <c r="G235" s="45"/>
      <c r="H235" s="44"/>
      <c r="I235" s="44"/>
      <c r="J235" s="45"/>
      <c r="K235" s="45"/>
      <c r="L235" s="44"/>
      <c r="M235" s="45"/>
      <c r="N235" s="45"/>
      <c r="O235" s="45"/>
      <c r="P235" s="45"/>
      <c r="Q235" s="45"/>
      <c r="R235" s="45"/>
      <c r="S235" s="45"/>
      <c r="T235" s="45"/>
      <c r="U235" s="45"/>
      <c r="V235" s="45"/>
      <c r="W235" s="173"/>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row>
    <row r="236" spans="1:46" x14ac:dyDescent="0.3">
      <c r="A236" s="173"/>
      <c r="B236" s="44"/>
      <c r="C236" s="45"/>
      <c r="D236" s="45"/>
      <c r="E236" s="45"/>
      <c r="F236" s="45"/>
      <c r="G236" s="45"/>
      <c r="H236" s="44"/>
      <c r="I236" s="44"/>
      <c r="J236" s="45"/>
      <c r="K236" s="45"/>
      <c r="L236" s="44"/>
      <c r="M236" s="45"/>
      <c r="N236" s="45"/>
      <c r="O236" s="45"/>
      <c r="P236" s="45"/>
      <c r="Q236" s="45"/>
      <c r="R236" s="45"/>
      <c r="S236" s="45"/>
      <c r="T236" s="45"/>
      <c r="U236" s="45"/>
      <c r="V236" s="45"/>
      <c r="W236" s="173"/>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row>
    <row r="237" spans="1:46" x14ac:dyDescent="0.3">
      <c r="A237" s="173"/>
      <c r="B237" s="44"/>
      <c r="C237" s="45"/>
      <c r="D237" s="45"/>
      <c r="E237" s="45"/>
      <c r="F237" s="45"/>
      <c r="G237" s="45"/>
      <c r="H237" s="44"/>
      <c r="I237" s="44"/>
      <c r="J237" s="45"/>
      <c r="K237" s="45"/>
      <c r="L237" s="44"/>
      <c r="M237" s="45"/>
      <c r="N237" s="45"/>
      <c r="O237" s="45"/>
      <c r="P237" s="45"/>
      <c r="Q237" s="45"/>
      <c r="R237" s="45"/>
      <c r="S237" s="45"/>
      <c r="T237" s="45"/>
      <c r="U237" s="45"/>
      <c r="V237" s="45"/>
      <c r="W237" s="173"/>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row>
    <row r="238" spans="1:46" x14ac:dyDescent="0.3">
      <c r="A238" s="173"/>
      <c r="B238" s="44"/>
      <c r="C238" s="45"/>
      <c r="D238" s="45"/>
      <c r="E238" s="45"/>
      <c r="F238" s="45"/>
      <c r="G238" s="45"/>
      <c r="H238" s="44"/>
      <c r="I238" s="44"/>
      <c r="J238" s="45"/>
      <c r="K238" s="45"/>
      <c r="L238" s="44"/>
      <c r="M238" s="45"/>
      <c r="N238" s="45"/>
      <c r="O238" s="45"/>
      <c r="P238" s="45"/>
      <c r="Q238" s="45"/>
      <c r="R238" s="45"/>
      <c r="S238" s="45"/>
      <c r="T238" s="45"/>
      <c r="U238" s="45"/>
      <c r="V238" s="45"/>
      <c r="W238" s="173"/>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row>
    <row r="239" spans="1:46" x14ac:dyDescent="0.3">
      <c r="A239" s="173"/>
      <c r="B239" s="44"/>
      <c r="C239" s="45"/>
      <c r="D239" s="45"/>
      <c r="E239" s="45"/>
      <c r="F239" s="45"/>
      <c r="G239" s="45"/>
      <c r="H239" s="44"/>
      <c r="I239" s="44"/>
      <c r="J239" s="45"/>
      <c r="K239" s="45"/>
      <c r="L239" s="44"/>
      <c r="M239" s="45"/>
      <c r="N239" s="45"/>
      <c r="O239" s="45"/>
      <c r="P239" s="45"/>
      <c r="Q239" s="45"/>
      <c r="R239" s="45"/>
      <c r="S239" s="45"/>
      <c r="T239" s="45"/>
      <c r="U239" s="45"/>
      <c r="V239" s="45"/>
      <c r="W239" s="173"/>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row>
    <row r="240" spans="1:46" x14ac:dyDescent="0.3">
      <c r="A240" s="173"/>
      <c r="B240" s="44"/>
      <c r="C240" s="45"/>
      <c r="D240" s="45"/>
      <c r="E240" s="45"/>
      <c r="F240" s="45"/>
      <c r="G240" s="45"/>
      <c r="H240" s="44"/>
      <c r="I240" s="44"/>
      <c r="J240" s="45"/>
      <c r="K240" s="45"/>
      <c r="L240" s="44"/>
      <c r="M240" s="45"/>
      <c r="N240" s="45"/>
      <c r="O240" s="45"/>
      <c r="P240" s="45"/>
      <c r="Q240" s="45"/>
      <c r="R240" s="45"/>
      <c r="S240" s="45"/>
      <c r="T240" s="45"/>
      <c r="U240" s="45"/>
      <c r="V240" s="45"/>
      <c r="W240" s="173"/>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row>
    <row r="241" spans="1:46" x14ac:dyDescent="0.3">
      <c r="A241" s="173"/>
      <c r="B241" s="44"/>
      <c r="C241" s="45"/>
      <c r="D241" s="45"/>
      <c r="E241" s="45"/>
      <c r="F241" s="45"/>
      <c r="G241" s="45"/>
      <c r="H241" s="44"/>
      <c r="I241" s="44"/>
      <c r="J241" s="45"/>
      <c r="K241" s="45"/>
      <c r="L241" s="44"/>
      <c r="M241" s="45"/>
      <c r="N241" s="45"/>
      <c r="O241" s="45"/>
      <c r="P241" s="45"/>
      <c r="Q241" s="45"/>
      <c r="R241" s="45"/>
      <c r="S241" s="45"/>
      <c r="T241" s="45"/>
      <c r="U241" s="45"/>
      <c r="V241" s="45"/>
      <c r="W241" s="173"/>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row>
    <row r="242" spans="1:46" x14ac:dyDescent="0.3">
      <c r="A242" s="173"/>
      <c r="B242" s="44"/>
      <c r="C242" s="45"/>
      <c r="D242" s="45"/>
      <c r="E242" s="45"/>
      <c r="F242" s="45"/>
      <c r="G242" s="45"/>
      <c r="H242" s="44"/>
      <c r="I242" s="44"/>
      <c r="J242" s="45"/>
      <c r="K242" s="45"/>
      <c r="L242" s="44"/>
      <c r="M242" s="45"/>
      <c r="N242" s="45"/>
      <c r="O242" s="45"/>
      <c r="P242" s="45"/>
      <c r="Q242" s="45"/>
      <c r="R242" s="45"/>
      <c r="S242" s="45"/>
      <c r="T242" s="45"/>
      <c r="U242" s="45"/>
      <c r="V242" s="45"/>
      <c r="W242" s="173"/>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row>
    <row r="243" spans="1:46" x14ac:dyDescent="0.3">
      <c r="A243" s="173"/>
      <c r="B243" s="44"/>
      <c r="C243" s="45"/>
      <c r="D243" s="45"/>
      <c r="E243" s="45"/>
      <c r="F243" s="45"/>
      <c r="G243" s="45"/>
      <c r="H243" s="44"/>
      <c r="I243" s="44"/>
      <c r="J243" s="45"/>
      <c r="K243" s="45"/>
      <c r="L243" s="44"/>
      <c r="M243" s="45"/>
      <c r="N243" s="45"/>
      <c r="O243" s="45"/>
      <c r="P243" s="45"/>
      <c r="Q243" s="45"/>
      <c r="R243" s="45"/>
      <c r="S243" s="45"/>
      <c r="T243" s="45"/>
      <c r="U243" s="45"/>
      <c r="V243" s="45"/>
      <c r="W243" s="173"/>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row>
    <row r="244" spans="1:46" x14ac:dyDescent="0.3">
      <c r="A244" s="173"/>
      <c r="B244" s="44"/>
      <c r="C244" s="45"/>
      <c r="D244" s="45"/>
      <c r="E244" s="45"/>
      <c r="F244" s="45"/>
      <c r="G244" s="45"/>
      <c r="H244" s="44"/>
      <c r="I244" s="44"/>
      <c r="J244" s="45"/>
      <c r="K244" s="45"/>
      <c r="L244" s="44"/>
      <c r="M244" s="45"/>
      <c r="N244" s="45"/>
      <c r="O244" s="45"/>
      <c r="P244" s="45"/>
      <c r="Q244" s="45"/>
      <c r="R244" s="45"/>
      <c r="S244" s="45"/>
      <c r="T244" s="45"/>
      <c r="U244" s="45"/>
      <c r="V244" s="45"/>
      <c r="W244" s="173"/>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row>
    <row r="245" spans="1:46" x14ac:dyDescent="0.3">
      <c r="A245" s="173"/>
      <c r="B245" s="44"/>
      <c r="C245" s="45"/>
      <c r="D245" s="45"/>
      <c r="E245" s="45"/>
      <c r="F245" s="45"/>
      <c r="G245" s="45"/>
      <c r="H245" s="44"/>
      <c r="I245" s="44"/>
      <c r="J245" s="45"/>
      <c r="K245" s="45"/>
      <c r="L245" s="44"/>
      <c r="M245" s="45"/>
      <c r="N245" s="45"/>
      <c r="O245" s="45"/>
      <c r="P245" s="45"/>
      <c r="Q245" s="45"/>
      <c r="R245" s="45"/>
      <c r="S245" s="45"/>
      <c r="T245" s="45"/>
      <c r="U245" s="45"/>
      <c r="V245" s="45"/>
      <c r="W245" s="173"/>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row>
    <row r="246" spans="1:46" x14ac:dyDescent="0.3">
      <c r="A246" s="173"/>
      <c r="B246" s="44"/>
      <c r="C246" s="45"/>
      <c r="D246" s="45"/>
      <c r="E246" s="45"/>
      <c r="F246" s="45"/>
      <c r="G246" s="45"/>
      <c r="H246" s="44"/>
      <c r="I246" s="44"/>
      <c r="J246" s="45"/>
      <c r="K246" s="45"/>
      <c r="L246" s="44"/>
      <c r="M246" s="45"/>
      <c r="N246" s="45"/>
      <c r="O246" s="45"/>
      <c r="P246" s="45"/>
      <c r="Q246" s="45"/>
      <c r="R246" s="45"/>
      <c r="S246" s="45"/>
      <c r="T246" s="45"/>
      <c r="U246" s="45"/>
      <c r="V246" s="45"/>
      <c r="W246" s="173"/>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row>
    <row r="247" spans="1:46" x14ac:dyDescent="0.3">
      <c r="A247" s="173"/>
      <c r="B247" s="44"/>
      <c r="C247" s="45"/>
      <c r="D247" s="45"/>
      <c r="E247" s="45"/>
      <c r="F247" s="45"/>
      <c r="G247" s="45"/>
      <c r="H247" s="44"/>
      <c r="I247" s="44"/>
      <c r="J247" s="45"/>
      <c r="K247" s="45"/>
      <c r="L247" s="44"/>
      <c r="M247" s="45"/>
      <c r="N247" s="45"/>
      <c r="O247" s="45"/>
      <c r="P247" s="45"/>
      <c r="Q247" s="45"/>
      <c r="R247" s="45"/>
      <c r="S247" s="45"/>
      <c r="T247" s="45"/>
      <c r="U247" s="45"/>
      <c r="V247" s="45"/>
      <c r="W247" s="173"/>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row>
    <row r="248" spans="1:46" x14ac:dyDescent="0.3">
      <c r="A248" s="173"/>
      <c r="B248" s="44"/>
      <c r="C248" s="45"/>
      <c r="D248" s="45"/>
      <c r="E248" s="45"/>
      <c r="F248" s="45"/>
      <c r="G248" s="45"/>
      <c r="H248" s="44"/>
      <c r="I248" s="44"/>
      <c r="J248" s="45"/>
      <c r="K248" s="45"/>
      <c r="L248" s="44"/>
      <c r="M248" s="45"/>
      <c r="N248" s="45"/>
      <c r="O248" s="45"/>
      <c r="P248" s="45"/>
      <c r="Q248" s="45"/>
      <c r="R248" s="45"/>
      <c r="S248" s="45"/>
      <c r="T248" s="45"/>
      <c r="U248" s="45"/>
      <c r="V248" s="45"/>
      <c r="W248" s="173"/>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row>
    <row r="249" spans="1:46" x14ac:dyDescent="0.3">
      <c r="A249" s="173"/>
      <c r="B249" s="44"/>
      <c r="C249" s="45"/>
      <c r="D249" s="45"/>
      <c r="E249" s="45"/>
      <c r="F249" s="45"/>
      <c r="G249" s="45"/>
      <c r="H249" s="44"/>
      <c r="I249" s="44"/>
      <c r="J249" s="45"/>
      <c r="K249" s="45"/>
      <c r="L249" s="44"/>
      <c r="M249" s="45"/>
      <c r="N249" s="45"/>
      <c r="O249" s="45"/>
      <c r="P249" s="45"/>
      <c r="Q249" s="45"/>
      <c r="R249" s="45"/>
      <c r="S249" s="45"/>
      <c r="T249" s="45"/>
      <c r="U249" s="45"/>
      <c r="V249" s="45"/>
      <c r="W249" s="173"/>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row>
    <row r="250" spans="1:46" x14ac:dyDescent="0.3">
      <c r="A250" s="173"/>
      <c r="B250" s="44"/>
      <c r="C250" s="45"/>
      <c r="D250" s="45"/>
      <c r="E250" s="45"/>
      <c r="F250" s="45"/>
      <c r="G250" s="45"/>
      <c r="H250" s="44"/>
      <c r="I250" s="44"/>
      <c r="J250" s="45"/>
      <c r="K250" s="45"/>
      <c r="L250" s="44"/>
      <c r="M250" s="45"/>
      <c r="N250" s="45"/>
      <c r="O250" s="45"/>
      <c r="P250" s="45"/>
      <c r="Q250" s="45"/>
      <c r="R250" s="45"/>
      <c r="S250" s="45"/>
      <c r="T250" s="45"/>
      <c r="U250" s="45"/>
      <c r="V250" s="45"/>
      <c r="W250" s="173"/>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row>
    <row r="251" spans="1:46" x14ac:dyDescent="0.3">
      <c r="A251" s="173"/>
      <c r="B251" s="44"/>
      <c r="C251" s="45"/>
      <c r="D251" s="45"/>
      <c r="E251" s="45"/>
      <c r="F251" s="45"/>
      <c r="G251" s="45"/>
      <c r="H251" s="44"/>
      <c r="I251" s="44"/>
      <c r="J251" s="45"/>
      <c r="K251" s="45"/>
      <c r="L251" s="44"/>
      <c r="M251" s="45"/>
      <c r="N251" s="45"/>
      <c r="O251" s="45"/>
      <c r="P251" s="45"/>
      <c r="Q251" s="45"/>
      <c r="R251" s="45"/>
      <c r="S251" s="45"/>
      <c r="T251" s="45"/>
      <c r="U251" s="45"/>
      <c r="V251" s="45"/>
      <c r="W251" s="173"/>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row>
    <row r="252" spans="1:46" x14ac:dyDescent="0.3">
      <c r="A252" s="173"/>
      <c r="B252" s="44"/>
      <c r="C252" s="45"/>
      <c r="D252" s="45"/>
      <c r="E252" s="45"/>
      <c r="F252" s="45"/>
      <c r="G252" s="45"/>
      <c r="H252" s="44"/>
      <c r="I252" s="44"/>
      <c r="J252" s="45"/>
      <c r="K252" s="45"/>
      <c r="L252" s="44"/>
      <c r="M252" s="45"/>
      <c r="N252" s="45"/>
      <c r="O252" s="45"/>
      <c r="P252" s="45"/>
      <c r="Q252" s="45"/>
      <c r="R252" s="45"/>
      <c r="S252" s="45"/>
      <c r="T252" s="45"/>
      <c r="U252" s="45"/>
      <c r="V252" s="45"/>
      <c r="W252" s="173"/>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row>
    <row r="253" spans="1:46" x14ac:dyDescent="0.3">
      <c r="A253" s="173"/>
      <c r="B253" s="44"/>
      <c r="C253" s="45"/>
      <c r="D253" s="45"/>
      <c r="E253" s="45"/>
      <c r="F253" s="45"/>
      <c r="G253" s="45"/>
      <c r="H253" s="44"/>
      <c r="I253" s="44"/>
      <c r="J253" s="45"/>
      <c r="K253" s="45"/>
      <c r="L253" s="44"/>
      <c r="M253" s="45"/>
      <c r="N253" s="45"/>
      <c r="O253" s="45"/>
      <c r="P253" s="45"/>
      <c r="Q253" s="45"/>
      <c r="R253" s="45"/>
      <c r="S253" s="45"/>
      <c r="T253" s="45"/>
      <c r="U253" s="45"/>
      <c r="V253" s="45"/>
      <c r="W253" s="173"/>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row>
    <row r="254" spans="1:46" x14ac:dyDescent="0.3">
      <c r="A254" s="173"/>
      <c r="B254" s="44"/>
      <c r="C254" s="45"/>
      <c r="D254" s="45"/>
      <c r="E254" s="45"/>
      <c r="F254" s="45"/>
      <c r="G254" s="45"/>
      <c r="H254" s="44"/>
      <c r="I254" s="44"/>
      <c r="J254" s="45"/>
      <c r="K254" s="45"/>
      <c r="L254" s="44"/>
      <c r="M254" s="45"/>
      <c r="N254" s="45"/>
      <c r="O254" s="45"/>
      <c r="P254" s="45"/>
      <c r="Q254" s="45"/>
      <c r="R254" s="45"/>
      <c r="S254" s="45"/>
      <c r="T254" s="45"/>
      <c r="U254" s="45"/>
      <c r="V254" s="45"/>
      <c r="W254" s="173"/>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row>
    <row r="255" spans="1:46" x14ac:dyDescent="0.3">
      <c r="A255" s="173"/>
      <c r="B255" s="44"/>
      <c r="C255" s="45"/>
      <c r="D255" s="45"/>
      <c r="E255" s="45"/>
      <c r="F255" s="45"/>
      <c r="G255" s="45"/>
      <c r="H255" s="44"/>
      <c r="I255" s="44"/>
      <c r="J255" s="45"/>
      <c r="K255" s="45"/>
      <c r="L255" s="44"/>
      <c r="M255" s="45"/>
      <c r="N255" s="45"/>
      <c r="O255" s="45"/>
      <c r="P255" s="45"/>
      <c r="Q255" s="45"/>
      <c r="R255" s="45"/>
      <c r="S255" s="45"/>
      <c r="T255" s="45"/>
      <c r="U255" s="45"/>
      <c r="V255" s="45"/>
      <c r="W255" s="173"/>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row>
    <row r="256" spans="1:46" x14ac:dyDescent="0.3">
      <c r="A256" s="173"/>
      <c r="B256" s="44"/>
      <c r="C256" s="45"/>
      <c r="D256" s="45"/>
      <c r="E256" s="45"/>
      <c r="F256" s="45"/>
      <c r="G256" s="45"/>
      <c r="H256" s="44"/>
      <c r="I256" s="44"/>
      <c r="J256" s="45"/>
      <c r="K256" s="45"/>
      <c r="L256" s="44"/>
      <c r="M256" s="45"/>
      <c r="N256" s="45"/>
      <c r="O256" s="45"/>
      <c r="P256" s="45"/>
      <c r="Q256" s="45"/>
      <c r="R256" s="45"/>
      <c r="S256" s="45"/>
      <c r="T256" s="45"/>
      <c r="U256" s="45"/>
      <c r="V256" s="45"/>
      <c r="W256" s="173"/>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row>
    <row r="257" spans="1:46" x14ac:dyDescent="0.3">
      <c r="A257" s="173"/>
      <c r="B257" s="44"/>
      <c r="C257" s="45"/>
      <c r="D257" s="45"/>
      <c r="E257" s="45"/>
      <c r="F257" s="45"/>
      <c r="G257" s="45"/>
      <c r="H257" s="44"/>
      <c r="I257" s="44"/>
      <c r="J257" s="45"/>
      <c r="K257" s="45"/>
      <c r="L257" s="44"/>
      <c r="M257" s="45"/>
      <c r="N257" s="45"/>
      <c r="O257" s="45"/>
      <c r="P257" s="45"/>
      <c r="Q257" s="45"/>
      <c r="R257" s="45"/>
      <c r="S257" s="45"/>
      <c r="T257" s="45"/>
      <c r="U257" s="45"/>
      <c r="V257" s="45"/>
      <c r="W257" s="173"/>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row>
    <row r="258" spans="1:46" x14ac:dyDescent="0.3">
      <c r="A258" s="173"/>
      <c r="B258" s="44"/>
      <c r="C258" s="45"/>
      <c r="D258" s="45"/>
      <c r="E258" s="45"/>
      <c r="F258" s="45"/>
      <c r="G258" s="45"/>
      <c r="H258" s="44"/>
      <c r="I258" s="44"/>
      <c r="J258" s="45"/>
      <c r="K258" s="45"/>
      <c r="L258" s="44"/>
      <c r="M258" s="45"/>
      <c r="N258" s="45"/>
      <c r="O258" s="45"/>
      <c r="P258" s="45"/>
      <c r="Q258" s="45"/>
      <c r="R258" s="45"/>
      <c r="S258" s="45"/>
      <c r="T258" s="45"/>
      <c r="U258" s="45"/>
      <c r="V258" s="45"/>
      <c r="W258" s="173"/>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row>
    <row r="259" spans="1:46" x14ac:dyDescent="0.3">
      <c r="A259" s="173"/>
      <c r="B259" s="44"/>
      <c r="C259" s="45"/>
      <c r="D259" s="45"/>
      <c r="E259" s="45"/>
      <c r="F259" s="45"/>
      <c r="G259" s="45"/>
      <c r="H259" s="44"/>
      <c r="I259" s="44"/>
      <c r="J259" s="45"/>
      <c r="K259" s="45"/>
      <c r="L259" s="44"/>
      <c r="M259" s="45"/>
      <c r="N259" s="45"/>
      <c r="O259" s="45"/>
      <c r="P259" s="45"/>
      <c r="Q259" s="45"/>
      <c r="R259" s="45"/>
      <c r="S259" s="45"/>
      <c r="T259" s="45"/>
      <c r="U259" s="45"/>
      <c r="V259" s="45"/>
      <c r="W259" s="173"/>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row>
    <row r="260" spans="1:46" x14ac:dyDescent="0.3">
      <c r="A260" s="173"/>
      <c r="B260" s="44"/>
      <c r="C260" s="45"/>
      <c r="D260" s="45"/>
      <c r="E260" s="45"/>
      <c r="F260" s="45"/>
      <c r="G260" s="45"/>
      <c r="H260" s="44"/>
      <c r="I260" s="44"/>
      <c r="J260" s="45"/>
      <c r="K260" s="45"/>
      <c r="L260" s="44"/>
      <c r="M260" s="45"/>
      <c r="N260" s="45"/>
      <c r="O260" s="45"/>
      <c r="P260" s="45"/>
      <c r="Q260" s="45"/>
      <c r="R260" s="45"/>
      <c r="S260" s="45"/>
      <c r="T260" s="45"/>
      <c r="U260" s="45"/>
      <c r="V260" s="45"/>
      <c r="W260" s="173"/>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row>
    <row r="261" spans="1:46" x14ac:dyDescent="0.3">
      <c r="A261" s="173"/>
      <c r="B261" s="44"/>
      <c r="C261" s="45"/>
      <c r="D261" s="45"/>
      <c r="E261" s="45"/>
      <c r="F261" s="45"/>
      <c r="G261" s="45"/>
      <c r="H261" s="44"/>
      <c r="I261" s="44"/>
      <c r="J261" s="45"/>
      <c r="K261" s="45"/>
      <c r="L261" s="44"/>
      <c r="M261" s="45"/>
      <c r="N261" s="45"/>
      <c r="O261" s="45"/>
      <c r="P261" s="45"/>
      <c r="Q261" s="45"/>
      <c r="R261" s="45"/>
      <c r="S261" s="45"/>
      <c r="T261" s="45"/>
      <c r="U261" s="45"/>
      <c r="V261" s="45"/>
      <c r="W261" s="173"/>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row>
    <row r="262" spans="1:46" x14ac:dyDescent="0.3">
      <c r="A262" s="173"/>
      <c r="B262" s="44"/>
      <c r="C262" s="45"/>
      <c r="D262" s="45"/>
      <c r="E262" s="45"/>
      <c r="F262" s="45"/>
      <c r="G262" s="45"/>
      <c r="H262" s="44"/>
      <c r="I262" s="44"/>
      <c r="J262" s="45"/>
      <c r="K262" s="45"/>
      <c r="L262" s="44"/>
      <c r="M262" s="45"/>
      <c r="N262" s="45"/>
      <c r="O262" s="45"/>
      <c r="P262" s="45"/>
      <c r="Q262" s="45"/>
      <c r="R262" s="45"/>
      <c r="S262" s="45"/>
      <c r="T262" s="45"/>
      <c r="U262" s="45"/>
      <c r="V262" s="45"/>
      <c r="W262" s="173"/>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row>
    <row r="263" spans="1:46" x14ac:dyDescent="0.3">
      <c r="A263" s="173"/>
      <c r="B263" s="44"/>
      <c r="C263" s="45"/>
      <c r="D263" s="45"/>
      <c r="E263" s="45"/>
      <c r="F263" s="45"/>
      <c r="G263" s="45"/>
      <c r="H263" s="44"/>
      <c r="I263" s="44"/>
      <c r="J263" s="45"/>
      <c r="K263" s="45"/>
      <c r="L263" s="44"/>
      <c r="M263" s="45"/>
      <c r="N263" s="45"/>
      <c r="O263" s="45"/>
      <c r="P263" s="45"/>
      <c r="Q263" s="45"/>
      <c r="R263" s="45"/>
      <c r="S263" s="45"/>
      <c r="T263" s="45"/>
      <c r="U263" s="45"/>
      <c r="V263" s="45"/>
      <c r="W263" s="173"/>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row>
    <row r="264" spans="1:46" x14ac:dyDescent="0.3">
      <c r="A264" s="173"/>
      <c r="B264" s="44"/>
      <c r="C264" s="45"/>
      <c r="D264" s="45"/>
      <c r="E264" s="45"/>
      <c r="F264" s="45"/>
      <c r="G264" s="45"/>
      <c r="H264" s="44"/>
      <c r="I264" s="44"/>
      <c r="J264" s="45"/>
      <c r="K264" s="45"/>
      <c r="L264" s="44"/>
      <c r="M264" s="45"/>
      <c r="N264" s="45"/>
      <c r="O264" s="45"/>
      <c r="P264" s="45"/>
      <c r="Q264" s="45"/>
      <c r="R264" s="45"/>
      <c r="S264" s="45"/>
      <c r="T264" s="45"/>
      <c r="U264" s="45"/>
      <c r="V264" s="45"/>
      <c r="W264" s="173"/>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row>
    <row r="265" spans="1:46" x14ac:dyDescent="0.3">
      <c r="A265" s="173"/>
      <c r="B265" s="44"/>
      <c r="C265" s="45"/>
      <c r="D265" s="45"/>
      <c r="E265" s="45"/>
      <c r="F265" s="45"/>
      <c r="G265" s="45"/>
      <c r="H265" s="44"/>
      <c r="I265" s="44"/>
      <c r="J265" s="45"/>
      <c r="K265" s="45"/>
      <c r="L265" s="44"/>
      <c r="M265" s="45"/>
      <c r="N265" s="45"/>
      <c r="O265" s="45"/>
      <c r="P265" s="45"/>
      <c r="Q265" s="45"/>
      <c r="R265" s="45"/>
      <c r="S265" s="45"/>
      <c r="T265" s="45"/>
      <c r="U265" s="45"/>
      <c r="V265" s="45"/>
      <c r="W265" s="173"/>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row>
    <row r="266" spans="1:46" x14ac:dyDescent="0.3">
      <c r="A266" s="173"/>
      <c r="B266" s="44"/>
      <c r="C266" s="45"/>
      <c r="D266" s="45"/>
      <c r="E266" s="45"/>
      <c r="F266" s="45"/>
      <c r="G266" s="45"/>
      <c r="H266" s="44"/>
      <c r="I266" s="44"/>
      <c r="J266" s="45"/>
      <c r="K266" s="45"/>
      <c r="L266" s="44"/>
      <c r="M266" s="45"/>
      <c r="N266" s="45"/>
      <c r="O266" s="45"/>
      <c r="P266" s="45"/>
      <c r="Q266" s="45"/>
      <c r="R266" s="45"/>
      <c r="S266" s="45"/>
      <c r="T266" s="45"/>
      <c r="U266" s="45"/>
      <c r="V266" s="45"/>
      <c r="W266" s="173"/>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row>
    <row r="267" spans="1:46" x14ac:dyDescent="0.3">
      <c r="A267" s="173"/>
      <c r="B267" s="44"/>
      <c r="C267" s="45"/>
      <c r="D267" s="45"/>
      <c r="E267" s="45"/>
      <c r="F267" s="45"/>
      <c r="G267" s="45"/>
      <c r="H267" s="44"/>
      <c r="I267" s="44"/>
      <c r="J267" s="45"/>
      <c r="K267" s="45"/>
      <c r="L267" s="44"/>
      <c r="M267" s="45"/>
      <c r="N267" s="45"/>
      <c r="O267" s="45"/>
      <c r="P267" s="45"/>
      <c r="Q267" s="45"/>
      <c r="R267" s="45"/>
      <c r="S267" s="45"/>
      <c r="T267" s="45"/>
      <c r="U267" s="45"/>
      <c r="V267" s="45"/>
      <c r="W267" s="173"/>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row>
    <row r="268" spans="1:46" x14ac:dyDescent="0.3">
      <c r="A268" s="173"/>
      <c r="B268" s="44"/>
      <c r="C268" s="45"/>
      <c r="D268" s="45"/>
      <c r="E268" s="45"/>
      <c r="F268" s="45"/>
      <c r="G268" s="45"/>
      <c r="H268" s="44"/>
      <c r="I268" s="44"/>
      <c r="J268" s="45"/>
      <c r="K268" s="45"/>
      <c r="L268" s="44"/>
      <c r="M268" s="45"/>
      <c r="N268" s="45"/>
      <c r="O268" s="45"/>
      <c r="P268" s="45"/>
      <c r="Q268" s="45"/>
      <c r="R268" s="45"/>
      <c r="S268" s="45"/>
      <c r="T268" s="45"/>
      <c r="U268" s="45"/>
      <c r="V268" s="45"/>
      <c r="W268" s="173"/>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row>
    <row r="269" spans="1:46" x14ac:dyDescent="0.3">
      <c r="A269" s="173"/>
      <c r="B269" s="44"/>
      <c r="C269" s="45"/>
      <c r="D269" s="45"/>
      <c r="E269" s="45"/>
      <c r="F269" s="45"/>
      <c r="G269" s="45"/>
      <c r="H269" s="44"/>
      <c r="I269" s="44"/>
      <c r="J269" s="45"/>
      <c r="K269" s="45"/>
      <c r="L269" s="44"/>
      <c r="M269" s="45"/>
      <c r="N269" s="45"/>
      <c r="O269" s="45"/>
      <c r="P269" s="45"/>
      <c r="Q269" s="45"/>
      <c r="R269" s="45"/>
      <c r="S269" s="45"/>
      <c r="T269" s="45"/>
      <c r="U269" s="45"/>
      <c r="V269" s="45"/>
      <c r="W269" s="173"/>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row>
    <row r="270" spans="1:46" x14ac:dyDescent="0.3">
      <c r="A270" s="173"/>
      <c r="B270" s="44"/>
      <c r="C270" s="45"/>
      <c r="D270" s="45"/>
      <c r="E270" s="45"/>
      <c r="F270" s="45"/>
      <c r="G270" s="45"/>
      <c r="H270" s="44"/>
      <c r="I270" s="44"/>
      <c r="J270" s="45"/>
      <c r="K270" s="45"/>
      <c r="L270" s="44"/>
      <c r="M270" s="45"/>
      <c r="N270" s="45"/>
      <c r="O270" s="45"/>
      <c r="P270" s="45"/>
      <c r="Q270" s="45"/>
      <c r="R270" s="45"/>
      <c r="S270" s="45"/>
      <c r="T270" s="45"/>
      <c r="U270" s="45"/>
      <c r="V270" s="45"/>
      <c r="W270" s="173"/>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row>
    <row r="271" spans="1:46" x14ac:dyDescent="0.3">
      <c r="A271" s="173"/>
      <c r="B271" s="44"/>
      <c r="C271" s="45"/>
      <c r="D271" s="45"/>
      <c r="E271" s="45"/>
      <c r="F271" s="45"/>
      <c r="G271" s="45"/>
      <c r="H271" s="44"/>
      <c r="I271" s="44"/>
      <c r="J271" s="45"/>
      <c r="K271" s="45"/>
      <c r="L271" s="44"/>
      <c r="M271" s="45"/>
      <c r="N271" s="45"/>
      <c r="O271" s="45"/>
      <c r="P271" s="45"/>
      <c r="Q271" s="45"/>
      <c r="R271" s="45"/>
      <c r="S271" s="45"/>
      <c r="T271" s="45"/>
      <c r="U271" s="45"/>
      <c r="V271" s="45"/>
      <c r="W271" s="173"/>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row>
    <row r="272" spans="1:46" x14ac:dyDescent="0.3">
      <c r="A272" s="173"/>
      <c r="B272" s="44"/>
      <c r="C272" s="45"/>
      <c r="D272" s="45"/>
      <c r="E272" s="45"/>
      <c r="F272" s="45"/>
      <c r="G272" s="45"/>
      <c r="H272" s="44"/>
      <c r="I272" s="44"/>
      <c r="J272" s="45"/>
      <c r="K272" s="45"/>
      <c r="L272" s="44"/>
      <c r="M272" s="45"/>
      <c r="N272" s="45"/>
      <c r="O272" s="45"/>
      <c r="P272" s="45"/>
      <c r="Q272" s="45"/>
      <c r="R272" s="45"/>
      <c r="S272" s="45"/>
      <c r="T272" s="45"/>
      <c r="U272" s="45"/>
      <c r="V272" s="45"/>
      <c r="W272" s="173"/>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row>
    <row r="273" spans="1:46" x14ac:dyDescent="0.3">
      <c r="A273" s="173"/>
      <c r="B273" s="44"/>
      <c r="C273" s="45"/>
      <c r="D273" s="45"/>
      <c r="E273" s="45"/>
      <c r="F273" s="45"/>
      <c r="G273" s="45"/>
      <c r="H273" s="44"/>
      <c r="I273" s="44"/>
      <c r="J273" s="45"/>
      <c r="K273" s="45"/>
      <c r="L273" s="44"/>
      <c r="M273" s="45"/>
      <c r="N273" s="45"/>
      <c r="O273" s="45"/>
      <c r="P273" s="45"/>
      <c r="Q273" s="45"/>
      <c r="R273" s="45"/>
      <c r="S273" s="45"/>
      <c r="T273" s="45"/>
      <c r="U273" s="45"/>
      <c r="V273" s="45"/>
      <c r="W273" s="173"/>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row>
    <row r="274" spans="1:46" x14ac:dyDescent="0.3">
      <c r="A274" s="173"/>
      <c r="B274" s="44"/>
      <c r="C274" s="45"/>
      <c r="D274" s="45"/>
      <c r="E274" s="45"/>
      <c r="F274" s="45"/>
      <c r="G274" s="45"/>
      <c r="H274" s="44"/>
      <c r="I274" s="44"/>
      <c r="J274" s="45"/>
      <c r="K274" s="45"/>
      <c r="L274" s="44"/>
      <c r="M274" s="45"/>
      <c r="N274" s="45"/>
      <c r="O274" s="45"/>
      <c r="P274" s="45"/>
      <c r="Q274" s="45"/>
      <c r="R274" s="45"/>
      <c r="S274" s="45"/>
      <c r="T274" s="45"/>
      <c r="U274" s="45"/>
      <c r="V274" s="45"/>
      <c r="W274" s="173"/>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row>
    <row r="275" spans="1:46" x14ac:dyDescent="0.3">
      <c r="A275" s="173"/>
      <c r="B275" s="44"/>
      <c r="C275" s="45"/>
      <c r="D275" s="45"/>
      <c r="E275" s="45"/>
      <c r="F275" s="45"/>
      <c r="G275" s="45"/>
      <c r="H275" s="44"/>
      <c r="I275" s="44"/>
      <c r="J275" s="45"/>
      <c r="K275" s="45"/>
      <c r="L275" s="44"/>
      <c r="M275" s="45"/>
      <c r="N275" s="45"/>
      <c r="O275" s="45"/>
      <c r="P275" s="45"/>
      <c r="Q275" s="45"/>
      <c r="R275" s="45"/>
      <c r="S275" s="45"/>
      <c r="T275" s="45"/>
      <c r="U275" s="45"/>
      <c r="V275" s="45"/>
      <c r="W275" s="173"/>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row>
    <row r="276" spans="1:46" x14ac:dyDescent="0.3">
      <c r="A276" s="173"/>
      <c r="B276" s="44"/>
      <c r="C276" s="45"/>
      <c r="D276" s="45"/>
      <c r="E276" s="45"/>
      <c r="F276" s="45"/>
      <c r="G276" s="45"/>
      <c r="H276" s="44"/>
      <c r="I276" s="44"/>
      <c r="J276" s="45"/>
      <c r="K276" s="45"/>
      <c r="L276" s="44"/>
      <c r="M276" s="45"/>
      <c r="N276" s="45"/>
      <c r="O276" s="45"/>
      <c r="P276" s="45"/>
      <c r="Q276" s="45"/>
      <c r="R276" s="45"/>
      <c r="S276" s="45"/>
      <c r="T276" s="45"/>
      <c r="U276" s="45"/>
      <c r="V276" s="45"/>
      <c r="W276" s="173"/>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row>
    <row r="277" spans="1:46" x14ac:dyDescent="0.3">
      <c r="A277" s="173"/>
      <c r="B277" s="44"/>
      <c r="C277" s="45"/>
      <c r="D277" s="45"/>
      <c r="E277" s="45"/>
      <c r="F277" s="45"/>
      <c r="G277" s="45"/>
      <c r="H277" s="44"/>
      <c r="I277" s="44"/>
      <c r="J277" s="45"/>
      <c r="K277" s="45"/>
      <c r="L277" s="44"/>
      <c r="M277" s="45"/>
      <c r="N277" s="45"/>
      <c r="O277" s="45"/>
      <c r="P277" s="45"/>
      <c r="Q277" s="45"/>
      <c r="R277" s="45"/>
      <c r="S277" s="45"/>
      <c r="T277" s="45"/>
      <c r="U277" s="45"/>
      <c r="V277" s="45"/>
      <c r="W277" s="173"/>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row>
    <row r="278" spans="1:46" x14ac:dyDescent="0.3">
      <c r="A278" s="173"/>
      <c r="B278" s="44"/>
      <c r="C278" s="45"/>
      <c r="D278" s="45"/>
      <c r="E278" s="45"/>
      <c r="F278" s="45"/>
      <c r="G278" s="45"/>
      <c r="H278" s="44"/>
      <c r="I278" s="44"/>
      <c r="J278" s="45"/>
      <c r="K278" s="45"/>
      <c r="L278" s="44"/>
      <c r="M278" s="45"/>
      <c r="N278" s="45"/>
      <c r="O278" s="45"/>
      <c r="P278" s="45"/>
      <c r="Q278" s="45"/>
      <c r="R278" s="45"/>
      <c r="S278" s="45"/>
      <c r="T278" s="45"/>
      <c r="U278" s="45"/>
      <c r="V278" s="45"/>
      <c r="W278" s="173"/>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row>
    <row r="279" spans="1:46" x14ac:dyDescent="0.3">
      <c r="A279" s="173"/>
      <c r="B279" s="44"/>
      <c r="C279" s="45"/>
      <c r="D279" s="45"/>
      <c r="E279" s="45"/>
      <c r="F279" s="45"/>
      <c r="G279" s="45"/>
      <c r="H279" s="44"/>
      <c r="I279" s="44"/>
      <c r="J279" s="45"/>
      <c r="K279" s="45"/>
      <c r="L279" s="44"/>
      <c r="M279" s="45"/>
      <c r="N279" s="45"/>
      <c r="O279" s="45"/>
      <c r="P279" s="45"/>
      <c r="Q279" s="45"/>
      <c r="R279" s="45"/>
      <c r="S279" s="45"/>
      <c r="T279" s="45"/>
      <c r="U279" s="45"/>
      <c r="V279" s="45"/>
      <c r="W279" s="173"/>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row>
    <row r="280" spans="1:46" x14ac:dyDescent="0.3">
      <c r="A280" s="173"/>
      <c r="B280" s="44"/>
      <c r="C280" s="45"/>
      <c r="D280" s="45"/>
      <c r="E280" s="45"/>
      <c r="F280" s="45"/>
      <c r="G280" s="45"/>
      <c r="H280" s="44"/>
      <c r="I280" s="44"/>
      <c r="J280" s="45"/>
      <c r="K280" s="45"/>
      <c r="L280" s="44"/>
      <c r="M280" s="45"/>
      <c r="N280" s="45"/>
      <c r="O280" s="45"/>
      <c r="P280" s="45"/>
      <c r="Q280" s="45"/>
      <c r="R280" s="45"/>
      <c r="S280" s="45"/>
      <c r="T280" s="45"/>
      <c r="U280" s="45"/>
      <c r="V280" s="45"/>
      <c r="W280" s="173"/>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row>
    <row r="281" spans="1:46" x14ac:dyDescent="0.3">
      <c r="A281" s="173"/>
      <c r="B281" s="44"/>
      <c r="C281" s="45"/>
      <c r="D281" s="45"/>
      <c r="E281" s="45"/>
      <c r="F281" s="45"/>
      <c r="G281" s="45"/>
      <c r="H281" s="44"/>
      <c r="I281" s="44"/>
      <c r="J281" s="45"/>
      <c r="K281" s="45"/>
      <c r="L281" s="44"/>
      <c r="M281" s="45"/>
      <c r="N281" s="45"/>
      <c r="O281" s="45"/>
      <c r="P281" s="45"/>
      <c r="Q281" s="45"/>
      <c r="R281" s="45"/>
      <c r="S281" s="45"/>
      <c r="T281" s="45"/>
      <c r="U281" s="45"/>
      <c r="V281" s="45"/>
      <c r="W281" s="173"/>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row>
    <row r="282" spans="1:46" x14ac:dyDescent="0.3">
      <c r="A282" s="173"/>
      <c r="B282" s="44"/>
      <c r="C282" s="45"/>
      <c r="D282" s="45"/>
      <c r="E282" s="45"/>
      <c r="F282" s="45"/>
      <c r="G282" s="45"/>
      <c r="H282" s="44"/>
      <c r="I282" s="44"/>
      <c r="J282" s="45"/>
      <c r="K282" s="45"/>
      <c r="L282" s="44"/>
      <c r="M282" s="45"/>
      <c r="N282" s="45"/>
      <c r="O282" s="45"/>
      <c r="P282" s="45"/>
      <c r="Q282" s="45"/>
      <c r="R282" s="45"/>
      <c r="S282" s="45"/>
      <c r="T282" s="45"/>
      <c r="U282" s="45"/>
      <c r="V282" s="45"/>
      <c r="W282" s="173"/>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row>
    <row r="283" spans="1:46" x14ac:dyDescent="0.3">
      <c r="A283" s="173"/>
      <c r="B283" s="44"/>
      <c r="C283" s="45"/>
      <c r="D283" s="45"/>
      <c r="E283" s="45"/>
      <c r="F283" s="45"/>
      <c r="G283" s="45"/>
      <c r="H283" s="44"/>
      <c r="I283" s="44"/>
      <c r="J283" s="45"/>
      <c r="K283" s="45"/>
      <c r="L283" s="44"/>
      <c r="M283" s="45"/>
      <c r="N283" s="45"/>
      <c r="O283" s="45"/>
      <c r="P283" s="45"/>
      <c r="Q283" s="45"/>
      <c r="R283" s="45"/>
      <c r="S283" s="45"/>
      <c r="T283" s="45"/>
      <c r="U283" s="45"/>
      <c r="V283" s="45"/>
      <c r="W283" s="173"/>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row>
    <row r="284" spans="1:46" x14ac:dyDescent="0.3">
      <c r="A284" s="173"/>
      <c r="B284" s="44"/>
      <c r="C284" s="45"/>
      <c r="D284" s="45"/>
      <c r="E284" s="45"/>
      <c r="F284" s="45"/>
      <c r="G284" s="45"/>
      <c r="H284" s="44"/>
      <c r="I284" s="44"/>
      <c r="J284" s="45"/>
      <c r="K284" s="45"/>
      <c r="L284" s="44"/>
      <c r="M284" s="45"/>
      <c r="N284" s="45"/>
      <c r="O284" s="45"/>
      <c r="P284" s="45"/>
      <c r="Q284" s="45"/>
      <c r="R284" s="45"/>
      <c r="S284" s="45"/>
      <c r="T284" s="45"/>
      <c r="U284" s="45"/>
      <c r="V284" s="45"/>
      <c r="W284" s="173"/>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row>
    <row r="285" spans="1:46" x14ac:dyDescent="0.3">
      <c r="A285" s="173"/>
      <c r="B285" s="44"/>
      <c r="C285" s="45"/>
      <c r="D285" s="45"/>
      <c r="E285" s="45"/>
      <c r="F285" s="45"/>
      <c r="G285" s="45"/>
      <c r="H285" s="44"/>
      <c r="I285" s="44"/>
      <c r="J285" s="45"/>
      <c r="K285" s="45"/>
      <c r="L285" s="44"/>
      <c r="M285" s="45"/>
      <c r="N285" s="45"/>
      <c r="O285" s="45"/>
      <c r="P285" s="45"/>
      <c r="Q285" s="45"/>
      <c r="R285" s="45"/>
      <c r="S285" s="45"/>
      <c r="T285" s="45"/>
      <c r="U285" s="45"/>
      <c r="V285" s="45"/>
      <c r="W285" s="173"/>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row>
    <row r="286" spans="1:46" x14ac:dyDescent="0.3">
      <c r="A286" s="173"/>
      <c r="B286" s="44"/>
      <c r="C286" s="45"/>
      <c r="D286" s="45"/>
      <c r="E286" s="45"/>
      <c r="F286" s="45"/>
      <c r="G286" s="45"/>
      <c r="H286" s="44"/>
      <c r="I286" s="44"/>
      <c r="J286" s="45"/>
      <c r="K286" s="45"/>
      <c r="L286" s="44"/>
      <c r="M286" s="45"/>
      <c r="N286" s="45"/>
      <c r="O286" s="45"/>
      <c r="P286" s="45"/>
      <c r="Q286" s="45"/>
      <c r="R286" s="45"/>
      <c r="S286" s="45"/>
      <c r="T286" s="45"/>
      <c r="U286" s="45"/>
      <c r="V286" s="45"/>
      <c r="W286" s="173"/>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row>
    <row r="287" spans="1:46" x14ac:dyDescent="0.3">
      <c r="A287" s="173"/>
      <c r="B287" s="44"/>
      <c r="C287" s="45"/>
      <c r="D287" s="45"/>
      <c r="E287" s="45"/>
      <c r="F287" s="45"/>
      <c r="G287" s="45"/>
      <c r="H287" s="44"/>
      <c r="I287" s="44"/>
      <c r="J287" s="45"/>
      <c r="K287" s="45"/>
      <c r="L287" s="44"/>
      <c r="M287" s="45"/>
      <c r="N287" s="45"/>
      <c r="O287" s="45"/>
      <c r="P287" s="45"/>
      <c r="Q287" s="45"/>
      <c r="R287" s="45"/>
      <c r="S287" s="45"/>
      <c r="T287" s="45"/>
      <c r="U287" s="45"/>
      <c r="V287" s="45"/>
      <c r="W287" s="173"/>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row>
    <row r="288" spans="1:46" x14ac:dyDescent="0.3">
      <c r="A288" s="173"/>
      <c r="B288" s="44"/>
      <c r="C288" s="45"/>
      <c r="D288" s="45"/>
      <c r="E288" s="45"/>
      <c r="F288" s="45"/>
      <c r="G288" s="45"/>
      <c r="H288" s="44"/>
      <c r="I288" s="44"/>
      <c r="J288" s="45"/>
      <c r="K288" s="45"/>
      <c r="L288" s="44"/>
      <c r="M288" s="45"/>
      <c r="N288" s="45"/>
      <c r="O288" s="45"/>
      <c r="P288" s="45"/>
      <c r="Q288" s="45"/>
      <c r="R288" s="45"/>
      <c r="S288" s="45"/>
      <c r="T288" s="45"/>
      <c r="U288" s="45"/>
      <c r="V288" s="45"/>
      <c r="W288" s="173"/>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row>
    <row r="289" spans="1:46" x14ac:dyDescent="0.3">
      <c r="A289" s="173"/>
      <c r="B289" s="44"/>
      <c r="C289" s="45"/>
      <c r="D289" s="45"/>
      <c r="E289" s="45"/>
      <c r="F289" s="45"/>
      <c r="G289" s="45"/>
      <c r="H289" s="44"/>
      <c r="I289" s="44"/>
      <c r="J289" s="45"/>
      <c r="K289" s="45"/>
      <c r="L289" s="44"/>
      <c r="M289" s="45"/>
      <c r="N289" s="45"/>
      <c r="O289" s="45"/>
      <c r="P289" s="45"/>
      <c r="Q289" s="45"/>
      <c r="R289" s="45"/>
      <c r="S289" s="45"/>
      <c r="T289" s="45"/>
      <c r="U289" s="45"/>
      <c r="V289" s="45"/>
      <c r="W289" s="173"/>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row>
    <row r="290" spans="1:46" x14ac:dyDescent="0.3">
      <c r="A290" s="173"/>
      <c r="B290" s="44"/>
      <c r="C290" s="45"/>
      <c r="D290" s="45"/>
      <c r="E290" s="45"/>
      <c r="F290" s="45"/>
      <c r="G290" s="45"/>
      <c r="H290" s="44"/>
      <c r="I290" s="44"/>
      <c r="J290" s="45"/>
      <c r="K290" s="45"/>
      <c r="L290" s="44"/>
      <c r="M290" s="45"/>
      <c r="N290" s="45"/>
      <c r="O290" s="45"/>
      <c r="P290" s="45"/>
      <c r="Q290" s="45"/>
      <c r="R290" s="45"/>
      <c r="S290" s="45"/>
      <c r="T290" s="45"/>
      <c r="U290" s="45"/>
      <c r="V290" s="45"/>
      <c r="W290" s="173"/>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row>
    <row r="291" spans="1:46" x14ac:dyDescent="0.3">
      <c r="A291" s="173"/>
      <c r="B291" s="44"/>
      <c r="C291" s="45"/>
      <c r="D291" s="45"/>
      <c r="E291" s="45"/>
      <c r="F291" s="45"/>
      <c r="G291" s="45"/>
      <c r="H291" s="44"/>
      <c r="I291" s="44"/>
      <c r="J291" s="45"/>
      <c r="K291" s="45"/>
      <c r="L291" s="44"/>
      <c r="M291" s="45"/>
      <c r="N291" s="45"/>
      <c r="O291" s="45"/>
      <c r="P291" s="45"/>
      <c r="Q291" s="45"/>
      <c r="R291" s="45"/>
      <c r="S291" s="45"/>
      <c r="T291" s="45"/>
      <c r="U291" s="45"/>
      <c r="V291" s="45"/>
      <c r="W291" s="173"/>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row>
    <row r="292" spans="1:46" x14ac:dyDescent="0.3">
      <c r="A292" s="173"/>
      <c r="B292" s="44"/>
      <c r="C292" s="45"/>
      <c r="D292" s="45"/>
      <c r="E292" s="45"/>
      <c r="F292" s="45"/>
      <c r="G292" s="45"/>
      <c r="H292" s="44"/>
      <c r="I292" s="44"/>
      <c r="J292" s="45"/>
      <c r="K292" s="45"/>
      <c r="L292" s="44"/>
      <c r="M292" s="45"/>
      <c r="N292" s="45"/>
      <c r="O292" s="45"/>
      <c r="P292" s="45"/>
      <c r="Q292" s="45"/>
      <c r="R292" s="45"/>
      <c r="S292" s="45"/>
      <c r="T292" s="45"/>
      <c r="U292" s="45"/>
      <c r="V292" s="45"/>
      <c r="W292" s="173"/>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row>
    <row r="293" spans="1:46" x14ac:dyDescent="0.3">
      <c r="A293" s="173"/>
      <c r="B293" s="44"/>
      <c r="C293" s="45"/>
      <c r="D293" s="45"/>
      <c r="E293" s="45"/>
      <c r="F293" s="45"/>
      <c r="G293" s="45"/>
      <c r="H293" s="44"/>
      <c r="I293" s="44"/>
      <c r="J293" s="45"/>
      <c r="K293" s="45"/>
      <c r="L293" s="44"/>
      <c r="M293" s="45"/>
      <c r="N293" s="45"/>
      <c r="O293" s="45"/>
      <c r="P293" s="45"/>
      <c r="Q293" s="45"/>
      <c r="R293" s="45"/>
      <c r="S293" s="45"/>
      <c r="T293" s="45"/>
      <c r="U293" s="45"/>
      <c r="V293" s="45"/>
      <c r="W293" s="173"/>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row>
    <row r="294" spans="1:46" x14ac:dyDescent="0.3">
      <c r="A294" s="173"/>
      <c r="B294" s="44"/>
      <c r="C294" s="45"/>
      <c r="D294" s="45"/>
      <c r="E294" s="45"/>
      <c r="F294" s="45"/>
      <c r="G294" s="45"/>
      <c r="H294" s="44"/>
      <c r="I294" s="44"/>
      <c r="J294" s="45"/>
      <c r="K294" s="45"/>
      <c r="L294" s="44"/>
      <c r="M294" s="45"/>
      <c r="N294" s="45"/>
      <c r="O294" s="45"/>
      <c r="P294" s="45"/>
      <c r="Q294" s="45"/>
      <c r="R294" s="45"/>
      <c r="S294" s="45"/>
      <c r="T294" s="45"/>
      <c r="U294" s="45"/>
      <c r="V294" s="45"/>
      <c r="W294" s="173"/>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row>
    <row r="295" spans="1:46" x14ac:dyDescent="0.3">
      <c r="A295" s="173"/>
      <c r="B295" s="44"/>
      <c r="C295" s="45"/>
      <c r="D295" s="45"/>
      <c r="E295" s="45"/>
      <c r="F295" s="45"/>
      <c r="G295" s="45"/>
      <c r="H295" s="44"/>
      <c r="I295" s="44"/>
      <c r="J295" s="45"/>
      <c r="K295" s="45"/>
      <c r="L295" s="44"/>
      <c r="M295" s="45"/>
      <c r="N295" s="45"/>
      <c r="O295" s="45"/>
      <c r="P295" s="45"/>
      <c r="Q295" s="45"/>
      <c r="R295" s="45"/>
      <c r="S295" s="45"/>
      <c r="T295" s="45"/>
      <c r="U295" s="45"/>
      <c r="V295" s="45"/>
      <c r="W295" s="173"/>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row>
    <row r="296" spans="1:46" x14ac:dyDescent="0.3">
      <c r="A296" s="173"/>
      <c r="B296" s="44"/>
      <c r="C296" s="45"/>
      <c r="D296" s="45"/>
      <c r="E296" s="45"/>
      <c r="F296" s="45"/>
      <c r="G296" s="45"/>
      <c r="H296" s="44"/>
      <c r="I296" s="44"/>
      <c r="J296" s="45"/>
      <c r="K296" s="45"/>
      <c r="L296" s="44"/>
      <c r="M296" s="45"/>
      <c r="N296" s="45"/>
      <c r="O296" s="45"/>
      <c r="P296" s="45"/>
      <c r="Q296" s="45"/>
      <c r="R296" s="45"/>
      <c r="S296" s="45"/>
      <c r="T296" s="45"/>
      <c r="U296" s="45"/>
      <c r="V296" s="45"/>
      <c r="W296" s="173"/>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row>
    <row r="297" spans="1:46" x14ac:dyDescent="0.3">
      <c r="A297" s="173"/>
      <c r="B297" s="44"/>
      <c r="C297" s="45"/>
      <c r="D297" s="45"/>
      <c r="E297" s="45"/>
      <c r="F297" s="45"/>
      <c r="G297" s="45"/>
      <c r="H297" s="44"/>
      <c r="I297" s="44"/>
      <c r="J297" s="45"/>
      <c r="K297" s="45"/>
      <c r="L297" s="44"/>
      <c r="M297" s="45"/>
      <c r="N297" s="45"/>
      <c r="O297" s="45"/>
      <c r="P297" s="45"/>
      <c r="Q297" s="45"/>
      <c r="R297" s="45"/>
      <c r="S297" s="45"/>
      <c r="T297" s="45"/>
      <c r="U297" s="45"/>
      <c r="V297" s="45"/>
      <c r="W297" s="173"/>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row>
    <row r="298" spans="1:46" x14ac:dyDescent="0.3">
      <c r="A298" s="173"/>
      <c r="B298" s="44"/>
      <c r="C298" s="45"/>
      <c r="D298" s="45"/>
      <c r="E298" s="45"/>
      <c r="F298" s="45"/>
      <c r="G298" s="45"/>
      <c r="H298" s="44"/>
      <c r="I298" s="44"/>
      <c r="J298" s="45"/>
      <c r="K298" s="45"/>
      <c r="L298" s="44"/>
      <c r="M298" s="45"/>
      <c r="N298" s="45"/>
      <c r="O298" s="45"/>
      <c r="P298" s="45"/>
      <c r="Q298" s="45"/>
      <c r="R298" s="45"/>
      <c r="S298" s="45"/>
      <c r="T298" s="45"/>
      <c r="U298" s="45"/>
      <c r="V298" s="45"/>
      <c r="W298" s="173"/>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row>
    <row r="299" spans="1:46" x14ac:dyDescent="0.3">
      <c r="A299" s="173"/>
      <c r="B299" s="44"/>
      <c r="C299" s="45"/>
      <c r="D299" s="45"/>
      <c r="E299" s="45"/>
      <c r="F299" s="45"/>
      <c r="G299" s="45"/>
      <c r="H299" s="44"/>
      <c r="I299" s="44"/>
      <c r="J299" s="45"/>
      <c r="K299" s="45"/>
      <c r="L299" s="44"/>
      <c r="M299" s="45"/>
      <c r="N299" s="45"/>
      <c r="O299" s="45"/>
      <c r="P299" s="45"/>
      <c r="Q299" s="45"/>
      <c r="R299" s="45"/>
      <c r="S299" s="45"/>
      <c r="T299" s="45"/>
      <c r="U299" s="45"/>
      <c r="V299" s="45"/>
      <c r="W299" s="173"/>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row>
    <row r="300" spans="1:46" x14ac:dyDescent="0.3">
      <c r="A300" s="173"/>
      <c r="B300" s="44"/>
      <c r="C300" s="45"/>
      <c r="D300" s="45"/>
      <c r="E300" s="45"/>
      <c r="F300" s="45"/>
      <c r="G300" s="45"/>
      <c r="H300" s="44"/>
      <c r="I300" s="44"/>
      <c r="J300" s="45"/>
      <c r="K300" s="45"/>
      <c r="L300" s="44"/>
      <c r="M300" s="45"/>
      <c r="N300" s="45"/>
      <c r="O300" s="45"/>
      <c r="P300" s="45"/>
      <c r="Q300" s="45"/>
      <c r="R300" s="45"/>
      <c r="S300" s="45"/>
      <c r="T300" s="45"/>
      <c r="U300" s="45"/>
      <c r="V300" s="45"/>
      <c r="W300" s="173"/>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row>
    <row r="301" spans="1:46" x14ac:dyDescent="0.3">
      <c r="A301" s="173"/>
      <c r="B301" s="44"/>
      <c r="C301" s="45"/>
      <c r="D301" s="45"/>
      <c r="E301" s="45"/>
      <c r="F301" s="45"/>
      <c r="G301" s="45"/>
      <c r="H301" s="44"/>
      <c r="I301" s="44"/>
      <c r="J301" s="45"/>
      <c r="K301" s="45"/>
      <c r="L301" s="44"/>
      <c r="M301" s="45"/>
      <c r="N301" s="45"/>
      <c r="O301" s="45"/>
      <c r="P301" s="45"/>
      <c r="Q301" s="45"/>
      <c r="R301" s="45"/>
      <c r="S301" s="45"/>
      <c r="T301" s="45"/>
      <c r="U301" s="45"/>
      <c r="V301" s="45"/>
      <c r="W301" s="173"/>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row>
    <row r="302" spans="1:46" x14ac:dyDescent="0.3">
      <c r="A302" s="173"/>
      <c r="B302" s="44"/>
      <c r="C302" s="45"/>
      <c r="D302" s="45"/>
      <c r="E302" s="45"/>
      <c r="F302" s="45"/>
      <c r="G302" s="45"/>
      <c r="H302" s="44"/>
      <c r="I302" s="44"/>
      <c r="J302" s="45"/>
      <c r="K302" s="45"/>
      <c r="L302" s="44"/>
      <c r="M302" s="45"/>
      <c r="N302" s="45"/>
      <c r="O302" s="45"/>
      <c r="P302" s="45"/>
      <c r="Q302" s="45"/>
      <c r="R302" s="45"/>
      <c r="S302" s="45"/>
      <c r="T302" s="45"/>
      <c r="U302" s="45"/>
      <c r="V302" s="45"/>
      <c r="W302" s="173"/>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row>
    <row r="303" spans="1:46" x14ac:dyDescent="0.3">
      <c r="A303" s="173"/>
      <c r="B303" s="44"/>
      <c r="C303" s="45"/>
      <c r="D303" s="45"/>
      <c r="E303" s="45"/>
      <c r="F303" s="45"/>
      <c r="G303" s="45"/>
      <c r="H303" s="44"/>
      <c r="I303" s="44"/>
      <c r="J303" s="45"/>
      <c r="K303" s="45"/>
      <c r="L303" s="44"/>
      <c r="M303" s="45"/>
      <c r="N303" s="45"/>
      <c r="O303" s="45"/>
      <c r="P303" s="45"/>
      <c r="Q303" s="45"/>
      <c r="R303" s="45"/>
      <c r="S303" s="45"/>
      <c r="T303" s="45"/>
      <c r="U303" s="45"/>
      <c r="V303" s="45"/>
      <c r="W303" s="173"/>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row>
    <row r="304" spans="1:46" x14ac:dyDescent="0.3">
      <c r="A304" s="173"/>
      <c r="B304" s="44"/>
      <c r="C304" s="45"/>
      <c r="D304" s="45"/>
      <c r="E304" s="45"/>
      <c r="F304" s="45"/>
      <c r="G304" s="45"/>
      <c r="H304" s="44"/>
      <c r="I304" s="44"/>
      <c r="J304" s="45"/>
      <c r="K304" s="45"/>
      <c r="L304" s="44"/>
      <c r="M304" s="45"/>
      <c r="N304" s="45"/>
      <c r="O304" s="45"/>
      <c r="P304" s="45"/>
      <c r="Q304" s="45"/>
      <c r="R304" s="45"/>
      <c r="S304" s="45"/>
      <c r="T304" s="45"/>
      <c r="U304" s="45"/>
      <c r="V304" s="45"/>
      <c r="W304" s="173"/>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row>
    <row r="305" spans="1:46" x14ac:dyDescent="0.3">
      <c r="A305" s="173"/>
      <c r="B305" s="44"/>
      <c r="C305" s="45"/>
      <c r="D305" s="45"/>
      <c r="E305" s="45"/>
      <c r="F305" s="45"/>
      <c r="G305" s="45"/>
      <c r="H305" s="44"/>
      <c r="I305" s="44"/>
      <c r="J305" s="45"/>
      <c r="K305" s="45"/>
      <c r="L305" s="44"/>
      <c r="M305" s="45"/>
      <c r="N305" s="45"/>
      <c r="O305" s="45"/>
      <c r="P305" s="45"/>
      <c r="Q305" s="45"/>
      <c r="R305" s="45"/>
      <c r="S305" s="45"/>
      <c r="T305" s="45"/>
      <c r="U305" s="45"/>
      <c r="V305" s="45"/>
      <c r="W305" s="173"/>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row>
    <row r="306" spans="1:46" x14ac:dyDescent="0.3">
      <c r="A306" s="173"/>
      <c r="B306" s="44"/>
      <c r="C306" s="45"/>
      <c r="D306" s="45"/>
      <c r="E306" s="45"/>
      <c r="F306" s="45"/>
      <c r="G306" s="45"/>
      <c r="H306" s="44"/>
      <c r="I306" s="44"/>
      <c r="J306" s="45"/>
      <c r="K306" s="45"/>
      <c r="L306" s="44"/>
      <c r="M306" s="45"/>
      <c r="N306" s="45"/>
      <c r="O306" s="45"/>
      <c r="P306" s="45"/>
      <c r="Q306" s="45"/>
      <c r="R306" s="45"/>
      <c r="S306" s="45"/>
      <c r="T306" s="45"/>
      <c r="U306" s="45"/>
      <c r="V306" s="45"/>
      <c r="W306" s="173"/>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row>
    <row r="307" spans="1:46" x14ac:dyDescent="0.3">
      <c r="A307" s="173"/>
      <c r="B307" s="44"/>
      <c r="C307" s="45"/>
      <c r="D307" s="45"/>
      <c r="E307" s="45"/>
      <c r="F307" s="45"/>
      <c r="G307" s="45"/>
      <c r="H307" s="44"/>
      <c r="I307" s="44"/>
      <c r="J307" s="45"/>
      <c r="K307" s="45"/>
      <c r="L307" s="44"/>
      <c r="M307" s="45"/>
      <c r="N307" s="45"/>
      <c r="O307" s="45"/>
      <c r="P307" s="45"/>
      <c r="Q307" s="45"/>
      <c r="R307" s="45"/>
      <c r="S307" s="45"/>
      <c r="T307" s="45"/>
      <c r="U307" s="45"/>
      <c r="V307" s="45"/>
      <c r="W307" s="173"/>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row>
    <row r="308" spans="1:46" x14ac:dyDescent="0.3">
      <c r="A308" s="173"/>
      <c r="B308" s="44"/>
      <c r="C308" s="45"/>
      <c r="D308" s="45"/>
      <c r="E308" s="45"/>
      <c r="F308" s="45"/>
      <c r="G308" s="45"/>
      <c r="H308" s="44"/>
      <c r="I308" s="44"/>
      <c r="J308" s="45"/>
      <c r="K308" s="45"/>
      <c r="L308" s="44"/>
      <c r="M308" s="45"/>
      <c r="N308" s="45"/>
      <c r="O308" s="45"/>
      <c r="P308" s="45"/>
      <c r="Q308" s="45"/>
      <c r="R308" s="45"/>
      <c r="S308" s="45"/>
      <c r="T308" s="45"/>
      <c r="U308" s="45"/>
      <c r="V308" s="45"/>
      <c r="W308" s="173"/>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row>
    <row r="309" spans="1:46" x14ac:dyDescent="0.3">
      <c r="A309" s="173"/>
      <c r="B309" s="44"/>
      <c r="C309" s="45"/>
      <c r="D309" s="45"/>
      <c r="E309" s="45"/>
      <c r="F309" s="45"/>
      <c r="G309" s="45"/>
      <c r="H309" s="44"/>
      <c r="I309" s="44"/>
      <c r="J309" s="45"/>
      <c r="K309" s="45"/>
      <c r="L309" s="44"/>
      <c r="M309" s="45"/>
      <c r="N309" s="45"/>
      <c r="O309" s="45"/>
      <c r="P309" s="45"/>
      <c r="Q309" s="45"/>
      <c r="R309" s="45"/>
      <c r="S309" s="45"/>
      <c r="T309" s="45"/>
      <c r="U309" s="45"/>
      <c r="V309" s="45"/>
      <c r="W309" s="173"/>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row>
    <row r="310" spans="1:46" x14ac:dyDescent="0.3">
      <c r="A310" s="173"/>
      <c r="B310" s="44"/>
      <c r="C310" s="45"/>
      <c r="D310" s="45"/>
      <c r="E310" s="45"/>
      <c r="F310" s="45"/>
      <c r="G310" s="45"/>
      <c r="H310" s="44"/>
      <c r="I310" s="44"/>
      <c r="J310" s="45"/>
      <c r="K310" s="45"/>
      <c r="L310" s="44"/>
      <c r="M310" s="45"/>
      <c r="N310" s="45"/>
      <c r="O310" s="45"/>
      <c r="P310" s="45"/>
      <c r="Q310" s="45"/>
      <c r="R310" s="45"/>
      <c r="S310" s="45"/>
      <c r="T310" s="45"/>
      <c r="U310" s="45"/>
      <c r="V310" s="45"/>
      <c r="W310" s="173"/>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row>
    <row r="311" spans="1:46" x14ac:dyDescent="0.3">
      <c r="A311" s="173"/>
      <c r="B311" s="44"/>
      <c r="C311" s="45"/>
      <c r="D311" s="45"/>
      <c r="E311" s="45"/>
      <c r="F311" s="45"/>
      <c r="G311" s="45"/>
      <c r="H311" s="44"/>
      <c r="I311" s="44"/>
      <c r="J311" s="45"/>
      <c r="K311" s="45"/>
      <c r="L311" s="44"/>
      <c r="M311" s="45"/>
      <c r="N311" s="45"/>
      <c r="O311" s="45"/>
      <c r="P311" s="45"/>
      <c r="Q311" s="45"/>
      <c r="R311" s="45"/>
      <c r="S311" s="45"/>
      <c r="T311" s="45"/>
      <c r="U311" s="45"/>
      <c r="V311" s="45"/>
      <c r="W311" s="173"/>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row>
    <row r="312" spans="1:46" x14ac:dyDescent="0.3">
      <c r="A312" s="173"/>
      <c r="B312" s="44"/>
      <c r="C312" s="45"/>
      <c r="D312" s="45"/>
      <c r="E312" s="45"/>
      <c r="F312" s="45"/>
      <c r="G312" s="45"/>
      <c r="H312" s="44"/>
      <c r="I312" s="44"/>
      <c r="J312" s="45"/>
      <c r="K312" s="45"/>
      <c r="L312" s="44"/>
      <c r="M312" s="45"/>
      <c r="N312" s="45"/>
      <c r="O312" s="45"/>
      <c r="P312" s="45"/>
      <c r="Q312" s="45"/>
      <c r="R312" s="45"/>
      <c r="S312" s="45"/>
      <c r="T312" s="45"/>
      <c r="U312" s="45"/>
      <c r="V312" s="45"/>
      <c r="W312" s="173"/>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row>
    <row r="313" spans="1:46" x14ac:dyDescent="0.3">
      <c r="A313" s="173"/>
      <c r="B313" s="44"/>
      <c r="C313" s="45"/>
      <c r="D313" s="45"/>
      <c r="E313" s="45"/>
      <c r="F313" s="45"/>
      <c r="G313" s="45"/>
      <c r="H313" s="44"/>
      <c r="I313" s="44"/>
      <c r="J313" s="45"/>
      <c r="K313" s="45"/>
      <c r="L313" s="44"/>
      <c r="M313" s="45"/>
      <c r="N313" s="45"/>
      <c r="O313" s="45"/>
      <c r="P313" s="45"/>
      <c r="Q313" s="45"/>
      <c r="R313" s="45"/>
      <c r="S313" s="45"/>
      <c r="T313" s="45"/>
      <c r="U313" s="45"/>
      <c r="V313" s="45"/>
      <c r="W313" s="173"/>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row>
    <row r="314" spans="1:46" x14ac:dyDescent="0.3">
      <c r="A314" s="173"/>
      <c r="B314" s="44"/>
      <c r="C314" s="45"/>
      <c r="D314" s="45"/>
      <c r="E314" s="45"/>
      <c r="F314" s="45"/>
      <c r="G314" s="45"/>
      <c r="H314" s="44"/>
      <c r="I314" s="44"/>
      <c r="J314" s="45"/>
      <c r="K314" s="45"/>
      <c r="L314" s="44"/>
      <c r="M314" s="45"/>
      <c r="N314" s="45"/>
      <c r="O314" s="45"/>
      <c r="P314" s="45"/>
      <c r="Q314" s="45"/>
      <c r="R314" s="45"/>
      <c r="S314" s="45"/>
      <c r="T314" s="45"/>
      <c r="U314" s="45"/>
      <c r="V314" s="45"/>
      <c r="W314" s="173"/>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row>
    <row r="315" spans="1:46" x14ac:dyDescent="0.3">
      <c r="A315" s="173"/>
      <c r="B315" s="44"/>
      <c r="C315" s="45"/>
      <c r="D315" s="45"/>
      <c r="E315" s="45"/>
      <c r="F315" s="45"/>
      <c r="G315" s="45"/>
      <c r="H315" s="44"/>
      <c r="I315" s="44"/>
      <c r="J315" s="45"/>
      <c r="K315" s="45"/>
      <c r="L315" s="44"/>
      <c r="M315" s="45"/>
      <c r="N315" s="45"/>
      <c r="O315" s="45"/>
      <c r="P315" s="45"/>
      <c r="Q315" s="45"/>
      <c r="R315" s="45"/>
      <c r="S315" s="45"/>
      <c r="T315" s="45"/>
      <c r="U315" s="45"/>
      <c r="V315" s="45"/>
      <c r="W315" s="173"/>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row>
    <row r="316" spans="1:46" x14ac:dyDescent="0.3">
      <c r="A316" s="173"/>
      <c r="B316" s="44"/>
      <c r="C316" s="45"/>
      <c r="D316" s="45"/>
      <c r="E316" s="45"/>
      <c r="F316" s="45"/>
      <c r="G316" s="45"/>
      <c r="H316" s="44"/>
      <c r="I316" s="44"/>
      <c r="J316" s="45"/>
      <c r="K316" s="45"/>
      <c r="L316" s="44"/>
      <c r="M316" s="45"/>
      <c r="N316" s="45"/>
      <c r="O316" s="45"/>
      <c r="P316" s="45"/>
      <c r="Q316" s="45"/>
      <c r="R316" s="45"/>
      <c r="S316" s="45"/>
      <c r="T316" s="45"/>
      <c r="U316" s="45"/>
      <c r="V316" s="45"/>
      <c r="W316" s="173"/>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row>
    <row r="317" spans="1:46" x14ac:dyDescent="0.3">
      <c r="A317" s="173"/>
      <c r="B317" s="44"/>
      <c r="C317" s="45"/>
      <c r="D317" s="45"/>
      <c r="E317" s="45"/>
      <c r="F317" s="45"/>
      <c r="G317" s="45"/>
      <c r="H317" s="44"/>
      <c r="I317" s="44"/>
      <c r="J317" s="45"/>
      <c r="K317" s="45"/>
      <c r="L317" s="44"/>
      <c r="M317" s="45"/>
      <c r="N317" s="45"/>
      <c r="O317" s="45"/>
      <c r="P317" s="45"/>
      <c r="Q317" s="45"/>
      <c r="R317" s="45"/>
      <c r="S317" s="45"/>
      <c r="T317" s="45"/>
      <c r="U317" s="45"/>
      <c r="V317" s="45"/>
      <c r="W317" s="173"/>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row>
    <row r="318" spans="1:46" x14ac:dyDescent="0.3">
      <c r="A318" s="173"/>
      <c r="B318" s="44"/>
      <c r="C318" s="45"/>
      <c r="D318" s="45"/>
      <c r="E318" s="45"/>
      <c r="F318" s="45"/>
      <c r="G318" s="45"/>
      <c r="H318" s="44"/>
      <c r="I318" s="44"/>
      <c r="J318" s="45"/>
      <c r="K318" s="45"/>
      <c r="L318" s="44"/>
      <c r="M318" s="45"/>
      <c r="N318" s="45"/>
      <c r="O318" s="45"/>
      <c r="P318" s="45"/>
      <c r="Q318" s="45"/>
      <c r="R318" s="45"/>
      <c r="S318" s="45"/>
      <c r="T318" s="45"/>
      <c r="U318" s="45"/>
      <c r="V318" s="45"/>
      <c r="W318" s="173"/>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row>
    <row r="319" spans="1:46" x14ac:dyDescent="0.3">
      <c r="A319" s="173"/>
      <c r="B319" s="44"/>
      <c r="C319" s="45"/>
      <c r="D319" s="45"/>
      <c r="E319" s="45"/>
      <c r="F319" s="45"/>
      <c r="G319" s="45"/>
      <c r="H319" s="44"/>
      <c r="I319" s="44"/>
      <c r="J319" s="45"/>
      <c r="K319" s="45"/>
      <c r="L319" s="44"/>
      <c r="M319" s="45"/>
      <c r="N319" s="45"/>
      <c r="O319" s="45"/>
      <c r="P319" s="45"/>
      <c r="Q319" s="45"/>
      <c r="R319" s="45"/>
      <c r="S319" s="45"/>
      <c r="T319" s="45"/>
      <c r="U319" s="45"/>
      <c r="V319" s="45"/>
      <c r="W319" s="173"/>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row>
    <row r="320" spans="1:46" x14ac:dyDescent="0.3">
      <c r="A320" s="173"/>
      <c r="B320" s="44"/>
      <c r="C320" s="45"/>
      <c r="D320" s="45"/>
      <c r="E320" s="45"/>
      <c r="F320" s="45"/>
      <c r="G320" s="45"/>
      <c r="H320" s="44"/>
      <c r="I320" s="44"/>
      <c r="J320" s="45"/>
      <c r="K320" s="45"/>
      <c r="L320" s="44"/>
      <c r="M320" s="45"/>
      <c r="N320" s="45"/>
      <c r="O320" s="45"/>
      <c r="P320" s="45"/>
      <c r="Q320" s="45"/>
      <c r="R320" s="45"/>
      <c r="S320" s="45"/>
      <c r="T320" s="45"/>
      <c r="U320" s="45"/>
      <c r="V320" s="45"/>
      <c r="W320" s="173"/>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row>
    <row r="321" spans="1:46" x14ac:dyDescent="0.3">
      <c r="A321" s="173"/>
      <c r="B321" s="44"/>
      <c r="C321" s="45"/>
      <c r="D321" s="45"/>
      <c r="E321" s="45"/>
      <c r="F321" s="45"/>
      <c r="G321" s="45"/>
      <c r="H321" s="44"/>
      <c r="I321" s="44"/>
      <c r="J321" s="45"/>
      <c r="K321" s="45"/>
      <c r="L321" s="44"/>
      <c r="M321" s="45"/>
      <c r="N321" s="45"/>
      <c r="O321" s="45"/>
      <c r="P321" s="45"/>
      <c r="Q321" s="45"/>
      <c r="R321" s="45"/>
      <c r="S321" s="45"/>
      <c r="T321" s="45"/>
      <c r="U321" s="45"/>
      <c r="V321" s="45"/>
      <c r="W321" s="173"/>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row>
    <row r="322" spans="1:46" x14ac:dyDescent="0.3">
      <c r="A322" s="173"/>
      <c r="B322" s="44"/>
      <c r="C322" s="45"/>
      <c r="D322" s="45"/>
      <c r="E322" s="45"/>
      <c r="F322" s="45"/>
      <c r="G322" s="45"/>
      <c r="H322" s="44"/>
      <c r="I322" s="44"/>
      <c r="J322" s="45"/>
      <c r="K322" s="45"/>
      <c r="L322" s="44"/>
      <c r="M322" s="45"/>
      <c r="N322" s="45"/>
      <c r="O322" s="45"/>
      <c r="P322" s="45"/>
      <c r="Q322" s="45"/>
      <c r="R322" s="45"/>
      <c r="S322" s="45"/>
      <c r="T322" s="45"/>
      <c r="U322" s="45"/>
      <c r="V322" s="45"/>
      <c r="W322" s="173"/>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row>
    <row r="323" spans="1:46" x14ac:dyDescent="0.3">
      <c r="A323" s="173"/>
      <c r="B323" s="44"/>
      <c r="C323" s="45"/>
      <c r="D323" s="45"/>
      <c r="E323" s="45"/>
      <c r="F323" s="45"/>
      <c r="G323" s="45"/>
      <c r="H323" s="44"/>
      <c r="I323" s="44"/>
      <c r="J323" s="45"/>
      <c r="K323" s="45"/>
      <c r="L323" s="44"/>
      <c r="M323" s="45"/>
      <c r="N323" s="45"/>
      <c r="O323" s="45"/>
      <c r="P323" s="45"/>
      <c r="Q323" s="45"/>
      <c r="R323" s="45"/>
      <c r="S323" s="45"/>
      <c r="T323" s="45"/>
      <c r="U323" s="45"/>
      <c r="V323" s="45"/>
      <c r="W323" s="173"/>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row>
    <row r="324" spans="1:46" x14ac:dyDescent="0.3">
      <c r="A324" s="173"/>
      <c r="B324" s="44"/>
      <c r="C324" s="45"/>
      <c r="D324" s="45"/>
      <c r="E324" s="45"/>
      <c r="F324" s="45"/>
      <c r="G324" s="45"/>
      <c r="H324" s="44"/>
      <c r="I324" s="44"/>
      <c r="J324" s="45"/>
      <c r="K324" s="45"/>
      <c r="L324" s="44"/>
      <c r="M324" s="45"/>
      <c r="N324" s="45"/>
      <c r="O324" s="45"/>
      <c r="P324" s="45"/>
      <c r="Q324" s="45"/>
      <c r="R324" s="45"/>
      <c r="S324" s="45"/>
      <c r="T324" s="45"/>
      <c r="U324" s="45"/>
      <c r="V324" s="45"/>
      <c r="W324" s="173"/>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row>
    <row r="325" spans="1:46" x14ac:dyDescent="0.3">
      <c r="A325" s="173"/>
      <c r="B325" s="44"/>
      <c r="C325" s="45"/>
      <c r="D325" s="45"/>
      <c r="E325" s="45"/>
      <c r="F325" s="45"/>
      <c r="G325" s="45"/>
      <c r="H325" s="44"/>
      <c r="I325" s="44"/>
      <c r="J325" s="45"/>
      <c r="K325" s="45"/>
      <c r="L325" s="44"/>
      <c r="M325" s="45"/>
      <c r="N325" s="45"/>
      <c r="O325" s="45"/>
      <c r="P325" s="45"/>
      <c r="Q325" s="45"/>
      <c r="R325" s="45"/>
      <c r="S325" s="45"/>
      <c r="T325" s="45"/>
      <c r="U325" s="45"/>
      <c r="V325" s="45"/>
      <c r="W325" s="173"/>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row>
    <row r="326" spans="1:46" x14ac:dyDescent="0.3">
      <c r="A326" s="173"/>
      <c r="B326" s="44"/>
      <c r="C326" s="45"/>
      <c r="D326" s="45"/>
      <c r="E326" s="45"/>
      <c r="F326" s="45"/>
      <c r="G326" s="45"/>
      <c r="H326" s="44"/>
      <c r="I326" s="44"/>
      <c r="J326" s="45"/>
      <c r="K326" s="45"/>
      <c r="L326" s="44"/>
      <c r="M326" s="45"/>
      <c r="N326" s="45"/>
      <c r="O326" s="45"/>
      <c r="P326" s="45"/>
      <c r="Q326" s="45"/>
      <c r="R326" s="45"/>
      <c r="S326" s="45"/>
      <c r="T326" s="45"/>
      <c r="U326" s="45"/>
      <c r="V326" s="45"/>
      <c r="W326" s="173"/>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row>
    <row r="327" spans="1:46" x14ac:dyDescent="0.3">
      <c r="A327" s="173"/>
      <c r="B327" s="44"/>
      <c r="C327" s="45"/>
      <c r="D327" s="45"/>
      <c r="E327" s="45"/>
      <c r="F327" s="45"/>
      <c r="G327" s="45"/>
      <c r="H327" s="44"/>
      <c r="I327" s="44"/>
      <c r="J327" s="45"/>
      <c r="K327" s="45"/>
      <c r="L327" s="44"/>
      <c r="M327" s="45"/>
      <c r="N327" s="45"/>
      <c r="O327" s="45"/>
      <c r="P327" s="45"/>
      <c r="Q327" s="45"/>
      <c r="R327" s="45"/>
      <c r="S327" s="45"/>
      <c r="T327" s="45"/>
      <c r="U327" s="45"/>
      <c r="V327" s="45"/>
      <c r="W327" s="173"/>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row>
    <row r="328" spans="1:46" x14ac:dyDescent="0.3">
      <c r="A328" s="173"/>
      <c r="B328" s="44"/>
      <c r="C328" s="45"/>
      <c r="D328" s="45"/>
      <c r="E328" s="45"/>
      <c r="F328" s="45"/>
      <c r="G328" s="45"/>
      <c r="H328" s="44"/>
      <c r="I328" s="44"/>
      <c r="J328" s="45"/>
      <c r="K328" s="45"/>
      <c r="L328" s="44"/>
      <c r="M328" s="45"/>
      <c r="N328" s="45"/>
      <c r="O328" s="45"/>
      <c r="P328" s="45"/>
      <c r="Q328" s="45"/>
      <c r="R328" s="45"/>
      <c r="S328" s="45"/>
      <c r="T328" s="45"/>
      <c r="U328" s="45"/>
      <c r="V328" s="45"/>
      <c r="W328" s="173"/>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row>
    <row r="329" spans="1:46" x14ac:dyDescent="0.3">
      <c r="A329" s="173"/>
      <c r="B329" s="44"/>
      <c r="C329" s="45"/>
      <c r="D329" s="45"/>
      <c r="E329" s="45"/>
      <c r="F329" s="45"/>
      <c r="G329" s="45"/>
      <c r="H329" s="44"/>
      <c r="I329" s="44"/>
      <c r="J329" s="45"/>
      <c r="K329" s="45"/>
      <c r="L329" s="44"/>
      <c r="M329" s="45"/>
      <c r="N329" s="45"/>
      <c r="O329" s="45"/>
      <c r="P329" s="45"/>
      <c r="Q329" s="45"/>
      <c r="R329" s="45"/>
      <c r="S329" s="45"/>
      <c r="T329" s="45"/>
      <c r="U329" s="45"/>
      <c r="V329" s="45"/>
      <c r="W329" s="173"/>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row>
    <row r="330" spans="1:46" x14ac:dyDescent="0.3">
      <c r="A330" s="173"/>
      <c r="B330" s="44"/>
      <c r="C330" s="45"/>
      <c r="D330" s="45"/>
      <c r="E330" s="45"/>
      <c r="F330" s="45"/>
      <c r="G330" s="45"/>
      <c r="H330" s="44"/>
      <c r="I330" s="44"/>
      <c r="J330" s="45"/>
      <c r="K330" s="45"/>
      <c r="L330" s="44"/>
      <c r="M330" s="45"/>
      <c r="N330" s="45"/>
      <c r="O330" s="45"/>
      <c r="P330" s="45"/>
      <c r="Q330" s="45"/>
      <c r="R330" s="45"/>
      <c r="S330" s="45"/>
      <c r="T330" s="45"/>
      <c r="U330" s="45"/>
      <c r="V330" s="45"/>
      <c r="W330" s="173"/>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row>
    <row r="331" spans="1:46" x14ac:dyDescent="0.3">
      <c r="A331" s="173"/>
      <c r="B331" s="44"/>
      <c r="C331" s="45"/>
      <c r="D331" s="45"/>
      <c r="E331" s="45"/>
      <c r="F331" s="45"/>
      <c r="G331" s="45"/>
      <c r="H331" s="44"/>
      <c r="I331" s="44"/>
      <c r="J331" s="45"/>
      <c r="K331" s="45"/>
      <c r="L331" s="44"/>
      <c r="M331" s="45"/>
      <c r="N331" s="45"/>
      <c r="O331" s="45"/>
      <c r="P331" s="45"/>
      <c r="Q331" s="45"/>
      <c r="R331" s="45"/>
      <c r="S331" s="45"/>
      <c r="T331" s="45"/>
      <c r="U331" s="45"/>
      <c r="V331" s="45"/>
      <c r="W331" s="173"/>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row>
    <row r="332" spans="1:46" x14ac:dyDescent="0.3">
      <c r="A332" s="173"/>
      <c r="B332" s="44"/>
      <c r="C332" s="45"/>
      <c r="D332" s="45"/>
      <c r="E332" s="45"/>
      <c r="F332" s="45"/>
      <c r="G332" s="45"/>
      <c r="H332" s="44"/>
      <c r="I332" s="44"/>
      <c r="J332" s="45"/>
      <c r="K332" s="45"/>
      <c r="L332" s="44"/>
      <c r="M332" s="45"/>
      <c r="N332" s="45"/>
      <c r="O332" s="45"/>
      <c r="P332" s="45"/>
      <c r="Q332" s="45"/>
      <c r="R332" s="45"/>
      <c r="S332" s="45"/>
      <c r="T332" s="45"/>
      <c r="U332" s="45"/>
      <c r="V332" s="45"/>
      <c r="W332" s="173"/>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row>
    <row r="333" spans="1:46" x14ac:dyDescent="0.3">
      <c r="A333" s="173"/>
      <c r="B333" s="44"/>
      <c r="C333" s="45"/>
      <c r="D333" s="45"/>
      <c r="E333" s="45"/>
      <c r="F333" s="45"/>
      <c r="G333" s="45"/>
      <c r="H333" s="44"/>
      <c r="I333" s="44"/>
      <c r="J333" s="45"/>
      <c r="K333" s="45"/>
      <c r="L333" s="44"/>
      <c r="M333" s="45"/>
      <c r="N333" s="45"/>
      <c r="O333" s="45"/>
      <c r="P333" s="45"/>
      <c r="Q333" s="45"/>
      <c r="R333" s="45"/>
      <c r="S333" s="45"/>
      <c r="T333" s="45"/>
      <c r="U333" s="45"/>
      <c r="V333" s="45"/>
      <c r="W333" s="173"/>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row>
    <row r="334" spans="1:46" x14ac:dyDescent="0.3">
      <c r="A334" s="173"/>
      <c r="B334" s="44"/>
      <c r="C334" s="45"/>
      <c r="D334" s="45"/>
      <c r="E334" s="45"/>
      <c r="F334" s="45"/>
      <c r="G334" s="45"/>
      <c r="H334" s="44"/>
      <c r="I334" s="44"/>
      <c r="J334" s="45"/>
      <c r="K334" s="45"/>
      <c r="L334" s="44"/>
      <c r="M334" s="45"/>
      <c r="N334" s="45"/>
      <c r="O334" s="45"/>
      <c r="P334" s="45"/>
      <c r="Q334" s="45"/>
      <c r="R334" s="45"/>
      <c r="S334" s="45"/>
      <c r="T334" s="45"/>
      <c r="U334" s="45"/>
      <c r="V334" s="45"/>
      <c r="W334" s="173"/>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row>
    <row r="335" spans="1:46" x14ac:dyDescent="0.3">
      <c r="A335" s="173"/>
      <c r="B335" s="44"/>
      <c r="C335" s="45"/>
      <c r="D335" s="45"/>
      <c r="E335" s="45"/>
      <c r="F335" s="45"/>
      <c r="G335" s="45"/>
      <c r="H335" s="44"/>
      <c r="I335" s="44"/>
      <c r="J335" s="45"/>
      <c r="K335" s="45"/>
      <c r="L335" s="44"/>
      <c r="M335" s="45"/>
      <c r="N335" s="45"/>
      <c r="O335" s="45"/>
      <c r="P335" s="45"/>
      <c r="Q335" s="45"/>
      <c r="R335" s="45"/>
      <c r="S335" s="45"/>
      <c r="T335" s="45"/>
      <c r="U335" s="45"/>
      <c r="V335" s="45"/>
      <c r="W335" s="173"/>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row>
    <row r="336" spans="1:46" x14ac:dyDescent="0.3">
      <c r="A336" s="173"/>
      <c r="B336" s="44"/>
      <c r="C336" s="45"/>
      <c r="D336" s="45"/>
      <c r="E336" s="45"/>
      <c r="F336" s="45"/>
      <c r="G336" s="45"/>
      <c r="H336" s="44"/>
      <c r="I336" s="44"/>
      <c r="J336" s="45"/>
      <c r="K336" s="45"/>
      <c r="L336" s="44"/>
      <c r="M336" s="45"/>
      <c r="N336" s="45"/>
      <c r="O336" s="45"/>
      <c r="P336" s="45"/>
      <c r="Q336" s="45"/>
      <c r="R336" s="45"/>
      <c r="S336" s="45"/>
      <c r="T336" s="45"/>
      <c r="U336" s="45"/>
      <c r="V336" s="45"/>
      <c r="W336" s="173"/>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row>
    <row r="337" spans="1:46" x14ac:dyDescent="0.3">
      <c r="A337" s="173"/>
      <c r="B337" s="44"/>
      <c r="C337" s="45"/>
      <c r="D337" s="45"/>
      <c r="E337" s="45"/>
      <c r="F337" s="45"/>
      <c r="G337" s="45"/>
      <c r="H337" s="44"/>
      <c r="I337" s="44"/>
      <c r="J337" s="45"/>
      <c r="K337" s="45"/>
      <c r="L337" s="44"/>
      <c r="M337" s="45"/>
      <c r="N337" s="45"/>
      <c r="O337" s="45"/>
      <c r="P337" s="45"/>
      <c r="Q337" s="45"/>
      <c r="R337" s="45"/>
      <c r="S337" s="45"/>
      <c r="T337" s="45"/>
      <c r="U337" s="45"/>
      <c r="V337" s="45"/>
      <c r="W337" s="173"/>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row>
    <row r="338" spans="1:46" x14ac:dyDescent="0.3">
      <c r="A338" s="173"/>
      <c r="B338" s="44"/>
      <c r="C338" s="45"/>
      <c r="D338" s="45"/>
      <c r="E338" s="45"/>
      <c r="F338" s="45"/>
      <c r="G338" s="45"/>
      <c r="H338" s="44"/>
      <c r="I338" s="44"/>
      <c r="J338" s="45"/>
      <c r="K338" s="45"/>
      <c r="L338" s="44"/>
      <c r="M338" s="45"/>
      <c r="N338" s="45"/>
      <c r="O338" s="45"/>
      <c r="P338" s="45"/>
      <c r="Q338" s="45"/>
      <c r="R338" s="45"/>
      <c r="S338" s="45"/>
      <c r="T338" s="45"/>
      <c r="U338" s="45"/>
      <c r="V338" s="45"/>
      <c r="W338" s="173"/>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row>
    <row r="339" spans="1:46" x14ac:dyDescent="0.3">
      <c r="A339" s="173"/>
      <c r="B339" s="44"/>
      <c r="C339" s="45"/>
      <c r="D339" s="45"/>
      <c r="E339" s="45"/>
      <c r="F339" s="45"/>
      <c r="G339" s="45"/>
      <c r="H339" s="44"/>
      <c r="I339" s="44"/>
      <c r="J339" s="45"/>
      <c r="K339" s="45"/>
      <c r="L339" s="44"/>
      <c r="M339" s="45"/>
      <c r="N339" s="45"/>
      <c r="O339" s="45"/>
      <c r="P339" s="45"/>
      <c r="Q339" s="45"/>
      <c r="R339" s="45"/>
      <c r="S339" s="45"/>
      <c r="T339" s="45"/>
      <c r="U339" s="45"/>
      <c r="V339" s="45"/>
      <c r="W339" s="173"/>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row>
    <row r="340" spans="1:46" x14ac:dyDescent="0.3">
      <c r="A340" s="173"/>
      <c r="B340" s="44"/>
      <c r="C340" s="45"/>
      <c r="D340" s="45"/>
      <c r="E340" s="45"/>
      <c r="F340" s="45"/>
      <c r="G340" s="45"/>
      <c r="H340" s="44"/>
      <c r="I340" s="44"/>
      <c r="J340" s="45"/>
      <c r="K340" s="45"/>
      <c r="L340" s="44"/>
      <c r="M340" s="45"/>
      <c r="N340" s="45"/>
      <c r="O340" s="45"/>
      <c r="P340" s="45"/>
      <c r="Q340" s="45"/>
      <c r="R340" s="45"/>
      <c r="S340" s="45"/>
      <c r="T340" s="45"/>
      <c r="U340" s="45"/>
      <c r="V340" s="45"/>
      <c r="W340" s="173"/>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row>
    <row r="341" spans="1:46" x14ac:dyDescent="0.3">
      <c r="A341" s="173"/>
      <c r="B341" s="44"/>
      <c r="C341" s="45"/>
      <c r="D341" s="45"/>
      <c r="E341" s="45"/>
      <c r="F341" s="45"/>
      <c r="G341" s="45"/>
      <c r="H341" s="44"/>
      <c r="I341" s="44"/>
      <c r="J341" s="45"/>
      <c r="K341" s="45"/>
      <c r="L341" s="44"/>
      <c r="M341" s="45"/>
      <c r="N341" s="45"/>
      <c r="O341" s="45"/>
      <c r="P341" s="45"/>
      <c r="Q341" s="45"/>
      <c r="R341" s="45"/>
      <c r="S341" s="45"/>
      <c r="T341" s="45"/>
      <c r="U341" s="45"/>
      <c r="V341" s="45"/>
      <c r="W341" s="173"/>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row>
    <row r="342" spans="1:46" x14ac:dyDescent="0.3">
      <c r="A342" s="173"/>
      <c r="B342" s="44"/>
      <c r="C342" s="45"/>
      <c r="D342" s="45"/>
      <c r="E342" s="45"/>
      <c r="F342" s="45"/>
      <c r="G342" s="45"/>
      <c r="H342" s="44"/>
      <c r="I342" s="44"/>
      <c r="J342" s="45"/>
      <c r="K342" s="45"/>
      <c r="L342" s="44"/>
      <c r="M342" s="45"/>
      <c r="N342" s="45"/>
      <c r="O342" s="45"/>
      <c r="P342" s="45"/>
      <c r="Q342" s="45"/>
      <c r="R342" s="45"/>
      <c r="S342" s="45"/>
      <c r="T342" s="45"/>
      <c r="U342" s="45"/>
      <c r="V342" s="45"/>
      <c r="W342" s="173"/>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row>
    <row r="343" spans="1:46" x14ac:dyDescent="0.3">
      <c r="A343" s="173"/>
      <c r="B343" s="44"/>
      <c r="C343" s="45"/>
      <c r="D343" s="45"/>
      <c r="E343" s="45"/>
      <c r="F343" s="45"/>
      <c r="G343" s="45"/>
      <c r="H343" s="44"/>
      <c r="I343" s="44"/>
      <c r="J343" s="45"/>
      <c r="K343" s="45"/>
      <c r="L343" s="44"/>
      <c r="M343" s="45"/>
      <c r="N343" s="45"/>
      <c r="O343" s="45"/>
      <c r="P343" s="45"/>
      <c r="Q343" s="45"/>
      <c r="R343" s="45"/>
      <c r="S343" s="45"/>
      <c r="T343" s="45"/>
      <c r="U343" s="45"/>
      <c r="V343" s="45"/>
      <c r="W343" s="173"/>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row>
    <row r="344" spans="1:46" x14ac:dyDescent="0.3">
      <c r="A344" s="173"/>
      <c r="B344" s="44"/>
      <c r="C344" s="45"/>
      <c r="D344" s="45"/>
      <c r="E344" s="45"/>
      <c r="F344" s="45"/>
      <c r="G344" s="45"/>
      <c r="H344" s="44"/>
      <c r="I344" s="44"/>
      <c r="J344" s="45"/>
      <c r="K344" s="45"/>
      <c r="L344" s="44"/>
      <c r="M344" s="45"/>
      <c r="N344" s="45"/>
      <c r="O344" s="45"/>
      <c r="P344" s="45"/>
      <c r="Q344" s="45"/>
      <c r="R344" s="45"/>
      <c r="S344" s="45"/>
      <c r="T344" s="45"/>
      <c r="U344" s="45"/>
      <c r="V344" s="45"/>
      <c r="W344" s="173"/>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row>
    <row r="345" spans="1:46" x14ac:dyDescent="0.3">
      <c r="A345" s="173"/>
      <c r="B345" s="44"/>
      <c r="C345" s="45"/>
      <c r="D345" s="45"/>
      <c r="E345" s="45"/>
      <c r="F345" s="45"/>
      <c r="G345" s="45"/>
      <c r="H345" s="44"/>
      <c r="I345" s="44"/>
      <c r="J345" s="45"/>
      <c r="K345" s="45"/>
      <c r="L345" s="44"/>
      <c r="M345" s="45"/>
      <c r="N345" s="45"/>
      <c r="O345" s="45"/>
      <c r="P345" s="45"/>
      <c r="Q345" s="45"/>
      <c r="R345" s="45"/>
      <c r="S345" s="45"/>
      <c r="T345" s="45"/>
      <c r="U345" s="45"/>
      <c r="V345" s="45"/>
      <c r="W345" s="173"/>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row>
    <row r="346" spans="1:46" x14ac:dyDescent="0.3">
      <c r="A346" s="173"/>
      <c r="B346" s="44"/>
      <c r="C346" s="45"/>
      <c r="D346" s="45"/>
      <c r="E346" s="45"/>
      <c r="F346" s="45"/>
      <c r="G346" s="45"/>
      <c r="H346" s="44"/>
      <c r="I346" s="44"/>
      <c r="J346" s="45"/>
      <c r="K346" s="45"/>
      <c r="L346" s="44"/>
      <c r="M346" s="45"/>
      <c r="N346" s="45"/>
      <c r="O346" s="45"/>
      <c r="P346" s="45"/>
      <c r="Q346" s="45"/>
      <c r="R346" s="45"/>
      <c r="S346" s="45"/>
      <c r="T346" s="45"/>
      <c r="U346" s="45"/>
      <c r="V346" s="45"/>
      <c r="W346" s="173"/>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row>
    <row r="347" spans="1:46" x14ac:dyDescent="0.3">
      <c r="A347" s="173"/>
      <c r="B347" s="44"/>
      <c r="C347" s="45"/>
      <c r="D347" s="45"/>
      <c r="E347" s="45"/>
      <c r="F347" s="45"/>
      <c r="G347" s="45"/>
      <c r="H347" s="44"/>
      <c r="I347" s="44"/>
      <c r="J347" s="45"/>
      <c r="K347" s="45"/>
      <c r="L347" s="44"/>
      <c r="M347" s="45"/>
      <c r="N347" s="45"/>
      <c r="O347" s="45"/>
      <c r="P347" s="45"/>
      <c r="Q347" s="45"/>
      <c r="R347" s="45"/>
      <c r="S347" s="45"/>
      <c r="T347" s="45"/>
      <c r="U347" s="45"/>
      <c r="V347" s="45"/>
      <c r="W347" s="173"/>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row>
    <row r="348" spans="1:46" x14ac:dyDescent="0.3">
      <c r="A348" s="173"/>
      <c r="B348" s="44"/>
      <c r="C348" s="45"/>
      <c r="D348" s="45"/>
      <c r="E348" s="45"/>
      <c r="F348" s="45"/>
      <c r="G348" s="45"/>
      <c r="H348" s="44"/>
      <c r="I348" s="44"/>
      <c r="J348" s="45"/>
      <c r="K348" s="45"/>
      <c r="L348" s="44"/>
      <c r="M348" s="45"/>
      <c r="N348" s="45"/>
      <c r="O348" s="45"/>
      <c r="P348" s="45"/>
      <c r="Q348" s="45"/>
      <c r="R348" s="45"/>
      <c r="S348" s="45"/>
      <c r="T348" s="45"/>
      <c r="U348" s="45"/>
      <c r="V348" s="45"/>
      <c r="W348" s="173"/>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row>
    <row r="349" spans="1:46" x14ac:dyDescent="0.3">
      <c r="A349" s="173"/>
      <c r="B349" s="44"/>
      <c r="C349" s="45"/>
      <c r="D349" s="45"/>
      <c r="E349" s="45"/>
      <c r="F349" s="45"/>
      <c r="G349" s="45"/>
      <c r="H349" s="44"/>
      <c r="I349" s="44"/>
      <c r="J349" s="45"/>
      <c r="K349" s="45"/>
      <c r="L349" s="44"/>
      <c r="M349" s="45"/>
      <c r="N349" s="45"/>
      <c r="O349" s="45"/>
      <c r="P349" s="45"/>
      <c r="Q349" s="45"/>
      <c r="R349" s="45"/>
      <c r="S349" s="45"/>
      <c r="T349" s="45"/>
      <c r="U349" s="45"/>
      <c r="V349" s="45"/>
      <c r="W349" s="173"/>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row>
    <row r="350" spans="1:46" x14ac:dyDescent="0.3">
      <c r="A350" s="173"/>
      <c r="B350" s="44"/>
      <c r="C350" s="45"/>
      <c r="D350" s="45"/>
      <c r="E350" s="45"/>
      <c r="F350" s="45"/>
      <c r="G350" s="45"/>
      <c r="H350" s="44"/>
      <c r="I350" s="44"/>
      <c r="J350" s="45"/>
      <c r="K350" s="45"/>
      <c r="L350" s="44"/>
      <c r="M350" s="45"/>
      <c r="N350" s="45"/>
      <c r="O350" s="45"/>
      <c r="P350" s="45"/>
      <c r="Q350" s="45"/>
      <c r="R350" s="45"/>
      <c r="S350" s="45"/>
      <c r="T350" s="45"/>
      <c r="U350" s="45"/>
      <c r="V350" s="45"/>
      <c r="W350" s="173"/>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row>
    <row r="351" spans="1:46" x14ac:dyDescent="0.3">
      <c r="A351" s="173"/>
      <c r="B351" s="44"/>
      <c r="C351" s="45"/>
      <c r="D351" s="45"/>
      <c r="E351" s="45"/>
      <c r="F351" s="45"/>
      <c r="G351" s="45"/>
      <c r="H351" s="44"/>
      <c r="I351" s="44"/>
      <c r="J351" s="45"/>
      <c r="K351" s="45"/>
      <c r="L351" s="44"/>
      <c r="M351" s="45"/>
      <c r="N351" s="45"/>
      <c r="O351" s="45"/>
      <c r="P351" s="45"/>
      <c r="Q351" s="45"/>
      <c r="R351" s="45"/>
      <c r="S351" s="45"/>
      <c r="T351" s="45"/>
      <c r="U351" s="45"/>
      <c r="V351" s="45"/>
      <c r="W351" s="173"/>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row>
    <row r="352" spans="1:46" x14ac:dyDescent="0.3">
      <c r="A352" s="173"/>
      <c r="B352" s="44"/>
      <c r="C352" s="45"/>
      <c r="D352" s="45"/>
      <c r="E352" s="45"/>
      <c r="F352" s="45"/>
      <c r="G352" s="45"/>
      <c r="H352" s="44"/>
      <c r="I352" s="44"/>
      <c r="J352" s="45"/>
      <c r="K352" s="45"/>
      <c r="L352" s="44"/>
      <c r="M352" s="45"/>
      <c r="N352" s="45"/>
      <c r="O352" s="45"/>
      <c r="P352" s="45"/>
      <c r="Q352" s="45"/>
      <c r="R352" s="45"/>
      <c r="S352" s="45"/>
      <c r="T352" s="45"/>
      <c r="U352" s="45"/>
      <c r="V352" s="45"/>
      <c r="W352" s="173"/>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row>
    <row r="353" spans="1:46" x14ac:dyDescent="0.3">
      <c r="A353" s="173"/>
      <c r="B353" s="44"/>
      <c r="C353" s="45"/>
      <c r="D353" s="45"/>
      <c r="E353" s="45"/>
      <c r="F353" s="45"/>
      <c r="G353" s="45"/>
      <c r="H353" s="44"/>
      <c r="I353" s="44"/>
      <c r="J353" s="45"/>
      <c r="K353" s="45"/>
      <c r="L353" s="44"/>
      <c r="M353" s="45"/>
      <c r="N353" s="45"/>
      <c r="O353" s="45"/>
      <c r="P353" s="45"/>
      <c r="Q353" s="45"/>
      <c r="R353" s="45"/>
      <c r="S353" s="45"/>
      <c r="T353" s="45"/>
      <c r="U353" s="45"/>
      <c r="V353" s="45"/>
      <c r="W353" s="173"/>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row>
    <row r="354" spans="1:46" x14ac:dyDescent="0.3">
      <c r="A354" s="173"/>
      <c r="B354" s="44"/>
      <c r="C354" s="45"/>
      <c r="D354" s="45"/>
      <c r="E354" s="45"/>
      <c r="F354" s="45"/>
      <c r="G354" s="45"/>
      <c r="H354" s="44"/>
      <c r="I354" s="44"/>
      <c r="J354" s="45"/>
      <c r="K354" s="45"/>
      <c r="L354" s="44"/>
      <c r="M354" s="45"/>
      <c r="N354" s="45"/>
      <c r="O354" s="45"/>
      <c r="P354" s="45"/>
      <c r="Q354" s="45"/>
      <c r="R354" s="45"/>
      <c r="S354" s="45"/>
      <c r="T354" s="45"/>
      <c r="U354" s="45"/>
      <c r="V354" s="45"/>
      <c r="W354" s="173"/>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row>
    <row r="355" spans="1:46" x14ac:dyDescent="0.3">
      <c r="A355" s="173"/>
      <c r="B355" s="44"/>
      <c r="C355" s="45"/>
      <c r="D355" s="45"/>
      <c r="E355" s="45"/>
      <c r="F355" s="45"/>
      <c r="G355" s="45"/>
      <c r="H355" s="44"/>
      <c r="I355" s="44"/>
      <c r="J355" s="45"/>
      <c r="K355" s="45"/>
      <c r="L355" s="44"/>
      <c r="M355" s="45"/>
      <c r="N355" s="45"/>
      <c r="O355" s="45"/>
      <c r="P355" s="45"/>
      <c r="Q355" s="45"/>
      <c r="R355" s="45"/>
      <c r="S355" s="45"/>
      <c r="T355" s="45"/>
      <c r="U355" s="45"/>
      <c r="V355" s="45"/>
      <c r="W355" s="173"/>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row>
    <row r="356" spans="1:46" x14ac:dyDescent="0.3">
      <c r="A356" s="173"/>
      <c r="B356" s="44"/>
      <c r="C356" s="45"/>
      <c r="D356" s="45"/>
      <c r="E356" s="45"/>
      <c r="F356" s="45"/>
      <c r="G356" s="45"/>
      <c r="H356" s="44"/>
      <c r="I356" s="44"/>
      <c r="J356" s="45"/>
      <c r="K356" s="45"/>
      <c r="L356" s="44"/>
      <c r="M356" s="45"/>
      <c r="N356" s="45"/>
      <c r="O356" s="45"/>
      <c r="P356" s="45"/>
      <c r="Q356" s="45"/>
      <c r="R356" s="45"/>
      <c r="S356" s="45"/>
      <c r="T356" s="45"/>
      <c r="U356" s="45"/>
      <c r="V356" s="45"/>
      <c r="W356" s="173"/>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row>
    <row r="357" spans="1:46" x14ac:dyDescent="0.3">
      <c r="A357" s="173"/>
      <c r="B357" s="44"/>
      <c r="C357" s="45"/>
      <c r="D357" s="45"/>
      <c r="E357" s="45"/>
      <c r="F357" s="45"/>
      <c r="G357" s="45"/>
      <c r="H357" s="44"/>
      <c r="I357" s="44"/>
      <c r="J357" s="45"/>
      <c r="K357" s="45"/>
      <c r="L357" s="44"/>
      <c r="M357" s="45"/>
      <c r="N357" s="45"/>
      <c r="O357" s="45"/>
      <c r="P357" s="45"/>
      <c r="Q357" s="45"/>
      <c r="R357" s="45"/>
      <c r="S357" s="45"/>
      <c r="T357" s="45"/>
      <c r="U357" s="45"/>
      <c r="V357" s="45"/>
      <c r="W357" s="173"/>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row>
    <row r="358" spans="1:46" x14ac:dyDescent="0.3">
      <c r="A358" s="173"/>
      <c r="B358" s="44"/>
      <c r="C358" s="45"/>
      <c r="D358" s="45"/>
      <c r="E358" s="45"/>
      <c r="F358" s="45"/>
      <c r="G358" s="45"/>
      <c r="H358" s="44"/>
      <c r="I358" s="44"/>
      <c r="J358" s="45"/>
      <c r="K358" s="45"/>
      <c r="L358" s="44"/>
      <c r="M358" s="45"/>
      <c r="N358" s="45"/>
      <c r="O358" s="45"/>
      <c r="P358" s="45"/>
      <c r="Q358" s="45"/>
      <c r="R358" s="45"/>
      <c r="S358" s="45"/>
      <c r="T358" s="45"/>
      <c r="U358" s="45"/>
      <c r="V358" s="45"/>
      <c r="W358" s="173"/>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row>
    <row r="359" spans="1:46" x14ac:dyDescent="0.3">
      <c r="A359" s="173"/>
      <c r="B359" s="44"/>
      <c r="C359" s="45"/>
      <c r="D359" s="45"/>
      <c r="E359" s="45"/>
      <c r="F359" s="45"/>
      <c r="G359" s="45"/>
      <c r="H359" s="44"/>
      <c r="I359" s="44"/>
      <c r="J359" s="45"/>
      <c r="K359" s="45"/>
      <c r="L359" s="44"/>
      <c r="M359" s="45"/>
      <c r="N359" s="45"/>
      <c r="O359" s="45"/>
      <c r="P359" s="45"/>
      <c r="Q359" s="45"/>
      <c r="R359" s="45"/>
      <c r="S359" s="45"/>
      <c r="T359" s="45"/>
      <c r="U359" s="45"/>
      <c r="V359" s="45"/>
      <c r="W359" s="173"/>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row>
    <row r="360" spans="1:46" x14ac:dyDescent="0.3">
      <c r="A360" s="173"/>
      <c r="B360" s="44"/>
      <c r="C360" s="45"/>
      <c r="D360" s="45"/>
      <c r="E360" s="45"/>
      <c r="F360" s="45"/>
      <c r="G360" s="45"/>
      <c r="H360" s="44"/>
      <c r="I360" s="44"/>
      <c r="J360" s="45"/>
      <c r="K360" s="45"/>
      <c r="L360" s="44"/>
      <c r="M360" s="45"/>
      <c r="N360" s="45"/>
      <c r="O360" s="45"/>
      <c r="P360" s="45"/>
      <c r="Q360" s="45"/>
      <c r="R360" s="45"/>
      <c r="S360" s="45"/>
      <c r="T360" s="45"/>
      <c r="U360" s="45"/>
      <c r="V360" s="45"/>
      <c r="W360" s="173"/>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row>
    <row r="361" spans="1:46" x14ac:dyDescent="0.3">
      <c r="A361" s="173"/>
      <c r="B361" s="44"/>
      <c r="C361" s="45"/>
      <c r="D361" s="45"/>
      <c r="E361" s="45"/>
      <c r="F361" s="45"/>
      <c r="G361" s="45"/>
      <c r="H361" s="44"/>
      <c r="I361" s="44"/>
      <c r="J361" s="45"/>
      <c r="K361" s="45"/>
      <c r="L361" s="44"/>
      <c r="M361" s="45"/>
      <c r="N361" s="45"/>
      <c r="O361" s="45"/>
      <c r="P361" s="45"/>
      <c r="Q361" s="45"/>
      <c r="R361" s="45"/>
      <c r="S361" s="45"/>
      <c r="T361" s="45"/>
      <c r="U361" s="45"/>
      <c r="V361" s="45"/>
      <c r="W361" s="173"/>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row>
    <row r="362" spans="1:46" x14ac:dyDescent="0.3">
      <c r="A362" s="173"/>
      <c r="B362" s="44"/>
      <c r="C362" s="45"/>
      <c r="D362" s="45"/>
      <c r="E362" s="45"/>
      <c r="F362" s="45"/>
      <c r="G362" s="45"/>
      <c r="H362" s="44"/>
      <c r="I362" s="44"/>
      <c r="J362" s="45"/>
      <c r="K362" s="45"/>
      <c r="L362" s="44"/>
      <c r="M362" s="45"/>
      <c r="N362" s="45"/>
      <c r="O362" s="45"/>
      <c r="P362" s="45"/>
      <c r="Q362" s="45"/>
      <c r="R362" s="45"/>
      <c r="S362" s="45"/>
      <c r="T362" s="45"/>
      <c r="U362" s="45"/>
      <c r="V362" s="45"/>
      <c r="W362" s="173"/>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row>
    <row r="363" spans="1:46" x14ac:dyDescent="0.3">
      <c r="A363" s="173"/>
      <c r="B363" s="44"/>
      <c r="C363" s="45"/>
      <c r="D363" s="45"/>
      <c r="E363" s="45"/>
      <c r="F363" s="45"/>
      <c r="G363" s="45"/>
      <c r="H363" s="44"/>
      <c r="I363" s="44"/>
      <c r="J363" s="45"/>
      <c r="K363" s="45"/>
      <c r="L363" s="44"/>
      <c r="M363" s="45"/>
      <c r="N363" s="45"/>
      <c r="O363" s="45"/>
      <c r="P363" s="45"/>
      <c r="Q363" s="45"/>
      <c r="R363" s="45"/>
      <c r="S363" s="45"/>
      <c r="T363" s="45"/>
      <c r="U363" s="45"/>
      <c r="V363" s="45"/>
      <c r="W363" s="173"/>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row>
    <row r="364" spans="1:46" x14ac:dyDescent="0.3">
      <c r="A364" s="173"/>
      <c r="B364" s="44"/>
      <c r="C364" s="45"/>
      <c r="D364" s="45"/>
      <c r="E364" s="45"/>
      <c r="F364" s="45"/>
      <c r="G364" s="45"/>
      <c r="H364" s="44"/>
      <c r="I364" s="44"/>
      <c r="J364" s="45"/>
      <c r="K364" s="45"/>
      <c r="L364" s="44"/>
      <c r="M364" s="45"/>
      <c r="N364" s="45"/>
      <c r="O364" s="45"/>
      <c r="P364" s="45"/>
      <c r="Q364" s="45"/>
      <c r="R364" s="45"/>
      <c r="S364" s="45"/>
      <c r="T364" s="45"/>
      <c r="U364" s="45"/>
      <c r="V364" s="45"/>
      <c r="W364" s="173"/>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row>
    <row r="365" spans="1:46" x14ac:dyDescent="0.3">
      <c r="A365" s="173"/>
      <c r="B365" s="44"/>
      <c r="C365" s="45"/>
      <c r="D365" s="45"/>
      <c r="E365" s="45"/>
      <c r="F365" s="45"/>
      <c r="G365" s="45"/>
      <c r="H365" s="44"/>
      <c r="I365" s="44"/>
      <c r="J365" s="45"/>
      <c r="K365" s="45"/>
      <c r="L365" s="44"/>
      <c r="M365" s="45"/>
      <c r="N365" s="45"/>
      <c r="O365" s="45"/>
      <c r="P365" s="45"/>
      <c r="Q365" s="45"/>
      <c r="R365" s="45"/>
      <c r="S365" s="45"/>
      <c r="T365" s="45"/>
      <c r="U365" s="45"/>
      <c r="V365" s="45"/>
      <c r="W365" s="173"/>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row>
    <row r="366" spans="1:46" x14ac:dyDescent="0.3">
      <c r="A366" s="173"/>
      <c r="B366" s="44"/>
      <c r="C366" s="45"/>
      <c r="D366" s="45"/>
      <c r="E366" s="45"/>
      <c r="F366" s="45"/>
      <c r="G366" s="45"/>
      <c r="H366" s="44"/>
      <c r="I366" s="44"/>
      <c r="J366" s="45"/>
      <c r="K366" s="45"/>
      <c r="L366" s="44"/>
      <c r="M366" s="45"/>
      <c r="N366" s="45"/>
      <c r="O366" s="45"/>
      <c r="P366" s="45"/>
      <c r="Q366" s="45"/>
      <c r="R366" s="45"/>
      <c r="S366" s="45"/>
      <c r="T366" s="45"/>
      <c r="U366" s="45"/>
      <c r="V366" s="45"/>
      <c r="W366" s="173"/>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row>
    <row r="367" spans="1:46" x14ac:dyDescent="0.3">
      <c r="A367" s="173"/>
      <c r="B367" s="44"/>
      <c r="C367" s="45"/>
      <c r="D367" s="45"/>
      <c r="E367" s="45"/>
      <c r="F367" s="45"/>
      <c r="G367" s="45"/>
      <c r="H367" s="44"/>
      <c r="I367" s="44"/>
      <c r="J367" s="45"/>
      <c r="K367" s="45"/>
      <c r="L367" s="44"/>
      <c r="M367" s="45"/>
      <c r="N367" s="45"/>
      <c r="O367" s="45"/>
      <c r="P367" s="45"/>
      <c r="Q367" s="45"/>
      <c r="R367" s="45"/>
      <c r="S367" s="45"/>
      <c r="T367" s="45"/>
      <c r="U367" s="45"/>
      <c r="V367" s="45"/>
      <c r="W367" s="173"/>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row>
    <row r="368" spans="1:46" x14ac:dyDescent="0.3">
      <c r="A368" s="173"/>
      <c r="B368" s="44"/>
      <c r="C368" s="45"/>
      <c r="D368" s="45"/>
      <c r="E368" s="45"/>
      <c r="F368" s="45"/>
      <c r="G368" s="45"/>
      <c r="H368" s="44"/>
      <c r="I368" s="44"/>
      <c r="J368" s="45"/>
      <c r="K368" s="45"/>
      <c r="L368" s="44"/>
      <c r="M368" s="45"/>
      <c r="N368" s="45"/>
      <c r="O368" s="45"/>
      <c r="P368" s="45"/>
      <c r="Q368" s="45"/>
      <c r="R368" s="45"/>
      <c r="S368" s="45"/>
      <c r="T368" s="45"/>
      <c r="U368" s="45"/>
      <c r="V368" s="45"/>
      <c r="W368" s="173"/>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row>
    <row r="369" spans="1:46" x14ac:dyDescent="0.3">
      <c r="A369" s="173"/>
      <c r="B369" s="44"/>
      <c r="C369" s="45"/>
      <c r="D369" s="45"/>
      <c r="E369" s="45"/>
      <c r="F369" s="45"/>
      <c r="G369" s="45"/>
      <c r="H369" s="44"/>
      <c r="I369" s="44"/>
      <c r="J369" s="45"/>
      <c r="K369" s="45"/>
      <c r="L369" s="44"/>
      <c r="M369" s="45"/>
      <c r="N369" s="45"/>
      <c r="O369" s="45"/>
      <c r="P369" s="45"/>
      <c r="Q369" s="45"/>
      <c r="R369" s="45"/>
      <c r="S369" s="45"/>
      <c r="T369" s="45"/>
      <c r="U369" s="45"/>
      <c r="V369" s="45"/>
      <c r="W369" s="173"/>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row>
    <row r="370" spans="1:46" x14ac:dyDescent="0.3">
      <c r="A370" s="173"/>
      <c r="B370" s="44"/>
      <c r="C370" s="45"/>
      <c r="D370" s="45"/>
      <c r="E370" s="45"/>
      <c r="F370" s="45"/>
      <c r="G370" s="45"/>
      <c r="H370" s="44"/>
      <c r="I370" s="44"/>
      <c r="J370" s="45"/>
      <c r="K370" s="45"/>
      <c r="L370" s="44"/>
      <c r="M370" s="45"/>
      <c r="N370" s="45"/>
      <c r="O370" s="45"/>
      <c r="P370" s="45"/>
      <c r="Q370" s="45"/>
      <c r="R370" s="45"/>
      <c r="S370" s="45"/>
      <c r="T370" s="45"/>
      <c r="U370" s="45"/>
      <c r="V370" s="45"/>
      <c r="W370" s="173"/>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row>
    <row r="371" spans="1:46" x14ac:dyDescent="0.3">
      <c r="A371" s="173"/>
      <c r="B371" s="44"/>
      <c r="C371" s="45"/>
      <c r="D371" s="45"/>
      <c r="E371" s="45"/>
      <c r="F371" s="45"/>
      <c r="G371" s="45"/>
      <c r="H371" s="44"/>
      <c r="I371" s="44"/>
      <c r="J371" s="45"/>
      <c r="K371" s="45"/>
      <c r="L371" s="44"/>
      <c r="M371" s="45"/>
      <c r="N371" s="45"/>
      <c r="O371" s="45"/>
      <c r="P371" s="45"/>
      <c r="Q371" s="45"/>
      <c r="R371" s="45"/>
      <c r="S371" s="45"/>
      <c r="T371" s="45"/>
      <c r="U371" s="45"/>
      <c r="V371" s="45"/>
      <c r="W371" s="173"/>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row>
    <row r="372" spans="1:46" x14ac:dyDescent="0.3">
      <c r="A372" s="173"/>
      <c r="B372" s="44"/>
      <c r="C372" s="45"/>
      <c r="D372" s="45"/>
      <c r="E372" s="45"/>
      <c r="F372" s="45"/>
      <c r="G372" s="45"/>
      <c r="H372" s="44"/>
      <c r="I372" s="44"/>
      <c r="J372" s="45"/>
      <c r="K372" s="45"/>
      <c r="L372" s="44"/>
      <c r="M372" s="45"/>
      <c r="N372" s="45"/>
      <c r="O372" s="45"/>
      <c r="P372" s="45"/>
      <c r="Q372" s="45"/>
      <c r="R372" s="45"/>
      <c r="S372" s="45"/>
      <c r="T372" s="45"/>
      <c r="U372" s="45"/>
      <c r="V372" s="45"/>
      <c r="W372" s="173"/>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row>
    <row r="373" spans="1:46" x14ac:dyDescent="0.3">
      <c r="A373" s="173"/>
      <c r="B373" s="44"/>
      <c r="C373" s="45"/>
      <c r="D373" s="45"/>
      <c r="E373" s="45"/>
      <c r="F373" s="45"/>
      <c r="G373" s="45"/>
      <c r="H373" s="44"/>
      <c r="I373" s="44"/>
      <c r="J373" s="45"/>
      <c r="K373" s="45"/>
      <c r="L373" s="44"/>
      <c r="M373" s="45"/>
      <c r="N373" s="45"/>
      <c r="O373" s="45"/>
      <c r="P373" s="45"/>
      <c r="Q373" s="45"/>
      <c r="R373" s="45"/>
      <c r="S373" s="45"/>
      <c r="T373" s="45"/>
      <c r="U373" s="45"/>
      <c r="V373" s="45"/>
      <c r="W373" s="173"/>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row>
    <row r="374" spans="1:46" x14ac:dyDescent="0.3">
      <c r="A374" s="173"/>
      <c r="B374" s="44"/>
      <c r="C374" s="45"/>
      <c r="D374" s="45"/>
      <c r="E374" s="45"/>
      <c r="F374" s="45"/>
      <c r="G374" s="45"/>
      <c r="H374" s="44"/>
      <c r="I374" s="44"/>
      <c r="J374" s="45"/>
      <c r="K374" s="45"/>
      <c r="L374" s="44"/>
      <c r="M374" s="45"/>
      <c r="N374" s="45"/>
      <c r="O374" s="45"/>
      <c r="P374" s="45"/>
      <c r="Q374" s="45"/>
      <c r="R374" s="45"/>
      <c r="S374" s="45"/>
      <c r="T374" s="45"/>
      <c r="U374" s="45"/>
      <c r="V374" s="45"/>
      <c r="W374" s="173"/>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row>
    <row r="375" spans="1:46" x14ac:dyDescent="0.3">
      <c r="A375" s="173"/>
      <c r="B375" s="44"/>
      <c r="C375" s="45"/>
      <c r="D375" s="45"/>
      <c r="E375" s="45"/>
      <c r="F375" s="45"/>
      <c r="G375" s="45"/>
      <c r="H375" s="44"/>
      <c r="I375" s="44"/>
      <c r="J375" s="45"/>
      <c r="K375" s="45"/>
      <c r="L375" s="44"/>
      <c r="M375" s="45"/>
      <c r="N375" s="45"/>
      <c r="O375" s="45"/>
      <c r="P375" s="45"/>
      <c r="Q375" s="45"/>
      <c r="R375" s="45"/>
      <c r="S375" s="45"/>
      <c r="T375" s="45"/>
      <c r="U375" s="45"/>
      <c r="V375" s="45"/>
      <c r="W375" s="173"/>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row>
    <row r="376" spans="1:46" x14ac:dyDescent="0.3">
      <c r="A376" s="173"/>
      <c r="B376" s="44"/>
      <c r="C376" s="45"/>
      <c r="D376" s="45"/>
      <c r="E376" s="45"/>
      <c r="F376" s="45"/>
      <c r="G376" s="45"/>
      <c r="H376" s="44"/>
      <c r="I376" s="44"/>
      <c r="J376" s="45"/>
      <c r="K376" s="45"/>
      <c r="L376" s="44"/>
      <c r="M376" s="45"/>
      <c r="N376" s="45"/>
      <c r="O376" s="45"/>
      <c r="P376" s="45"/>
      <c r="Q376" s="45"/>
      <c r="R376" s="45"/>
      <c r="S376" s="45"/>
      <c r="T376" s="45"/>
      <c r="U376" s="45"/>
      <c r="V376" s="45"/>
      <c r="W376" s="173"/>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row>
    <row r="377" spans="1:46" x14ac:dyDescent="0.3">
      <c r="A377" s="173"/>
      <c r="B377" s="44"/>
      <c r="C377" s="45"/>
      <c r="D377" s="45"/>
      <c r="E377" s="45"/>
      <c r="F377" s="45"/>
      <c r="G377" s="45"/>
      <c r="H377" s="44"/>
      <c r="I377" s="44"/>
      <c r="J377" s="45"/>
      <c r="K377" s="45"/>
      <c r="L377" s="44"/>
      <c r="M377" s="45"/>
      <c r="N377" s="45"/>
      <c r="O377" s="45"/>
      <c r="P377" s="45"/>
      <c r="Q377" s="45"/>
      <c r="R377" s="45"/>
      <c r="S377" s="45"/>
      <c r="T377" s="45"/>
      <c r="U377" s="45"/>
      <c r="V377" s="45"/>
      <c r="W377" s="173"/>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row>
    <row r="378" spans="1:46" x14ac:dyDescent="0.3">
      <c r="A378" s="173"/>
      <c r="B378" s="44"/>
      <c r="C378" s="45"/>
      <c r="D378" s="45"/>
      <c r="E378" s="45"/>
      <c r="F378" s="45"/>
      <c r="G378" s="45"/>
      <c r="H378" s="44"/>
      <c r="I378" s="44"/>
      <c r="J378" s="45"/>
      <c r="K378" s="45"/>
      <c r="L378" s="44"/>
      <c r="M378" s="45"/>
      <c r="N378" s="45"/>
      <c r="O378" s="45"/>
      <c r="P378" s="45"/>
      <c r="Q378" s="45"/>
      <c r="R378" s="45"/>
      <c r="S378" s="45"/>
      <c r="T378" s="45"/>
      <c r="U378" s="45"/>
      <c r="V378" s="45"/>
      <c r="W378" s="173"/>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row>
    <row r="379" spans="1:46" x14ac:dyDescent="0.3">
      <c r="A379" s="173"/>
      <c r="B379" s="44"/>
      <c r="C379" s="45"/>
      <c r="D379" s="45"/>
      <c r="E379" s="45"/>
      <c r="F379" s="45"/>
      <c r="G379" s="45"/>
      <c r="H379" s="44"/>
      <c r="I379" s="44"/>
      <c r="J379" s="45"/>
      <c r="K379" s="45"/>
      <c r="L379" s="44"/>
      <c r="M379" s="45"/>
      <c r="N379" s="45"/>
      <c r="O379" s="45"/>
      <c r="P379" s="45"/>
      <c r="Q379" s="45"/>
      <c r="R379" s="45"/>
      <c r="S379" s="45"/>
      <c r="T379" s="45"/>
      <c r="U379" s="45"/>
      <c r="V379" s="45"/>
      <c r="W379" s="173"/>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row>
    <row r="380" spans="1:46" x14ac:dyDescent="0.3">
      <c r="A380" s="173"/>
      <c r="B380" s="44"/>
      <c r="C380" s="45"/>
      <c r="D380" s="45"/>
      <c r="E380" s="45"/>
      <c r="F380" s="45"/>
      <c r="G380" s="45"/>
      <c r="H380" s="44"/>
      <c r="I380" s="44"/>
      <c r="J380" s="45"/>
      <c r="K380" s="45"/>
      <c r="L380" s="44"/>
      <c r="M380" s="45"/>
      <c r="N380" s="45"/>
      <c r="O380" s="45"/>
      <c r="P380" s="45"/>
      <c r="Q380" s="45"/>
      <c r="R380" s="45"/>
      <c r="S380" s="45"/>
      <c r="T380" s="45"/>
      <c r="U380" s="45"/>
      <c r="V380" s="45"/>
      <c r="W380" s="173"/>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row>
    <row r="381" spans="1:46" x14ac:dyDescent="0.3">
      <c r="A381" s="173"/>
      <c r="B381" s="44"/>
      <c r="C381" s="45"/>
      <c r="D381" s="45"/>
      <c r="E381" s="45"/>
      <c r="F381" s="45"/>
      <c r="G381" s="45"/>
      <c r="H381" s="44"/>
      <c r="I381" s="44"/>
      <c r="J381" s="45"/>
      <c r="K381" s="45"/>
      <c r="L381" s="44"/>
      <c r="M381" s="45"/>
      <c r="N381" s="45"/>
      <c r="O381" s="45"/>
      <c r="P381" s="45"/>
      <c r="Q381" s="45"/>
      <c r="R381" s="45"/>
      <c r="S381" s="45"/>
      <c r="T381" s="45"/>
      <c r="U381" s="45"/>
      <c r="V381" s="45"/>
      <c r="W381" s="173"/>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row>
    <row r="382" spans="1:46" x14ac:dyDescent="0.3">
      <c r="A382" s="173"/>
      <c r="B382" s="44"/>
      <c r="C382" s="45"/>
      <c r="D382" s="45"/>
      <c r="E382" s="45"/>
      <c r="F382" s="45"/>
      <c r="G382" s="45"/>
      <c r="H382" s="44"/>
      <c r="I382" s="44"/>
      <c r="J382" s="45"/>
      <c r="K382" s="45"/>
      <c r="L382" s="44"/>
      <c r="M382" s="45"/>
      <c r="N382" s="45"/>
      <c r="O382" s="45"/>
      <c r="P382" s="45"/>
      <c r="Q382" s="45"/>
      <c r="R382" s="45"/>
      <c r="S382" s="45"/>
      <c r="T382" s="45"/>
      <c r="U382" s="45"/>
      <c r="V382" s="45"/>
      <c r="W382" s="173"/>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row>
    <row r="383" spans="1:46" x14ac:dyDescent="0.3">
      <c r="A383" s="173"/>
      <c r="B383" s="44"/>
      <c r="C383" s="45"/>
      <c r="D383" s="45"/>
      <c r="E383" s="45"/>
      <c r="F383" s="45"/>
      <c r="G383" s="45"/>
      <c r="H383" s="44"/>
      <c r="I383" s="44"/>
      <c r="J383" s="45"/>
      <c r="K383" s="45"/>
      <c r="L383" s="44"/>
      <c r="M383" s="45"/>
      <c r="N383" s="45"/>
      <c r="O383" s="45"/>
      <c r="P383" s="45"/>
      <c r="Q383" s="45"/>
      <c r="R383" s="45"/>
      <c r="S383" s="45"/>
      <c r="T383" s="45"/>
      <c r="U383" s="45"/>
      <c r="V383" s="45"/>
      <c r="W383" s="173"/>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row>
    <row r="384" spans="1:46" x14ac:dyDescent="0.3">
      <c r="A384" s="173"/>
      <c r="B384" s="44"/>
      <c r="C384" s="45"/>
      <c r="D384" s="45"/>
      <c r="E384" s="45"/>
      <c r="F384" s="45"/>
      <c r="G384" s="45"/>
      <c r="H384" s="44"/>
      <c r="I384" s="44"/>
      <c r="J384" s="45"/>
      <c r="K384" s="45"/>
      <c r="L384" s="44"/>
      <c r="M384" s="45"/>
      <c r="N384" s="45"/>
      <c r="O384" s="45"/>
      <c r="P384" s="45"/>
      <c r="Q384" s="45"/>
      <c r="R384" s="45"/>
      <c r="S384" s="45"/>
      <c r="T384" s="45"/>
      <c r="U384" s="45"/>
      <c r="V384" s="45"/>
      <c r="W384" s="173"/>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row>
    <row r="385" spans="1:46" x14ac:dyDescent="0.3">
      <c r="A385" s="173"/>
      <c r="B385" s="44"/>
      <c r="C385" s="45"/>
      <c r="D385" s="45"/>
      <c r="E385" s="45"/>
      <c r="F385" s="45"/>
      <c r="G385" s="45"/>
      <c r="H385" s="44"/>
      <c r="I385" s="44"/>
      <c r="J385" s="45"/>
      <c r="K385" s="45"/>
      <c r="L385" s="44"/>
      <c r="M385" s="45"/>
      <c r="N385" s="45"/>
      <c r="O385" s="45"/>
      <c r="P385" s="45"/>
      <c r="Q385" s="45"/>
      <c r="R385" s="45"/>
      <c r="S385" s="45"/>
      <c r="T385" s="45"/>
      <c r="U385" s="45"/>
      <c r="V385" s="45"/>
      <c r="W385" s="173"/>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row>
    <row r="386" spans="1:46" x14ac:dyDescent="0.3">
      <c r="A386" s="173"/>
      <c r="B386" s="44"/>
      <c r="C386" s="45"/>
      <c r="D386" s="45"/>
      <c r="E386" s="45"/>
      <c r="F386" s="45"/>
      <c r="G386" s="45"/>
      <c r="H386" s="44"/>
      <c r="I386" s="44"/>
      <c r="J386" s="45"/>
      <c r="K386" s="45"/>
      <c r="L386" s="44"/>
      <c r="M386" s="45"/>
      <c r="N386" s="45"/>
      <c r="O386" s="45"/>
      <c r="P386" s="45"/>
      <c r="Q386" s="45"/>
      <c r="R386" s="45"/>
      <c r="S386" s="45"/>
      <c r="T386" s="45"/>
      <c r="U386" s="45"/>
      <c r="V386" s="45"/>
      <c r="W386" s="173"/>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row>
    <row r="387" spans="1:46" x14ac:dyDescent="0.3">
      <c r="A387" s="173"/>
      <c r="B387" s="44"/>
      <c r="C387" s="45"/>
      <c r="D387" s="45"/>
      <c r="E387" s="45"/>
      <c r="F387" s="45"/>
      <c r="G387" s="45"/>
      <c r="H387" s="44"/>
      <c r="I387" s="44"/>
      <c r="J387" s="45"/>
      <c r="K387" s="45"/>
      <c r="L387" s="44"/>
      <c r="M387" s="45"/>
      <c r="N387" s="45"/>
      <c r="O387" s="45"/>
      <c r="P387" s="45"/>
      <c r="Q387" s="45"/>
      <c r="R387" s="45"/>
      <c r="S387" s="45"/>
      <c r="T387" s="45"/>
      <c r="U387" s="45"/>
      <c r="V387" s="45"/>
      <c r="W387" s="173"/>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row>
    <row r="388" spans="1:46" x14ac:dyDescent="0.3">
      <c r="A388" s="173"/>
      <c r="B388" s="44"/>
      <c r="C388" s="45"/>
      <c r="D388" s="45"/>
      <c r="E388" s="45"/>
      <c r="F388" s="45"/>
      <c r="G388" s="45"/>
      <c r="H388" s="44"/>
      <c r="I388" s="44"/>
      <c r="J388" s="45"/>
      <c r="K388" s="45"/>
      <c r="L388" s="44"/>
      <c r="M388" s="45"/>
      <c r="N388" s="45"/>
      <c r="O388" s="45"/>
      <c r="P388" s="45"/>
      <c r="Q388" s="45"/>
      <c r="R388" s="45"/>
      <c r="S388" s="45"/>
      <c r="T388" s="45"/>
      <c r="U388" s="45"/>
      <c r="V388" s="45"/>
      <c r="W388" s="173"/>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row>
    <row r="389" spans="1:46" x14ac:dyDescent="0.3">
      <c r="A389" s="173"/>
      <c r="B389" s="44"/>
      <c r="C389" s="45"/>
      <c r="D389" s="45"/>
      <c r="E389" s="45"/>
      <c r="F389" s="45"/>
      <c r="G389" s="45"/>
      <c r="H389" s="44"/>
      <c r="I389" s="44"/>
      <c r="J389" s="45"/>
      <c r="K389" s="45"/>
      <c r="L389" s="44"/>
      <c r="M389" s="45"/>
      <c r="N389" s="45"/>
      <c r="O389" s="45"/>
      <c r="P389" s="45"/>
      <c r="Q389" s="45"/>
      <c r="R389" s="45"/>
      <c r="S389" s="45"/>
      <c r="T389" s="45"/>
      <c r="U389" s="45"/>
      <c r="V389" s="45"/>
      <c r="W389" s="173"/>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row>
    <row r="390" spans="1:46" x14ac:dyDescent="0.3">
      <c r="A390" s="173"/>
      <c r="B390" s="44"/>
      <c r="C390" s="45"/>
      <c r="D390" s="45"/>
      <c r="E390" s="45"/>
      <c r="F390" s="45"/>
      <c r="G390" s="45"/>
      <c r="H390" s="44"/>
      <c r="I390" s="44"/>
      <c r="J390" s="45"/>
      <c r="K390" s="45"/>
      <c r="L390" s="44"/>
      <c r="M390" s="45"/>
      <c r="N390" s="45"/>
      <c r="O390" s="45"/>
      <c r="P390" s="45"/>
      <c r="Q390" s="45"/>
      <c r="R390" s="45"/>
      <c r="S390" s="45"/>
      <c r="T390" s="45"/>
      <c r="U390" s="45"/>
      <c r="V390" s="45"/>
      <c r="W390" s="173"/>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row>
    <row r="391" spans="1:46" x14ac:dyDescent="0.3">
      <c r="A391" s="173"/>
      <c r="B391" s="44"/>
      <c r="C391" s="45"/>
      <c r="D391" s="45"/>
      <c r="E391" s="45"/>
      <c r="F391" s="45"/>
      <c r="G391" s="45"/>
      <c r="H391" s="44"/>
      <c r="I391" s="44"/>
      <c r="J391" s="45"/>
      <c r="K391" s="45"/>
      <c r="L391" s="44"/>
      <c r="M391" s="45"/>
      <c r="N391" s="45"/>
      <c r="O391" s="45"/>
      <c r="P391" s="45"/>
      <c r="Q391" s="45"/>
      <c r="R391" s="45"/>
      <c r="S391" s="45"/>
      <c r="T391" s="45"/>
      <c r="U391" s="45"/>
      <c r="V391" s="45"/>
      <c r="W391" s="173"/>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row>
    <row r="392" spans="1:46" x14ac:dyDescent="0.3">
      <c r="A392" s="173"/>
      <c r="B392" s="44"/>
      <c r="C392" s="45"/>
      <c r="D392" s="45"/>
      <c r="E392" s="45"/>
      <c r="F392" s="45"/>
      <c r="G392" s="45"/>
      <c r="H392" s="44"/>
      <c r="I392" s="44"/>
      <c r="J392" s="45"/>
      <c r="K392" s="45"/>
      <c r="L392" s="44"/>
      <c r="M392" s="45"/>
      <c r="N392" s="45"/>
      <c r="O392" s="45"/>
      <c r="P392" s="45"/>
      <c r="Q392" s="45"/>
      <c r="R392" s="45"/>
      <c r="S392" s="45"/>
      <c r="T392" s="45"/>
      <c r="U392" s="45"/>
      <c r="V392" s="45"/>
      <c r="W392" s="173"/>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row>
    <row r="393" spans="1:46" x14ac:dyDescent="0.3">
      <c r="A393" s="173"/>
      <c r="B393" s="44"/>
      <c r="C393" s="45"/>
      <c r="D393" s="45"/>
      <c r="E393" s="45"/>
      <c r="F393" s="45"/>
      <c r="G393" s="45"/>
      <c r="H393" s="44"/>
      <c r="I393" s="44"/>
      <c r="J393" s="45"/>
      <c r="K393" s="45"/>
      <c r="L393" s="44"/>
      <c r="M393" s="45"/>
      <c r="N393" s="45"/>
      <c r="O393" s="45"/>
      <c r="P393" s="45"/>
      <c r="Q393" s="45"/>
      <c r="R393" s="45"/>
      <c r="S393" s="45"/>
      <c r="T393" s="45"/>
      <c r="U393" s="45"/>
      <c r="V393" s="45"/>
      <c r="W393" s="173"/>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row>
    <row r="394" spans="1:46" x14ac:dyDescent="0.3">
      <c r="A394" s="173"/>
      <c r="B394" s="44"/>
      <c r="C394" s="45"/>
      <c r="D394" s="45"/>
      <c r="E394" s="45"/>
      <c r="F394" s="45"/>
      <c r="G394" s="45"/>
      <c r="H394" s="44"/>
      <c r="I394" s="44"/>
      <c r="J394" s="45"/>
      <c r="K394" s="45"/>
      <c r="L394" s="44"/>
      <c r="M394" s="45"/>
      <c r="N394" s="45"/>
      <c r="O394" s="45"/>
      <c r="P394" s="45"/>
      <c r="Q394" s="45"/>
      <c r="R394" s="45"/>
      <c r="S394" s="45"/>
      <c r="T394" s="45"/>
      <c r="U394" s="45"/>
      <c r="V394" s="45"/>
      <c r="W394" s="173"/>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row>
    <row r="395" spans="1:46" x14ac:dyDescent="0.3">
      <c r="A395" s="173"/>
      <c r="B395" s="44"/>
      <c r="C395" s="45"/>
      <c r="D395" s="45"/>
      <c r="E395" s="45"/>
      <c r="F395" s="45"/>
      <c r="G395" s="45"/>
      <c r="H395" s="44"/>
      <c r="I395" s="44"/>
      <c r="J395" s="45"/>
      <c r="K395" s="45"/>
      <c r="L395" s="44"/>
      <c r="M395" s="45"/>
      <c r="N395" s="45"/>
      <c r="O395" s="45"/>
      <c r="P395" s="45"/>
      <c r="Q395" s="45"/>
      <c r="R395" s="45"/>
      <c r="S395" s="45"/>
      <c r="T395" s="45"/>
      <c r="U395" s="45"/>
      <c r="V395" s="45"/>
      <c r="W395" s="173"/>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row>
    <row r="396" spans="1:46" x14ac:dyDescent="0.3">
      <c r="A396" s="173"/>
      <c r="B396" s="44"/>
      <c r="C396" s="45"/>
      <c r="D396" s="45"/>
      <c r="E396" s="45"/>
      <c r="F396" s="45"/>
      <c r="G396" s="45"/>
      <c r="H396" s="44"/>
      <c r="I396" s="44"/>
      <c r="J396" s="45"/>
      <c r="K396" s="45"/>
      <c r="L396" s="44"/>
      <c r="M396" s="45"/>
      <c r="N396" s="45"/>
      <c r="O396" s="45"/>
      <c r="P396" s="45"/>
      <c r="Q396" s="45"/>
      <c r="R396" s="45"/>
      <c r="S396" s="45"/>
      <c r="T396" s="45"/>
      <c r="U396" s="45"/>
      <c r="V396" s="45"/>
      <c r="W396" s="173"/>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row>
    <row r="397" spans="1:46" x14ac:dyDescent="0.3">
      <c r="A397" s="173"/>
      <c r="B397" s="44"/>
      <c r="C397" s="45"/>
      <c r="D397" s="45"/>
      <c r="E397" s="45"/>
      <c r="F397" s="45"/>
      <c r="G397" s="45"/>
      <c r="H397" s="44"/>
      <c r="I397" s="44"/>
      <c r="J397" s="45"/>
      <c r="K397" s="45"/>
      <c r="L397" s="44"/>
      <c r="M397" s="45"/>
      <c r="N397" s="45"/>
      <c r="O397" s="45"/>
      <c r="P397" s="45"/>
      <c r="Q397" s="45"/>
      <c r="R397" s="45"/>
      <c r="S397" s="45"/>
      <c r="T397" s="45"/>
      <c r="U397" s="45"/>
      <c r="V397" s="45"/>
      <c r="W397" s="173"/>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row>
    <row r="398" spans="1:46" x14ac:dyDescent="0.3">
      <c r="A398" s="173"/>
      <c r="B398" s="44"/>
      <c r="C398" s="45"/>
      <c r="D398" s="45"/>
      <c r="E398" s="45"/>
      <c r="F398" s="45"/>
      <c r="G398" s="45"/>
      <c r="H398" s="44"/>
      <c r="I398" s="44"/>
      <c r="J398" s="45"/>
      <c r="K398" s="45"/>
      <c r="L398" s="44"/>
      <c r="M398" s="45"/>
      <c r="N398" s="45"/>
      <c r="O398" s="45"/>
      <c r="P398" s="45"/>
      <c r="Q398" s="45"/>
      <c r="R398" s="45"/>
      <c r="S398" s="45"/>
      <c r="T398" s="45"/>
      <c r="U398" s="45"/>
      <c r="V398" s="45"/>
      <c r="W398" s="173"/>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row>
    <row r="399" spans="1:46" x14ac:dyDescent="0.3">
      <c r="A399" s="173"/>
      <c r="B399" s="44"/>
      <c r="C399" s="45"/>
      <c r="D399" s="45"/>
      <c r="E399" s="45"/>
      <c r="F399" s="45"/>
      <c r="G399" s="45"/>
      <c r="H399" s="44"/>
      <c r="I399" s="44"/>
      <c r="J399" s="45"/>
      <c r="K399" s="45"/>
      <c r="L399" s="44"/>
      <c r="M399" s="45"/>
      <c r="N399" s="45"/>
      <c r="O399" s="45"/>
      <c r="P399" s="45"/>
      <c r="Q399" s="45"/>
      <c r="R399" s="45"/>
      <c r="S399" s="45"/>
      <c r="T399" s="45"/>
      <c r="U399" s="45"/>
      <c r="V399" s="45"/>
      <c r="W399" s="173"/>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row>
    <row r="400" spans="1:46" x14ac:dyDescent="0.3">
      <c r="A400" s="173"/>
      <c r="B400" s="44"/>
      <c r="C400" s="45"/>
      <c r="D400" s="45"/>
      <c r="E400" s="45"/>
      <c r="F400" s="45"/>
      <c r="G400" s="45"/>
      <c r="H400" s="44"/>
      <c r="I400" s="44"/>
      <c r="J400" s="45"/>
      <c r="K400" s="45"/>
      <c r="L400" s="44"/>
      <c r="M400" s="45"/>
      <c r="N400" s="45"/>
      <c r="O400" s="45"/>
      <c r="P400" s="45"/>
      <c r="Q400" s="45"/>
      <c r="R400" s="45"/>
      <c r="S400" s="45"/>
      <c r="T400" s="45"/>
      <c r="U400" s="45"/>
      <c r="V400" s="45"/>
      <c r="W400" s="173"/>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row>
    <row r="401" spans="1:46" x14ac:dyDescent="0.3">
      <c r="A401" s="173"/>
      <c r="B401" s="44"/>
      <c r="C401" s="45"/>
      <c r="D401" s="45"/>
      <c r="E401" s="45"/>
      <c r="F401" s="45"/>
      <c r="G401" s="45"/>
      <c r="H401" s="44"/>
      <c r="I401" s="44"/>
      <c r="J401" s="45"/>
      <c r="K401" s="45"/>
      <c r="L401" s="44"/>
      <c r="M401" s="45"/>
      <c r="N401" s="45"/>
      <c r="O401" s="45"/>
      <c r="P401" s="45"/>
      <c r="Q401" s="45"/>
      <c r="R401" s="45"/>
      <c r="S401" s="45"/>
      <c r="T401" s="45"/>
      <c r="U401" s="45"/>
      <c r="V401" s="45"/>
      <c r="W401" s="173"/>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row>
    <row r="402" spans="1:46" x14ac:dyDescent="0.3">
      <c r="A402" s="173"/>
      <c r="B402" s="44"/>
      <c r="C402" s="45"/>
      <c r="D402" s="45"/>
      <c r="E402" s="45"/>
      <c r="F402" s="45"/>
      <c r="G402" s="45"/>
      <c r="H402" s="44"/>
      <c r="I402" s="44"/>
      <c r="J402" s="45"/>
      <c r="K402" s="45"/>
      <c r="L402" s="44"/>
      <c r="M402" s="45"/>
      <c r="N402" s="45"/>
      <c r="O402" s="45"/>
      <c r="P402" s="45"/>
      <c r="Q402" s="45"/>
      <c r="R402" s="45"/>
      <c r="S402" s="45"/>
      <c r="T402" s="45"/>
      <c r="U402" s="45"/>
      <c r="V402" s="45"/>
      <c r="W402" s="173"/>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row>
    <row r="403" spans="1:46" x14ac:dyDescent="0.3">
      <c r="A403" s="173"/>
      <c r="B403" s="44"/>
      <c r="C403" s="45"/>
      <c r="D403" s="45"/>
      <c r="E403" s="45"/>
      <c r="F403" s="45"/>
      <c r="G403" s="45"/>
      <c r="H403" s="44"/>
      <c r="I403" s="44"/>
      <c r="J403" s="45"/>
      <c r="K403" s="45"/>
      <c r="L403" s="44"/>
      <c r="M403" s="45"/>
      <c r="N403" s="45"/>
      <c r="O403" s="45"/>
      <c r="P403" s="45"/>
      <c r="Q403" s="45"/>
      <c r="R403" s="45"/>
      <c r="S403" s="45"/>
      <c r="T403" s="45"/>
      <c r="U403" s="45"/>
      <c r="V403" s="45"/>
      <c r="W403" s="173"/>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row>
    <row r="404" spans="1:46" x14ac:dyDescent="0.3">
      <c r="A404" s="173"/>
      <c r="B404" s="44"/>
      <c r="C404" s="45"/>
      <c r="D404" s="45"/>
      <c r="E404" s="45"/>
      <c r="F404" s="45"/>
      <c r="G404" s="45"/>
      <c r="H404" s="44"/>
      <c r="I404" s="44"/>
      <c r="J404" s="45"/>
      <c r="K404" s="45"/>
      <c r="L404" s="44"/>
      <c r="M404" s="45"/>
      <c r="N404" s="45"/>
      <c r="O404" s="45"/>
      <c r="P404" s="45"/>
      <c r="Q404" s="45"/>
      <c r="R404" s="45"/>
      <c r="S404" s="45"/>
      <c r="T404" s="45"/>
      <c r="U404" s="45"/>
      <c r="V404" s="45"/>
      <c r="W404" s="173"/>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row>
    <row r="405" spans="1:46" x14ac:dyDescent="0.3">
      <c r="A405" s="173"/>
      <c r="B405" s="44"/>
      <c r="C405" s="45"/>
      <c r="D405" s="45"/>
      <c r="E405" s="45"/>
      <c r="F405" s="45"/>
      <c r="G405" s="45"/>
      <c r="H405" s="44"/>
      <c r="I405" s="44"/>
      <c r="J405" s="45"/>
      <c r="K405" s="45"/>
      <c r="L405" s="44"/>
      <c r="M405" s="45"/>
      <c r="N405" s="45"/>
      <c r="O405" s="45"/>
      <c r="P405" s="45"/>
      <c r="Q405" s="45"/>
      <c r="R405" s="45"/>
      <c r="S405" s="45"/>
      <c r="T405" s="45"/>
      <c r="U405" s="45"/>
      <c r="V405" s="45"/>
      <c r="W405" s="173"/>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row>
    <row r="406" spans="1:46" x14ac:dyDescent="0.3">
      <c r="A406" s="173"/>
      <c r="B406" s="44"/>
      <c r="C406" s="45"/>
      <c r="D406" s="45"/>
      <c r="E406" s="45"/>
      <c r="F406" s="45"/>
      <c r="G406" s="45"/>
      <c r="H406" s="44"/>
      <c r="I406" s="44"/>
      <c r="J406" s="45"/>
      <c r="K406" s="45"/>
      <c r="L406" s="44"/>
      <c r="M406" s="45"/>
      <c r="N406" s="45"/>
      <c r="O406" s="45"/>
      <c r="P406" s="45"/>
      <c r="Q406" s="45"/>
      <c r="R406" s="45"/>
      <c r="S406" s="45"/>
      <c r="T406" s="45"/>
      <c r="U406" s="45"/>
      <c r="V406" s="45"/>
      <c r="W406" s="173"/>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row>
    <row r="407" spans="1:46" x14ac:dyDescent="0.3">
      <c r="A407" s="173"/>
      <c r="B407" s="44"/>
      <c r="C407" s="45"/>
      <c r="D407" s="45"/>
      <c r="E407" s="45"/>
      <c r="F407" s="45"/>
      <c r="G407" s="45"/>
      <c r="H407" s="44"/>
      <c r="I407" s="44"/>
      <c r="J407" s="45"/>
      <c r="K407" s="45"/>
      <c r="L407" s="44"/>
      <c r="M407" s="45"/>
      <c r="N407" s="45"/>
      <c r="O407" s="45"/>
      <c r="P407" s="45"/>
      <c r="Q407" s="45"/>
      <c r="R407" s="45"/>
      <c r="S407" s="45"/>
      <c r="T407" s="45"/>
      <c r="U407" s="45"/>
      <c r="V407" s="45"/>
      <c r="W407" s="173"/>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row>
    <row r="408" spans="1:46" x14ac:dyDescent="0.3">
      <c r="A408" s="173"/>
      <c r="B408" s="44"/>
      <c r="C408" s="45"/>
      <c r="D408" s="45"/>
      <c r="E408" s="45"/>
      <c r="F408" s="45"/>
      <c r="G408" s="45"/>
      <c r="H408" s="44"/>
      <c r="I408" s="44"/>
      <c r="J408" s="45"/>
      <c r="K408" s="45"/>
      <c r="L408" s="44"/>
      <c r="M408" s="45"/>
      <c r="N408" s="45"/>
      <c r="O408" s="45"/>
      <c r="P408" s="45"/>
      <c r="Q408" s="45"/>
      <c r="R408" s="45"/>
      <c r="S408" s="45"/>
      <c r="T408" s="45"/>
      <c r="U408" s="45"/>
      <c r="V408" s="45"/>
      <c r="W408" s="173"/>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row>
    <row r="409" spans="1:46" x14ac:dyDescent="0.3">
      <c r="A409" s="173"/>
      <c r="B409" s="44"/>
      <c r="C409" s="45"/>
      <c r="D409" s="45"/>
      <c r="E409" s="45"/>
      <c r="F409" s="45"/>
      <c r="G409" s="45"/>
      <c r="H409" s="44"/>
      <c r="I409" s="44"/>
      <c r="J409" s="45"/>
      <c r="K409" s="45"/>
      <c r="L409" s="44"/>
      <c r="M409" s="45"/>
      <c r="N409" s="45"/>
      <c r="O409" s="45"/>
      <c r="P409" s="45"/>
      <c r="Q409" s="45"/>
      <c r="R409" s="45"/>
      <c r="S409" s="45"/>
      <c r="T409" s="45"/>
      <c r="U409" s="45"/>
      <c r="V409" s="45"/>
      <c r="W409" s="173"/>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row>
    <row r="410" spans="1:46" x14ac:dyDescent="0.3">
      <c r="A410" s="173"/>
      <c r="B410" s="44"/>
      <c r="C410" s="45"/>
      <c r="D410" s="45"/>
      <c r="E410" s="45"/>
      <c r="F410" s="45"/>
      <c r="G410" s="45"/>
      <c r="H410" s="44"/>
      <c r="I410" s="44"/>
      <c r="J410" s="45"/>
      <c r="K410" s="45"/>
      <c r="L410" s="44"/>
      <c r="M410" s="45"/>
      <c r="N410" s="45"/>
      <c r="O410" s="45"/>
      <c r="P410" s="45"/>
      <c r="Q410" s="45"/>
      <c r="R410" s="45"/>
      <c r="S410" s="45"/>
      <c r="T410" s="45"/>
      <c r="U410" s="45"/>
      <c r="V410" s="45"/>
      <c r="W410" s="173"/>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row>
    <row r="411" spans="1:46" x14ac:dyDescent="0.3">
      <c r="A411" s="173"/>
      <c r="B411" s="44"/>
      <c r="C411" s="45"/>
      <c r="D411" s="45"/>
      <c r="E411" s="45"/>
      <c r="F411" s="45"/>
      <c r="G411" s="45"/>
      <c r="H411" s="44"/>
      <c r="I411" s="44"/>
      <c r="J411" s="45"/>
      <c r="K411" s="45"/>
      <c r="L411" s="44"/>
      <c r="M411" s="45"/>
      <c r="N411" s="45"/>
      <c r="O411" s="45"/>
      <c r="P411" s="45"/>
      <c r="Q411" s="45"/>
      <c r="R411" s="45"/>
      <c r="S411" s="45"/>
      <c r="T411" s="45"/>
      <c r="U411" s="45"/>
      <c r="V411" s="45"/>
      <c r="W411" s="173"/>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row>
    <row r="412" spans="1:46" x14ac:dyDescent="0.3">
      <c r="A412" s="173"/>
      <c r="B412" s="44"/>
      <c r="C412" s="45"/>
      <c r="D412" s="45"/>
      <c r="E412" s="45"/>
      <c r="F412" s="45"/>
      <c r="G412" s="45"/>
      <c r="H412" s="44"/>
      <c r="I412" s="44"/>
      <c r="J412" s="45"/>
      <c r="K412" s="45"/>
      <c r="L412" s="44"/>
      <c r="M412" s="45"/>
      <c r="N412" s="45"/>
      <c r="O412" s="45"/>
      <c r="P412" s="45"/>
      <c r="Q412" s="45"/>
      <c r="R412" s="45"/>
      <c r="S412" s="45"/>
      <c r="T412" s="45"/>
      <c r="U412" s="45"/>
      <c r="V412" s="45"/>
      <c r="W412" s="173"/>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row>
    <row r="413" spans="1:46" x14ac:dyDescent="0.3">
      <c r="A413" s="173"/>
      <c r="B413" s="44"/>
      <c r="C413" s="45"/>
      <c r="D413" s="45"/>
      <c r="E413" s="45"/>
      <c r="F413" s="45"/>
      <c r="G413" s="45"/>
      <c r="H413" s="44"/>
      <c r="I413" s="44"/>
      <c r="J413" s="45"/>
      <c r="K413" s="45"/>
      <c r="L413" s="44"/>
      <c r="M413" s="45"/>
      <c r="N413" s="45"/>
      <c r="O413" s="45"/>
      <c r="P413" s="45"/>
      <c r="Q413" s="45"/>
      <c r="R413" s="45"/>
      <c r="S413" s="45"/>
      <c r="T413" s="45"/>
      <c r="U413" s="45"/>
      <c r="V413" s="45"/>
      <c r="W413" s="173"/>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row>
    <row r="414" spans="1:46" x14ac:dyDescent="0.3">
      <c r="A414" s="173"/>
      <c r="B414" s="44"/>
      <c r="C414" s="45"/>
      <c r="D414" s="45"/>
      <c r="E414" s="45"/>
      <c r="F414" s="45"/>
      <c r="G414" s="45"/>
      <c r="H414" s="44"/>
      <c r="I414" s="44"/>
      <c r="J414" s="45"/>
      <c r="K414" s="45"/>
      <c r="L414" s="44"/>
      <c r="M414" s="45"/>
      <c r="N414" s="45"/>
      <c r="O414" s="45"/>
      <c r="P414" s="45"/>
      <c r="Q414" s="45"/>
      <c r="R414" s="45"/>
      <c r="S414" s="45"/>
      <c r="T414" s="45"/>
      <c r="U414" s="45"/>
      <c r="V414" s="45"/>
      <c r="W414" s="173"/>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row>
    <row r="415" spans="1:46" x14ac:dyDescent="0.3">
      <c r="A415" s="173"/>
      <c r="B415" s="44"/>
      <c r="C415" s="45"/>
      <c r="D415" s="45"/>
      <c r="E415" s="45"/>
      <c r="F415" s="45"/>
      <c r="G415" s="45"/>
      <c r="H415" s="44"/>
      <c r="I415" s="44"/>
      <c r="J415" s="45"/>
      <c r="K415" s="45"/>
      <c r="L415" s="44"/>
      <c r="M415" s="45"/>
      <c r="N415" s="45"/>
      <c r="O415" s="45"/>
      <c r="P415" s="45"/>
      <c r="Q415" s="45"/>
      <c r="R415" s="45"/>
      <c r="S415" s="45"/>
      <c r="T415" s="45"/>
      <c r="U415" s="45"/>
      <c r="V415" s="45"/>
      <c r="W415" s="173"/>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row>
    <row r="416" spans="1:46" x14ac:dyDescent="0.3">
      <c r="A416" s="173"/>
      <c r="B416" s="44"/>
      <c r="C416" s="45"/>
      <c r="D416" s="45"/>
      <c r="E416" s="45"/>
      <c r="F416" s="45"/>
      <c r="G416" s="45"/>
      <c r="H416" s="44"/>
      <c r="I416" s="44"/>
      <c r="J416" s="45"/>
      <c r="K416" s="45"/>
      <c r="L416" s="44"/>
      <c r="M416" s="45"/>
      <c r="N416" s="45"/>
      <c r="O416" s="45"/>
      <c r="P416" s="45"/>
      <c r="Q416" s="45"/>
      <c r="R416" s="45"/>
      <c r="S416" s="45"/>
      <c r="T416" s="45"/>
      <c r="U416" s="45"/>
      <c r="V416" s="45"/>
      <c r="W416" s="173"/>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row>
    <row r="417" spans="1:46" x14ac:dyDescent="0.3">
      <c r="A417" s="173"/>
      <c r="B417" s="44"/>
      <c r="C417" s="45"/>
      <c r="D417" s="45"/>
      <c r="E417" s="45"/>
      <c r="F417" s="45"/>
      <c r="G417" s="45"/>
      <c r="H417" s="44"/>
      <c r="I417" s="44"/>
      <c r="J417" s="45"/>
      <c r="K417" s="45"/>
      <c r="L417" s="44"/>
      <c r="M417" s="45"/>
      <c r="N417" s="45"/>
      <c r="O417" s="45"/>
      <c r="P417" s="45"/>
      <c r="Q417" s="45"/>
      <c r="R417" s="45"/>
      <c r="S417" s="45"/>
      <c r="T417" s="45"/>
      <c r="U417" s="45"/>
      <c r="V417" s="45"/>
      <c r="W417" s="173"/>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row>
    <row r="418" spans="1:46" x14ac:dyDescent="0.3">
      <c r="A418" s="173"/>
      <c r="B418" s="44"/>
      <c r="C418" s="45"/>
      <c r="D418" s="45"/>
      <c r="E418" s="45"/>
      <c r="F418" s="45"/>
      <c r="G418" s="45"/>
      <c r="H418" s="44"/>
      <c r="I418" s="44"/>
      <c r="J418" s="45"/>
      <c r="K418" s="45"/>
      <c r="L418" s="44"/>
      <c r="M418" s="45"/>
      <c r="N418" s="45"/>
      <c r="O418" s="45"/>
      <c r="P418" s="45"/>
      <c r="Q418" s="45"/>
      <c r="R418" s="45"/>
      <c r="S418" s="45"/>
      <c r="T418" s="45"/>
      <c r="U418" s="45"/>
      <c r="V418" s="45"/>
      <c r="W418" s="173"/>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row>
    <row r="419" spans="1:46" x14ac:dyDescent="0.3">
      <c r="A419" s="173"/>
      <c r="B419" s="44"/>
      <c r="C419" s="45"/>
      <c r="D419" s="45"/>
      <c r="E419" s="45"/>
      <c r="F419" s="45"/>
      <c r="G419" s="45"/>
      <c r="H419" s="44"/>
      <c r="I419" s="44"/>
      <c r="J419" s="45"/>
      <c r="K419" s="45"/>
      <c r="L419" s="44"/>
      <c r="M419" s="45"/>
      <c r="N419" s="45"/>
      <c r="O419" s="45"/>
      <c r="P419" s="45"/>
      <c r="Q419" s="45"/>
      <c r="R419" s="45"/>
      <c r="S419" s="45"/>
      <c r="T419" s="45"/>
      <c r="U419" s="45"/>
      <c r="V419" s="45"/>
      <c r="W419" s="173"/>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row>
    <row r="420" spans="1:46" x14ac:dyDescent="0.3">
      <c r="A420" s="173"/>
      <c r="B420" s="44"/>
      <c r="C420" s="45"/>
      <c r="D420" s="45"/>
      <c r="E420" s="45"/>
      <c r="F420" s="45"/>
      <c r="G420" s="45"/>
      <c r="H420" s="44"/>
      <c r="I420" s="44"/>
      <c r="J420" s="45"/>
      <c r="K420" s="45"/>
      <c r="L420" s="44"/>
      <c r="M420" s="45"/>
      <c r="N420" s="45"/>
      <c r="O420" s="45"/>
      <c r="P420" s="45"/>
      <c r="Q420" s="45"/>
      <c r="R420" s="45"/>
      <c r="S420" s="45"/>
      <c r="T420" s="45"/>
      <c r="U420" s="45"/>
      <c r="V420" s="45"/>
      <c r="W420" s="173"/>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row>
    <row r="421" spans="1:46" x14ac:dyDescent="0.3">
      <c r="A421" s="173"/>
      <c r="B421" s="44"/>
      <c r="C421" s="45"/>
      <c r="D421" s="45"/>
      <c r="E421" s="45"/>
      <c r="F421" s="45"/>
      <c r="G421" s="45"/>
      <c r="H421" s="44"/>
      <c r="I421" s="44"/>
      <c r="J421" s="45"/>
      <c r="K421" s="45"/>
      <c r="L421" s="44"/>
      <c r="M421" s="45"/>
      <c r="N421" s="45"/>
      <c r="O421" s="45"/>
      <c r="P421" s="45"/>
      <c r="Q421" s="45"/>
      <c r="R421" s="45"/>
      <c r="S421" s="45"/>
      <c r="T421" s="45"/>
      <c r="U421" s="45"/>
      <c r="V421" s="45"/>
      <c r="W421" s="173"/>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row>
    <row r="422" spans="1:46" x14ac:dyDescent="0.3">
      <c r="A422" s="173"/>
      <c r="B422" s="44"/>
      <c r="C422" s="45"/>
      <c r="D422" s="45"/>
      <c r="E422" s="45"/>
      <c r="F422" s="45"/>
      <c r="G422" s="45"/>
      <c r="H422" s="44"/>
      <c r="I422" s="44"/>
      <c r="J422" s="45"/>
      <c r="K422" s="45"/>
      <c r="L422" s="44"/>
      <c r="M422" s="45"/>
      <c r="N422" s="45"/>
      <c r="O422" s="45"/>
      <c r="P422" s="45"/>
      <c r="Q422" s="45"/>
      <c r="R422" s="45"/>
      <c r="S422" s="45"/>
      <c r="T422" s="45"/>
      <c r="U422" s="45"/>
      <c r="V422" s="45"/>
      <c r="W422" s="173"/>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row>
    <row r="423" spans="1:46" x14ac:dyDescent="0.3">
      <c r="A423" s="173"/>
      <c r="B423" s="44"/>
      <c r="C423" s="45"/>
      <c r="D423" s="45"/>
      <c r="E423" s="45"/>
      <c r="F423" s="45"/>
      <c r="G423" s="45"/>
      <c r="H423" s="44"/>
      <c r="I423" s="44"/>
      <c r="J423" s="45"/>
      <c r="K423" s="45"/>
      <c r="L423" s="44"/>
      <c r="M423" s="45"/>
      <c r="N423" s="45"/>
      <c r="O423" s="45"/>
      <c r="P423" s="45"/>
      <c r="Q423" s="45"/>
      <c r="R423" s="45"/>
      <c r="S423" s="45"/>
      <c r="T423" s="45"/>
      <c r="U423" s="45"/>
      <c r="V423" s="45"/>
      <c r="W423" s="173"/>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row>
    <row r="424" spans="1:46" x14ac:dyDescent="0.3">
      <c r="A424" s="173"/>
      <c r="B424" s="44"/>
      <c r="C424" s="45"/>
      <c r="D424" s="45"/>
      <c r="E424" s="45"/>
      <c r="F424" s="45"/>
      <c r="G424" s="45"/>
      <c r="H424" s="44"/>
      <c r="I424" s="44"/>
      <c r="J424" s="45"/>
      <c r="K424" s="45"/>
      <c r="L424" s="44"/>
      <c r="M424" s="45"/>
      <c r="N424" s="45"/>
      <c r="O424" s="45"/>
      <c r="P424" s="45"/>
      <c r="Q424" s="45"/>
      <c r="R424" s="45"/>
      <c r="S424" s="45"/>
      <c r="T424" s="45"/>
      <c r="U424" s="45"/>
      <c r="V424" s="45"/>
      <c r="W424" s="173"/>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row>
    <row r="425" spans="1:46" x14ac:dyDescent="0.3">
      <c r="A425" s="173"/>
      <c r="B425" s="44"/>
      <c r="C425" s="45"/>
      <c r="D425" s="45"/>
      <c r="E425" s="45"/>
      <c r="F425" s="45"/>
      <c r="G425" s="45"/>
      <c r="H425" s="44"/>
      <c r="I425" s="44"/>
      <c r="J425" s="45"/>
      <c r="K425" s="45"/>
      <c r="L425" s="44"/>
      <c r="M425" s="45"/>
      <c r="N425" s="45"/>
      <c r="O425" s="45"/>
      <c r="P425" s="45"/>
      <c r="Q425" s="45"/>
      <c r="R425" s="45"/>
      <c r="S425" s="45"/>
      <c r="T425" s="45"/>
      <c r="U425" s="45"/>
      <c r="V425" s="45"/>
      <c r="W425" s="173"/>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row>
    <row r="426" spans="1:46" x14ac:dyDescent="0.3">
      <c r="A426" s="173"/>
      <c r="B426" s="44"/>
      <c r="C426" s="45"/>
      <c r="D426" s="45"/>
      <c r="E426" s="45"/>
      <c r="F426" s="45"/>
      <c r="G426" s="45"/>
      <c r="H426" s="44"/>
      <c r="I426" s="44"/>
      <c r="J426" s="45"/>
      <c r="K426" s="45"/>
      <c r="L426" s="44"/>
      <c r="M426" s="45"/>
      <c r="N426" s="45"/>
      <c r="O426" s="45"/>
      <c r="P426" s="45"/>
      <c r="Q426" s="45"/>
      <c r="R426" s="45"/>
      <c r="S426" s="45"/>
      <c r="T426" s="45"/>
      <c r="U426" s="45"/>
      <c r="V426" s="45"/>
      <c r="W426" s="173"/>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row>
    <row r="427" spans="1:46" x14ac:dyDescent="0.3">
      <c r="A427" s="173"/>
      <c r="B427" s="44"/>
      <c r="C427" s="45"/>
      <c r="D427" s="45"/>
      <c r="E427" s="45"/>
      <c r="F427" s="45"/>
      <c r="G427" s="45"/>
      <c r="H427" s="44"/>
      <c r="I427" s="44"/>
      <c r="J427" s="45"/>
      <c r="K427" s="45"/>
      <c r="L427" s="44"/>
      <c r="M427" s="45"/>
      <c r="N427" s="45"/>
      <c r="O427" s="45"/>
      <c r="P427" s="45"/>
      <c r="Q427" s="45"/>
      <c r="R427" s="45"/>
      <c r="S427" s="45"/>
      <c r="T427" s="45"/>
      <c r="U427" s="45"/>
      <c r="V427" s="45"/>
      <c r="W427" s="173"/>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row>
    <row r="428" spans="1:46" x14ac:dyDescent="0.3">
      <c r="A428" s="173"/>
      <c r="B428" s="44"/>
      <c r="C428" s="45"/>
      <c r="D428" s="45"/>
      <c r="E428" s="45"/>
      <c r="F428" s="45"/>
      <c r="G428" s="45"/>
      <c r="H428" s="44"/>
      <c r="I428" s="44"/>
      <c r="J428" s="45"/>
      <c r="K428" s="45"/>
      <c r="L428" s="44"/>
      <c r="M428" s="45"/>
      <c r="N428" s="45"/>
      <c r="O428" s="45"/>
      <c r="P428" s="45"/>
      <c r="Q428" s="45"/>
      <c r="R428" s="45"/>
      <c r="S428" s="45"/>
      <c r="T428" s="45"/>
      <c r="U428" s="45"/>
      <c r="V428" s="45"/>
      <c r="W428" s="173"/>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row>
    <row r="429" spans="1:46" x14ac:dyDescent="0.3">
      <c r="A429" s="173"/>
      <c r="B429" s="44"/>
      <c r="C429" s="45"/>
      <c r="D429" s="45"/>
      <c r="E429" s="45"/>
      <c r="F429" s="45"/>
      <c r="G429" s="45"/>
      <c r="H429" s="44"/>
      <c r="I429" s="44"/>
      <c r="J429" s="45"/>
      <c r="K429" s="45"/>
      <c r="L429" s="44"/>
      <c r="M429" s="45"/>
      <c r="N429" s="45"/>
      <c r="O429" s="45"/>
      <c r="P429" s="45"/>
      <c r="Q429" s="45"/>
      <c r="R429" s="45"/>
      <c r="S429" s="45"/>
      <c r="T429" s="45"/>
      <c r="U429" s="45"/>
      <c r="V429" s="45"/>
      <c r="W429" s="173"/>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row>
    <row r="430" spans="1:46" x14ac:dyDescent="0.3">
      <c r="A430" s="173"/>
      <c r="B430" s="44"/>
      <c r="C430" s="45"/>
      <c r="D430" s="45"/>
      <c r="E430" s="45"/>
      <c r="F430" s="45"/>
      <c r="G430" s="45"/>
      <c r="H430" s="44"/>
      <c r="I430" s="44"/>
      <c r="J430" s="45"/>
      <c r="K430" s="45"/>
      <c r="L430" s="44"/>
      <c r="M430" s="45"/>
      <c r="N430" s="45"/>
      <c r="O430" s="45"/>
      <c r="P430" s="45"/>
      <c r="Q430" s="45"/>
      <c r="R430" s="45"/>
      <c r="S430" s="45"/>
      <c r="T430" s="45"/>
      <c r="U430" s="45"/>
      <c r="V430" s="45"/>
      <c r="W430" s="173"/>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row>
    <row r="431" spans="1:46" x14ac:dyDescent="0.3">
      <c r="A431" s="173"/>
      <c r="B431" s="44"/>
      <c r="C431" s="45"/>
      <c r="D431" s="45"/>
      <c r="E431" s="45"/>
      <c r="F431" s="45"/>
      <c r="G431" s="45"/>
      <c r="H431" s="44"/>
      <c r="I431" s="44"/>
      <c r="J431" s="45"/>
      <c r="K431" s="45"/>
      <c r="L431" s="44"/>
      <c r="M431" s="45"/>
      <c r="N431" s="45"/>
      <c r="O431" s="45"/>
      <c r="P431" s="45"/>
      <c r="Q431" s="45"/>
      <c r="R431" s="45"/>
      <c r="S431" s="45"/>
      <c r="T431" s="45"/>
      <c r="U431" s="45"/>
      <c r="V431" s="45"/>
      <c r="W431" s="173"/>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row>
    <row r="432" spans="1:46" x14ac:dyDescent="0.3">
      <c r="A432" s="173"/>
      <c r="B432" s="44"/>
      <c r="C432" s="45"/>
      <c r="D432" s="45"/>
      <c r="E432" s="45"/>
      <c r="F432" s="45"/>
      <c r="G432" s="45"/>
      <c r="H432" s="44"/>
      <c r="I432" s="44"/>
      <c r="J432" s="45"/>
      <c r="K432" s="45"/>
      <c r="L432" s="44"/>
      <c r="M432" s="45"/>
      <c r="N432" s="45"/>
      <c r="O432" s="45"/>
      <c r="P432" s="45"/>
      <c r="Q432" s="45"/>
      <c r="R432" s="45"/>
      <c r="S432" s="45"/>
      <c r="T432" s="45"/>
      <c r="U432" s="45"/>
      <c r="V432" s="45"/>
      <c r="W432" s="173"/>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row>
    <row r="433" spans="1:46" x14ac:dyDescent="0.3">
      <c r="A433" s="173"/>
      <c r="B433" s="44"/>
      <c r="C433" s="45"/>
      <c r="D433" s="45"/>
      <c r="E433" s="45"/>
      <c r="F433" s="45"/>
      <c r="G433" s="45"/>
      <c r="H433" s="44"/>
      <c r="I433" s="44"/>
      <c r="J433" s="45"/>
      <c r="K433" s="45"/>
      <c r="L433" s="44"/>
      <c r="M433" s="45"/>
      <c r="N433" s="45"/>
      <c r="O433" s="45"/>
      <c r="P433" s="45"/>
      <c r="Q433" s="45"/>
      <c r="R433" s="45"/>
      <c r="S433" s="45"/>
      <c r="T433" s="45"/>
      <c r="U433" s="45"/>
      <c r="V433" s="45"/>
      <c r="W433" s="173"/>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row>
    <row r="434" spans="1:46" x14ac:dyDescent="0.3">
      <c r="A434" s="173"/>
      <c r="B434" s="44"/>
      <c r="C434" s="45"/>
      <c r="D434" s="45"/>
      <c r="E434" s="45"/>
      <c r="F434" s="45"/>
      <c r="G434" s="45"/>
      <c r="H434" s="44"/>
      <c r="I434" s="44"/>
      <c r="J434" s="45"/>
      <c r="K434" s="45"/>
      <c r="L434" s="44"/>
      <c r="M434" s="45"/>
      <c r="N434" s="45"/>
      <c r="O434" s="45"/>
      <c r="P434" s="45"/>
      <c r="Q434" s="45"/>
      <c r="R434" s="45"/>
      <c r="S434" s="45"/>
      <c r="T434" s="45"/>
      <c r="U434" s="45"/>
      <c r="V434" s="45"/>
      <c r="W434" s="173"/>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row>
    <row r="435" spans="1:46" x14ac:dyDescent="0.3">
      <c r="A435" s="173"/>
      <c r="B435" s="44"/>
      <c r="C435" s="45"/>
      <c r="D435" s="45"/>
      <c r="E435" s="45"/>
      <c r="F435" s="45"/>
      <c r="G435" s="45"/>
      <c r="H435" s="44"/>
      <c r="I435" s="44"/>
      <c r="J435" s="45"/>
      <c r="K435" s="45"/>
      <c r="L435" s="44"/>
      <c r="M435" s="45"/>
      <c r="N435" s="45"/>
      <c r="O435" s="45"/>
      <c r="P435" s="45"/>
      <c r="Q435" s="45"/>
      <c r="R435" s="45"/>
      <c r="S435" s="45"/>
      <c r="T435" s="45"/>
      <c r="U435" s="45"/>
      <c r="V435" s="45"/>
      <c r="W435" s="173"/>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row>
    <row r="436" spans="1:46" x14ac:dyDescent="0.3">
      <c r="A436" s="173"/>
      <c r="B436" s="44"/>
      <c r="C436" s="45"/>
      <c r="D436" s="45"/>
      <c r="E436" s="45"/>
      <c r="F436" s="45"/>
      <c r="G436" s="45"/>
      <c r="H436" s="44"/>
      <c r="I436" s="44"/>
      <c r="J436" s="45"/>
      <c r="K436" s="45"/>
      <c r="L436" s="44"/>
      <c r="M436" s="45"/>
      <c r="N436" s="45"/>
      <c r="O436" s="45"/>
      <c r="P436" s="45"/>
      <c r="Q436" s="45"/>
      <c r="R436" s="45"/>
      <c r="S436" s="45"/>
      <c r="T436" s="45"/>
      <c r="U436" s="45"/>
      <c r="V436" s="45"/>
      <c r="W436" s="173"/>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row>
    <row r="437" spans="1:46" x14ac:dyDescent="0.3">
      <c r="A437" s="173"/>
      <c r="B437" s="44"/>
      <c r="C437" s="45"/>
      <c r="D437" s="45"/>
      <c r="E437" s="45"/>
      <c r="F437" s="45"/>
      <c r="G437" s="45"/>
      <c r="H437" s="44"/>
      <c r="I437" s="44"/>
      <c r="J437" s="45"/>
      <c r="K437" s="45"/>
      <c r="L437" s="44"/>
      <c r="M437" s="45"/>
      <c r="N437" s="45"/>
      <c r="O437" s="45"/>
      <c r="P437" s="45"/>
      <c r="Q437" s="45"/>
      <c r="R437" s="45"/>
      <c r="S437" s="45"/>
      <c r="T437" s="45"/>
      <c r="U437" s="45"/>
      <c r="V437" s="45"/>
      <c r="W437" s="173"/>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row>
    <row r="438" spans="1:46" x14ac:dyDescent="0.3">
      <c r="A438" s="173"/>
      <c r="B438" s="44"/>
      <c r="C438" s="45"/>
      <c r="D438" s="45"/>
      <c r="E438" s="45"/>
      <c r="F438" s="45"/>
      <c r="G438" s="45"/>
      <c r="H438" s="44"/>
      <c r="I438" s="44"/>
      <c r="J438" s="45"/>
      <c r="K438" s="45"/>
      <c r="L438" s="44"/>
      <c r="M438" s="45"/>
      <c r="N438" s="45"/>
      <c r="O438" s="45"/>
      <c r="P438" s="45"/>
      <c r="Q438" s="45"/>
      <c r="R438" s="45"/>
      <c r="S438" s="45"/>
      <c r="T438" s="45"/>
      <c r="U438" s="45"/>
      <c r="V438" s="45"/>
      <c r="W438" s="173"/>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row>
    <row r="439" spans="1:46" x14ac:dyDescent="0.3">
      <c r="A439" s="173"/>
      <c r="B439" s="44"/>
      <c r="C439" s="45"/>
      <c r="D439" s="45"/>
      <c r="E439" s="45"/>
      <c r="F439" s="45"/>
      <c r="G439" s="45"/>
      <c r="H439" s="44"/>
      <c r="I439" s="44"/>
      <c r="J439" s="45"/>
      <c r="K439" s="45"/>
      <c r="L439" s="44"/>
      <c r="M439" s="45"/>
      <c r="N439" s="45"/>
      <c r="O439" s="45"/>
      <c r="P439" s="45"/>
      <c r="Q439" s="45"/>
      <c r="R439" s="45"/>
      <c r="S439" s="45"/>
      <c r="T439" s="45"/>
      <c r="U439" s="45"/>
      <c r="V439" s="45"/>
      <c r="W439" s="173"/>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row>
    <row r="440" spans="1:46" x14ac:dyDescent="0.3">
      <c r="A440" s="173"/>
      <c r="B440" s="44"/>
      <c r="C440" s="45"/>
      <c r="D440" s="45"/>
      <c r="E440" s="45"/>
      <c r="F440" s="45"/>
      <c r="G440" s="45"/>
      <c r="H440" s="44"/>
      <c r="I440" s="44"/>
      <c r="J440" s="45"/>
      <c r="K440" s="45"/>
      <c r="L440" s="44"/>
      <c r="M440" s="45"/>
      <c r="N440" s="45"/>
      <c r="O440" s="45"/>
      <c r="P440" s="45"/>
      <c r="Q440" s="45"/>
      <c r="R440" s="45"/>
      <c r="S440" s="45"/>
      <c r="T440" s="45"/>
      <c r="U440" s="45"/>
      <c r="V440" s="45"/>
      <c r="W440" s="173"/>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row>
    <row r="441" spans="1:46" x14ac:dyDescent="0.3">
      <c r="A441" s="173"/>
      <c r="B441" s="44"/>
      <c r="C441" s="45"/>
      <c r="D441" s="45"/>
      <c r="E441" s="45"/>
      <c r="F441" s="45"/>
      <c r="G441" s="45"/>
      <c r="H441" s="44"/>
      <c r="I441" s="44"/>
      <c r="J441" s="45"/>
      <c r="K441" s="45"/>
      <c r="L441" s="44"/>
      <c r="M441" s="45"/>
      <c r="N441" s="45"/>
      <c r="O441" s="45"/>
      <c r="P441" s="45"/>
      <c r="Q441" s="45"/>
      <c r="R441" s="45"/>
      <c r="S441" s="45"/>
      <c r="T441" s="45"/>
      <c r="U441" s="45"/>
      <c r="V441" s="45"/>
      <c r="W441" s="173"/>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row>
    <row r="442" spans="1:46" x14ac:dyDescent="0.3">
      <c r="A442" s="173"/>
      <c r="B442" s="44"/>
      <c r="C442" s="45"/>
      <c r="D442" s="45"/>
      <c r="E442" s="45"/>
      <c r="F442" s="45"/>
      <c r="G442" s="45"/>
      <c r="H442" s="44"/>
      <c r="I442" s="44"/>
      <c r="J442" s="45"/>
      <c r="K442" s="45"/>
      <c r="L442" s="44"/>
      <c r="M442" s="45"/>
      <c r="N442" s="45"/>
      <c r="O442" s="45"/>
      <c r="P442" s="45"/>
      <c r="Q442" s="45"/>
      <c r="R442" s="45"/>
      <c r="S442" s="45"/>
      <c r="T442" s="45"/>
      <c r="U442" s="45"/>
      <c r="V442" s="45"/>
      <c r="W442" s="173"/>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row>
    <row r="443" spans="1:46" x14ac:dyDescent="0.3">
      <c r="A443" s="173"/>
      <c r="B443" s="44"/>
      <c r="C443" s="45"/>
      <c r="D443" s="45"/>
      <c r="E443" s="45"/>
      <c r="F443" s="45"/>
      <c r="G443" s="45"/>
      <c r="H443" s="44"/>
      <c r="I443" s="44"/>
      <c r="J443" s="45"/>
      <c r="K443" s="45"/>
      <c r="L443" s="44"/>
      <c r="M443" s="45"/>
      <c r="N443" s="45"/>
      <c r="O443" s="45"/>
      <c r="P443" s="45"/>
      <c r="Q443" s="45"/>
      <c r="R443" s="45"/>
      <c r="S443" s="45"/>
      <c r="T443" s="45"/>
      <c r="U443" s="45"/>
      <c r="V443" s="45"/>
      <c r="W443" s="173"/>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row>
    <row r="444" spans="1:46" x14ac:dyDescent="0.3">
      <c r="A444" s="173"/>
      <c r="B444" s="44"/>
      <c r="C444" s="45"/>
      <c r="D444" s="45"/>
      <c r="E444" s="45"/>
      <c r="F444" s="45"/>
      <c r="G444" s="45"/>
      <c r="H444" s="44"/>
      <c r="I444" s="44"/>
      <c r="J444" s="45"/>
      <c r="K444" s="45"/>
      <c r="L444" s="44"/>
      <c r="M444" s="45"/>
      <c r="N444" s="45"/>
      <c r="O444" s="45"/>
      <c r="P444" s="45"/>
      <c r="Q444" s="45"/>
      <c r="R444" s="45"/>
      <c r="S444" s="45"/>
      <c r="T444" s="45"/>
      <c r="U444" s="45"/>
      <c r="V444" s="45"/>
      <c r="W444" s="173"/>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row>
    <row r="445" spans="1:46" x14ac:dyDescent="0.3">
      <c r="A445" s="173"/>
      <c r="B445" s="44"/>
      <c r="C445" s="45"/>
      <c r="D445" s="45"/>
      <c r="E445" s="45"/>
      <c r="F445" s="45"/>
      <c r="G445" s="45"/>
      <c r="H445" s="44"/>
      <c r="I445" s="44"/>
      <c r="J445" s="45"/>
      <c r="K445" s="45"/>
      <c r="L445" s="44"/>
      <c r="M445" s="45"/>
      <c r="N445" s="45"/>
      <c r="O445" s="45"/>
      <c r="P445" s="45"/>
      <c r="Q445" s="45"/>
      <c r="R445" s="45"/>
      <c r="S445" s="45"/>
      <c r="T445" s="45"/>
      <c r="U445" s="45"/>
      <c r="V445" s="45"/>
      <c r="W445" s="173"/>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row>
    <row r="446" spans="1:46" x14ac:dyDescent="0.3">
      <c r="A446" s="173"/>
      <c r="B446" s="44"/>
      <c r="C446" s="45"/>
      <c r="D446" s="45"/>
      <c r="E446" s="45"/>
      <c r="F446" s="45"/>
      <c r="G446" s="45"/>
      <c r="H446" s="44"/>
      <c r="I446" s="44"/>
      <c r="J446" s="45"/>
      <c r="K446" s="45"/>
      <c r="L446" s="44"/>
      <c r="M446" s="45"/>
      <c r="N446" s="45"/>
      <c r="O446" s="45"/>
      <c r="P446" s="45"/>
      <c r="Q446" s="45"/>
      <c r="R446" s="45"/>
      <c r="S446" s="45"/>
      <c r="T446" s="45"/>
      <c r="U446" s="45"/>
      <c r="V446" s="45"/>
      <c r="W446" s="173"/>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row>
    <row r="447" spans="1:46" x14ac:dyDescent="0.3">
      <c r="A447" s="173"/>
      <c r="B447" s="44"/>
      <c r="C447" s="45"/>
      <c r="D447" s="45"/>
      <c r="E447" s="45"/>
      <c r="F447" s="45"/>
      <c r="G447" s="45"/>
      <c r="H447" s="44"/>
      <c r="I447" s="44"/>
      <c r="J447" s="45"/>
      <c r="K447" s="45"/>
      <c r="L447" s="44"/>
      <c r="M447" s="45"/>
      <c r="N447" s="45"/>
      <c r="O447" s="45"/>
      <c r="P447" s="45"/>
      <c r="Q447" s="45"/>
      <c r="R447" s="45"/>
      <c r="S447" s="45"/>
      <c r="T447" s="45"/>
      <c r="U447" s="45"/>
      <c r="V447" s="45"/>
      <c r="W447" s="173"/>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row>
    <row r="448" spans="1:46" x14ac:dyDescent="0.3">
      <c r="A448" s="173"/>
      <c r="B448" s="44"/>
      <c r="C448" s="45"/>
      <c r="D448" s="45"/>
      <c r="E448" s="45"/>
      <c r="F448" s="45"/>
      <c r="G448" s="45"/>
      <c r="H448" s="44"/>
      <c r="I448" s="44"/>
      <c r="J448" s="45"/>
      <c r="K448" s="45"/>
      <c r="L448" s="44"/>
      <c r="M448" s="45"/>
      <c r="N448" s="45"/>
      <c r="O448" s="45"/>
      <c r="P448" s="45"/>
      <c r="Q448" s="45"/>
      <c r="R448" s="45"/>
      <c r="S448" s="45"/>
      <c r="T448" s="45"/>
      <c r="U448" s="45"/>
      <c r="V448" s="45"/>
      <c r="W448" s="173"/>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row>
    <row r="449" spans="1:46" x14ac:dyDescent="0.3">
      <c r="A449" s="173"/>
      <c r="B449" s="44"/>
      <c r="C449" s="45"/>
      <c r="D449" s="45"/>
      <c r="E449" s="45"/>
      <c r="F449" s="45"/>
      <c r="G449" s="45"/>
      <c r="H449" s="44"/>
      <c r="I449" s="44"/>
      <c r="J449" s="45"/>
      <c r="K449" s="45"/>
      <c r="L449" s="44"/>
      <c r="M449" s="45"/>
      <c r="N449" s="45"/>
      <c r="O449" s="45"/>
      <c r="P449" s="45"/>
      <c r="Q449" s="45"/>
      <c r="R449" s="45"/>
      <c r="S449" s="45"/>
      <c r="T449" s="45"/>
      <c r="U449" s="45"/>
      <c r="V449" s="45"/>
      <c r="W449" s="173"/>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row>
    <row r="450" spans="1:46" x14ac:dyDescent="0.3">
      <c r="A450" s="173"/>
      <c r="B450" s="44"/>
      <c r="C450" s="45"/>
      <c r="D450" s="45"/>
      <c r="E450" s="45"/>
      <c r="F450" s="45"/>
      <c r="G450" s="45"/>
      <c r="H450" s="44"/>
      <c r="I450" s="44"/>
      <c r="J450" s="45"/>
      <c r="K450" s="45"/>
      <c r="L450" s="44"/>
      <c r="M450" s="45"/>
      <c r="N450" s="45"/>
      <c r="O450" s="45"/>
      <c r="P450" s="45"/>
      <c r="Q450" s="45"/>
      <c r="R450" s="45"/>
      <c r="S450" s="45"/>
      <c r="T450" s="45"/>
      <c r="U450" s="45"/>
      <c r="V450" s="45"/>
      <c r="W450" s="173"/>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row>
    <row r="451" spans="1:46" x14ac:dyDescent="0.3">
      <c r="A451" s="173"/>
      <c r="B451" s="44"/>
      <c r="C451" s="45"/>
      <c r="D451" s="45"/>
      <c r="E451" s="45"/>
      <c r="F451" s="45"/>
      <c r="G451" s="45"/>
      <c r="H451" s="44"/>
      <c r="I451" s="44"/>
      <c r="J451" s="45"/>
      <c r="K451" s="45"/>
      <c r="L451" s="44"/>
      <c r="M451" s="45"/>
      <c r="N451" s="45"/>
      <c r="O451" s="45"/>
      <c r="P451" s="45"/>
      <c r="Q451" s="45"/>
      <c r="R451" s="45"/>
      <c r="S451" s="45"/>
      <c r="T451" s="45"/>
      <c r="U451" s="45"/>
      <c r="V451" s="45"/>
      <c r="W451" s="173"/>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row>
    <row r="452" spans="1:46" x14ac:dyDescent="0.3">
      <c r="A452" s="173"/>
      <c r="B452" s="44"/>
      <c r="C452" s="45"/>
      <c r="D452" s="45"/>
      <c r="E452" s="45"/>
      <c r="F452" s="45"/>
      <c r="G452" s="45"/>
      <c r="H452" s="44"/>
      <c r="I452" s="44"/>
      <c r="J452" s="45"/>
      <c r="K452" s="45"/>
      <c r="L452" s="44"/>
      <c r="M452" s="45"/>
      <c r="N452" s="45"/>
      <c r="O452" s="45"/>
      <c r="P452" s="45"/>
      <c r="Q452" s="45"/>
      <c r="R452" s="45"/>
      <c r="S452" s="45"/>
      <c r="T452" s="45"/>
      <c r="U452" s="45"/>
      <c r="V452" s="45"/>
      <c r="W452" s="173"/>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row>
    <row r="453" spans="1:46" x14ac:dyDescent="0.3">
      <c r="A453" s="173"/>
      <c r="B453" s="44"/>
      <c r="C453" s="45"/>
      <c r="D453" s="45"/>
      <c r="E453" s="45"/>
      <c r="F453" s="45"/>
      <c r="G453" s="45"/>
      <c r="H453" s="44"/>
      <c r="I453" s="44"/>
      <c r="J453" s="45"/>
      <c r="K453" s="45"/>
      <c r="L453" s="44"/>
      <c r="M453" s="45"/>
      <c r="N453" s="45"/>
      <c r="O453" s="45"/>
      <c r="P453" s="45"/>
      <c r="Q453" s="45"/>
      <c r="R453" s="45"/>
      <c r="S453" s="45"/>
      <c r="T453" s="45"/>
      <c r="U453" s="45"/>
      <c r="V453" s="45"/>
      <c r="W453" s="173"/>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row>
    <row r="454" spans="1:46" x14ac:dyDescent="0.3">
      <c r="A454" s="173"/>
      <c r="B454" s="44"/>
      <c r="C454" s="45"/>
      <c r="D454" s="45"/>
      <c r="E454" s="45"/>
      <c r="F454" s="45"/>
      <c r="G454" s="45"/>
      <c r="H454" s="44"/>
      <c r="I454" s="44"/>
      <c r="J454" s="45"/>
      <c r="K454" s="45"/>
      <c r="L454" s="44"/>
      <c r="M454" s="45"/>
      <c r="N454" s="45"/>
      <c r="O454" s="45"/>
      <c r="P454" s="45"/>
      <c r="Q454" s="45"/>
      <c r="R454" s="45"/>
      <c r="S454" s="45"/>
      <c r="T454" s="45"/>
      <c r="U454" s="45"/>
      <c r="V454" s="45"/>
      <c r="W454" s="173"/>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row>
    <row r="455" spans="1:46" x14ac:dyDescent="0.3">
      <c r="A455" s="173"/>
      <c r="B455" s="44"/>
      <c r="C455" s="45"/>
      <c r="D455" s="45"/>
      <c r="E455" s="45"/>
      <c r="F455" s="45"/>
      <c r="G455" s="45"/>
      <c r="H455" s="44"/>
      <c r="I455" s="44"/>
      <c r="J455" s="45"/>
      <c r="K455" s="45"/>
      <c r="L455" s="44"/>
      <c r="M455" s="45"/>
      <c r="N455" s="45"/>
      <c r="O455" s="45"/>
      <c r="P455" s="45"/>
      <c r="Q455" s="45"/>
      <c r="R455" s="45"/>
      <c r="S455" s="45"/>
      <c r="T455" s="45"/>
      <c r="U455" s="45"/>
      <c r="V455" s="45"/>
      <c r="W455" s="173"/>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row>
    <row r="456" spans="1:46" x14ac:dyDescent="0.3">
      <c r="A456" s="173"/>
      <c r="B456" s="44"/>
      <c r="C456" s="45"/>
      <c r="D456" s="45"/>
      <c r="E456" s="45"/>
      <c r="F456" s="45"/>
      <c r="G456" s="45"/>
      <c r="H456" s="44"/>
      <c r="I456" s="44"/>
      <c r="J456" s="45"/>
      <c r="K456" s="45"/>
      <c r="L456" s="44"/>
      <c r="M456" s="45"/>
      <c r="N456" s="45"/>
      <c r="O456" s="45"/>
      <c r="P456" s="45"/>
      <c r="Q456" s="45"/>
      <c r="R456" s="45"/>
      <c r="S456" s="45"/>
      <c r="T456" s="45"/>
      <c r="U456" s="45"/>
      <c r="V456" s="45"/>
      <c r="W456" s="173"/>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row>
    <row r="457" spans="1:46" x14ac:dyDescent="0.3">
      <c r="A457" s="173"/>
      <c r="B457" s="44"/>
      <c r="C457" s="45"/>
      <c r="D457" s="45"/>
      <c r="E457" s="45"/>
      <c r="F457" s="45"/>
      <c r="G457" s="45"/>
      <c r="H457" s="44"/>
      <c r="I457" s="44"/>
      <c r="J457" s="45"/>
      <c r="K457" s="45"/>
      <c r="L457" s="44"/>
      <c r="M457" s="45"/>
      <c r="N457" s="45"/>
      <c r="O457" s="45"/>
      <c r="P457" s="45"/>
      <c r="Q457" s="45"/>
      <c r="R457" s="45"/>
      <c r="S457" s="45"/>
      <c r="T457" s="45"/>
      <c r="U457" s="45"/>
      <c r="V457" s="45"/>
      <c r="W457" s="173"/>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row>
    <row r="458" spans="1:46" x14ac:dyDescent="0.3">
      <c r="A458" s="173"/>
      <c r="B458" s="44"/>
      <c r="C458" s="45"/>
      <c r="D458" s="45"/>
      <c r="E458" s="45"/>
      <c r="F458" s="45"/>
      <c r="G458" s="45"/>
      <c r="H458" s="44"/>
      <c r="I458" s="44"/>
      <c r="J458" s="45"/>
      <c r="K458" s="45"/>
      <c r="L458" s="44"/>
      <c r="M458" s="45"/>
      <c r="N458" s="45"/>
      <c r="O458" s="45"/>
      <c r="P458" s="45"/>
      <c r="Q458" s="45"/>
      <c r="R458" s="45"/>
      <c r="S458" s="45"/>
      <c r="T458" s="45"/>
      <c r="U458" s="45"/>
      <c r="V458" s="45"/>
      <c r="W458" s="173"/>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row>
    <row r="459" spans="1:46" x14ac:dyDescent="0.3">
      <c r="A459" s="173"/>
      <c r="B459" s="44"/>
      <c r="C459" s="45"/>
      <c r="D459" s="45"/>
      <c r="E459" s="45"/>
      <c r="F459" s="45"/>
      <c r="G459" s="45"/>
      <c r="H459" s="44"/>
      <c r="I459" s="44"/>
      <c r="J459" s="45"/>
      <c r="K459" s="45"/>
      <c r="L459" s="44"/>
      <c r="M459" s="45"/>
      <c r="N459" s="45"/>
      <c r="O459" s="45"/>
      <c r="P459" s="45"/>
      <c r="Q459" s="45"/>
      <c r="R459" s="45"/>
      <c r="S459" s="45"/>
      <c r="T459" s="45"/>
      <c r="U459" s="45"/>
      <c r="V459" s="45"/>
      <c r="W459" s="173"/>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row>
    <row r="460" spans="1:46" x14ac:dyDescent="0.3">
      <c r="A460" s="173"/>
      <c r="B460" s="44"/>
      <c r="C460" s="45"/>
      <c r="D460" s="45"/>
      <c r="E460" s="45"/>
      <c r="F460" s="45"/>
      <c r="G460" s="45"/>
      <c r="H460" s="44"/>
      <c r="I460" s="44"/>
      <c r="J460" s="45"/>
      <c r="K460" s="45"/>
      <c r="L460" s="44"/>
      <c r="M460" s="45"/>
      <c r="N460" s="45"/>
      <c r="O460" s="45"/>
      <c r="P460" s="45"/>
      <c r="Q460" s="45"/>
      <c r="R460" s="45"/>
      <c r="S460" s="45"/>
      <c r="T460" s="45"/>
      <c r="U460" s="45"/>
      <c r="V460" s="45"/>
      <c r="W460" s="173"/>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row>
    <row r="461" spans="1:46" x14ac:dyDescent="0.3">
      <c r="A461" s="173"/>
      <c r="B461" s="44"/>
      <c r="C461" s="45"/>
      <c r="D461" s="45"/>
      <c r="E461" s="45"/>
      <c r="F461" s="45"/>
      <c r="G461" s="45"/>
      <c r="H461" s="44"/>
      <c r="I461" s="44"/>
      <c r="J461" s="45"/>
      <c r="K461" s="45"/>
      <c r="L461" s="44"/>
      <c r="M461" s="45"/>
      <c r="N461" s="45"/>
      <c r="O461" s="45"/>
      <c r="P461" s="45"/>
      <c r="Q461" s="45"/>
      <c r="R461" s="45"/>
      <c r="S461" s="45"/>
      <c r="T461" s="45"/>
      <c r="U461" s="45"/>
      <c r="V461" s="45"/>
      <c r="W461" s="173"/>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row>
    <row r="462" spans="1:46" x14ac:dyDescent="0.3">
      <c r="A462" s="173"/>
      <c r="B462" s="44"/>
      <c r="C462" s="45"/>
      <c r="D462" s="45"/>
      <c r="E462" s="45"/>
      <c r="F462" s="45"/>
      <c r="G462" s="45"/>
      <c r="H462" s="44"/>
      <c r="I462" s="44"/>
      <c r="J462" s="45"/>
      <c r="K462" s="45"/>
      <c r="L462" s="44"/>
      <c r="M462" s="45"/>
      <c r="N462" s="45"/>
      <c r="O462" s="45"/>
      <c r="P462" s="45"/>
      <c r="Q462" s="45"/>
      <c r="R462" s="45"/>
      <c r="S462" s="45"/>
      <c r="T462" s="45"/>
      <c r="U462" s="45"/>
      <c r="V462" s="45"/>
      <c r="W462" s="173"/>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row>
    <row r="463" spans="1:46" x14ac:dyDescent="0.3">
      <c r="A463" s="173"/>
      <c r="B463" s="44"/>
      <c r="C463" s="45"/>
      <c r="D463" s="45"/>
      <c r="E463" s="45"/>
      <c r="F463" s="45"/>
      <c r="G463" s="45"/>
      <c r="H463" s="44"/>
      <c r="I463" s="44"/>
      <c r="J463" s="45"/>
      <c r="K463" s="45"/>
      <c r="L463" s="44"/>
      <c r="M463" s="45"/>
      <c r="N463" s="45"/>
      <c r="O463" s="45"/>
      <c r="P463" s="45"/>
      <c r="Q463" s="45"/>
      <c r="R463" s="45"/>
      <c r="S463" s="45"/>
      <c r="T463" s="45"/>
      <c r="U463" s="45"/>
      <c r="V463" s="45"/>
      <c r="W463" s="173"/>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row>
    <row r="464" spans="1:46" x14ac:dyDescent="0.3">
      <c r="A464" s="173"/>
      <c r="B464" s="44"/>
      <c r="C464" s="45"/>
      <c r="D464" s="45"/>
      <c r="E464" s="45"/>
      <c r="F464" s="45"/>
      <c r="G464" s="45"/>
      <c r="H464" s="44"/>
      <c r="I464" s="44"/>
      <c r="J464" s="45"/>
      <c r="K464" s="45"/>
      <c r="L464" s="44"/>
      <c r="M464" s="45"/>
      <c r="N464" s="45"/>
      <c r="O464" s="45"/>
      <c r="P464" s="45"/>
      <c r="Q464" s="45"/>
      <c r="R464" s="45"/>
      <c r="S464" s="45"/>
      <c r="T464" s="45"/>
      <c r="U464" s="45"/>
      <c r="V464" s="45"/>
      <c r="W464" s="173"/>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row>
    <row r="465" spans="1:46" x14ac:dyDescent="0.3">
      <c r="A465" s="173"/>
      <c r="B465" s="44"/>
      <c r="C465" s="45"/>
      <c r="D465" s="45"/>
      <c r="E465" s="45"/>
      <c r="F465" s="45"/>
      <c r="G465" s="45"/>
      <c r="H465" s="44"/>
      <c r="I465" s="44"/>
      <c r="J465" s="45"/>
      <c r="K465" s="45"/>
      <c r="L465" s="44"/>
      <c r="M465" s="45"/>
      <c r="N465" s="45"/>
      <c r="O465" s="45"/>
      <c r="P465" s="45"/>
      <c r="Q465" s="45"/>
      <c r="R465" s="45"/>
      <c r="S465" s="45"/>
      <c r="T465" s="45"/>
      <c r="U465" s="45"/>
      <c r="V465" s="45"/>
      <c r="W465" s="173"/>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row>
    <row r="466" spans="1:46" x14ac:dyDescent="0.3">
      <c r="A466" s="173"/>
      <c r="B466" s="44"/>
      <c r="C466" s="45"/>
      <c r="D466" s="45"/>
      <c r="E466" s="45"/>
      <c r="F466" s="45"/>
      <c r="G466" s="45"/>
      <c r="H466" s="44"/>
      <c r="I466" s="44"/>
      <c r="J466" s="45"/>
      <c r="K466" s="45"/>
      <c r="L466" s="44"/>
      <c r="M466" s="45"/>
      <c r="N466" s="45"/>
      <c r="O466" s="45"/>
      <c r="P466" s="45"/>
      <c r="Q466" s="45"/>
      <c r="R466" s="45"/>
      <c r="S466" s="45"/>
      <c r="T466" s="45"/>
      <c r="U466" s="45"/>
      <c r="V466" s="45"/>
      <c r="W466" s="173"/>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row>
    <row r="467" spans="1:46" x14ac:dyDescent="0.3">
      <c r="A467" s="173"/>
      <c r="B467" s="44"/>
      <c r="C467" s="45"/>
      <c r="D467" s="45"/>
      <c r="E467" s="45"/>
      <c r="F467" s="45"/>
      <c r="G467" s="45"/>
      <c r="H467" s="44"/>
      <c r="I467" s="44"/>
      <c r="J467" s="45"/>
      <c r="K467" s="45"/>
      <c r="L467" s="44"/>
      <c r="M467" s="45"/>
      <c r="N467" s="45"/>
      <c r="O467" s="45"/>
      <c r="P467" s="45"/>
      <c r="Q467" s="45"/>
      <c r="R467" s="45"/>
      <c r="S467" s="45"/>
      <c r="T467" s="45"/>
      <c r="U467" s="45"/>
      <c r="V467" s="45"/>
      <c r="W467" s="173"/>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row>
    <row r="468" spans="1:46" x14ac:dyDescent="0.3">
      <c r="A468" s="173"/>
      <c r="B468" s="44"/>
      <c r="C468" s="45"/>
      <c r="D468" s="45"/>
      <c r="E468" s="45"/>
      <c r="F468" s="45"/>
      <c r="G468" s="45"/>
      <c r="H468" s="44"/>
      <c r="I468" s="44"/>
      <c r="J468" s="45"/>
      <c r="K468" s="45"/>
      <c r="L468" s="44"/>
      <c r="M468" s="45"/>
      <c r="N468" s="45"/>
      <c r="O468" s="45"/>
      <c r="P468" s="45"/>
      <c r="Q468" s="45"/>
      <c r="R468" s="45"/>
      <c r="S468" s="45"/>
      <c r="T468" s="45"/>
      <c r="U468" s="45"/>
      <c r="V468" s="45"/>
      <c r="W468" s="173"/>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row>
    <row r="469" spans="1:46" x14ac:dyDescent="0.3">
      <c r="A469" s="173"/>
      <c r="B469" s="44"/>
      <c r="C469" s="45"/>
      <c r="D469" s="45"/>
      <c r="E469" s="45"/>
      <c r="F469" s="45"/>
      <c r="G469" s="45"/>
      <c r="H469" s="44"/>
      <c r="I469" s="44"/>
      <c r="J469" s="45"/>
      <c r="K469" s="45"/>
      <c r="L469" s="44"/>
      <c r="M469" s="45"/>
      <c r="N469" s="45"/>
      <c r="O469" s="45"/>
      <c r="P469" s="45"/>
      <c r="Q469" s="45"/>
      <c r="R469" s="45"/>
      <c r="S469" s="45"/>
      <c r="T469" s="45"/>
      <c r="U469" s="45"/>
      <c r="V469" s="45"/>
      <c r="W469" s="173"/>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row>
    <row r="470" spans="1:46" x14ac:dyDescent="0.3">
      <c r="A470" s="173"/>
      <c r="B470" s="44"/>
      <c r="C470" s="45"/>
      <c r="D470" s="45"/>
      <c r="E470" s="45"/>
      <c r="F470" s="45"/>
      <c r="G470" s="45"/>
      <c r="H470" s="44"/>
      <c r="I470" s="44"/>
      <c r="J470" s="45"/>
      <c r="K470" s="45"/>
      <c r="L470" s="44"/>
      <c r="M470" s="45"/>
      <c r="N470" s="45"/>
      <c r="O470" s="45"/>
      <c r="P470" s="45"/>
      <c r="Q470" s="45"/>
      <c r="R470" s="45"/>
      <c r="S470" s="45"/>
      <c r="T470" s="45"/>
      <c r="U470" s="45"/>
      <c r="V470" s="45"/>
      <c r="W470" s="173"/>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row>
    <row r="471" spans="1:46" x14ac:dyDescent="0.3">
      <c r="A471" s="173"/>
      <c r="B471" s="44"/>
      <c r="C471" s="45"/>
      <c r="D471" s="45"/>
      <c r="E471" s="45"/>
      <c r="F471" s="45"/>
      <c r="G471" s="45"/>
      <c r="H471" s="44"/>
      <c r="I471" s="44"/>
      <c r="J471" s="45"/>
      <c r="K471" s="45"/>
      <c r="L471" s="44"/>
      <c r="M471" s="45"/>
      <c r="N471" s="45"/>
      <c r="O471" s="45"/>
      <c r="P471" s="45"/>
      <c r="Q471" s="45"/>
      <c r="R471" s="45"/>
      <c r="S471" s="45"/>
      <c r="T471" s="45"/>
      <c r="U471" s="45"/>
      <c r="V471" s="45"/>
      <c r="W471" s="173"/>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row>
    <row r="472" spans="1:46" x14ac:dyDescent="0.3">
      <c r="A472" s="173"/>
      <c r="B472" s="44"/>
      <c r="C472" s="45"/>
      <c r="D472" s="45"/>
      <c r="E472" s="45"/>
      <c r="F472" s="45"/>
      <c r="G472" s="45"/>
      <c r="H472" s="44"/>
      <c r="I472" s="44"/>
      <c r="J472" s="45"/>
      <c r="K472" s="45"/>
      <c r="L472" s="44"/>
      <c r="M472" s="45"/>
      <c r="N472" s="45"/>
      <c r="O472" s="45"/>
      <c r="P472" s="45"/>
      <c r="Q472" s="45"/>
      <c r="R472" s="45"/>
      <c r="S472" s="45"/>
      <c r="T472" s="45"/>
      <c r="U472" s="45"/>
      <c r="V472" s="45"/>
      <c r="W472" s="173"/>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row>
    <row r="473" spans="1:46" x14ac:dyDescent="0.3">
      <c r="A473" s="173"/>
      <c r="B473" s="44"/>
      <c r="C473" s="45"/>
      <c r="D473" s="45"/>
      <c r="E473" s="45"/>
      <c r="F473" s="45"/>
      <c r="G473" s="45"/>
      <c r="H473" s="44"/>
      <c r="I473" s="44"/>
      <c r="J473" s="45"/>
      <c r="K473" s="45"/>
      <c r="L473" s="44"/>
      <c r="M473" s="45"/>
      <c r="N473" s="45"/>
      <c r="O473" s="45"/>
      <c r="P473" s="45"/>
      <c r="Q473" s="45"/>
      <c r="R473" s="45"/>
      <c r="S473" s="45"/>
      <c r="T473" s="45"/>
      <c r="U473" s="45"/>
      <c r="V473" s="45"/>
      <c r="W473" s="173"/>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row>
    <row r="474" spans="1:46" x14ac:dyDescent="0.3">
      <c r="A474" s="173"/>
      <c r="B474" s="44"/>
      <c r="C474" s="45"/>
      <c r="D474" s="45"/>
      <c r="E474" s="45"/>
      <c r="F474" s="45"/>
      <c r="G474" s="45"/>
      <c r="H474" s="44"/>
      <c r="I474" s="44"/>
      <c r="J474" s="45"/>
      <c r="K474" s="45"/>
      <c r="L474" s="44"/>
      <c r="M474" s="45"/>
      <c r="N474" s="45"/>
      <c r="O474" s="45"/>
      <c r="P474" s="45"/>
      <c r="Q474" s="45"/>
      <c r="R474" s="45"/>
      <c r="S474" s="45"/>
      <c r="T474" s="45"/>
      <c r="U474" s="45"/>
      <c r="V474" s="45"/>
      <c r="W474" s="173"/>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row>
    <row r="475" spans="1:46" x14ac:dyDescent="0.3">
      <c r="A475" s="173"/>
      <c r="B475" s="44"/>
      <c r="C475" s="45"/>
      <c r="D475" s="45"/>
      <c r="E475" s="45"/>
      <c r="F475" s="45"/>
      <c r="G475" s="45"/>
      <c r="H475" s="44"/>
      <c r="I475" s="44"/>
      <c r="J475" s="45"/>
      <c r="K475" s="45"/>
      <c r="L475" s="44"/>
      <c r="M475" s="45"/>
      <c r="N475" s="45"/>
      <c r="O475" s="45"/>
      <c r="P475" s="45"/>
      <c r="Q475" s="45"/>
      <c r="R475" s="45"/>
      <c r="S475" s="45"/>
      <c r="T475" s="45"/>
      <c r="U475" s="45"/>
      <c r="V475" s="45"/>
      <c r="W475" s="173"/>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row>
    <row r="476" spans="1:46" x14ac:dyDescent="0.3">
      <c r="A476" s="173"/>
      <c r="B476" s="44"/>
      <c r="C476" s="45"/>
      <c r="D476" s="45"/>
      <c r="E476" s="45"/>
      <c r="F476" s="45"/>
      <c r="G476" s="45"/>
      <c r="H476" s="44"/>
      <c r="I476" s="44"/>
      <c r="J476" s="45"/>
      <c r="K476" s="45"/>
      <c r="L476" s="44"/>
      <c r="M476" s="45"/>
      <c r="N476" s="45"/>
      <c r="O476" s="45"/>
      <c r="P476" s="45"/>
      <c r="Q476" s="45"/>
      <c r="R476" s="45"/>
      <c r="S476" s="45"/>
      <c r="T476" s="45"/>
      <c r="U476" s="45"/>
      <c r="V476" s="45"/>
      <c r="W476" s="173"/>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row>
    <row r="477" spans="1:46" x14ac:dyDescent="0.3">
      <c r="A477" s="173"/>
      <c r="B477" s="44"/>
      <c r="C477" s="45"/>
      <c r="D477" s="45"/>
      <c r="E477" s="45"/>
      <c r="F477" s="45"/>
      <c r="G477" s="45"/>
      <c r="H477" s="44"/>
      <c r="I477" s="44"/>
      <c r="J477" s="45"/>
      <c r="K477" s="45"/>
      <c r="L477" s="44"/>
      <c r="M477" s="45"/>
      <c r="N477" s="45"/>
      <c r="O477" s="45"/>
      <c r="P477" s="45"/>
      <c r="Q477" s="45"/>
      <c r="R477" s="45"/>
      <c r="S477" s="45"/>
      <c r="T477" s="45"/>
      <c r="U477" s="45"/>
      <c r="V477" s="45"/>
      <c r="W477" s="173"/>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row>
    <row r="478" spans="1:46" x14ac:dyDescent="0.3">
      <c r="A478" s="173"/>
      <c r="B478" s="44"/>
      <c r="C478" s="45"/>
      <c r="D478" s="45"/>
      <c r="E478" s="45"/>
      <c r="F478" s="45"/>
      <c r="G478" s="45"/>
      <c r="H478" s="44"/>
      <c r="I478" s="44"/>
      <c r="J478" s="45"/>
      <c r="K478" s="45"/>
      <c r="L478" s="44"/>
      <c r="M478" s="45"/>
      <c r="N478" s="45"/>
      <c r="O478" s="45"/>
      <c r="P478" s="45"/>
      <c r="Q478" s="45"/>
      <c r="R478" s="45"/>
      <c r="S478" s="45"/>
      <c r="T478" s="45"/>
      <c r="U478" s="45"/>
      <c r="V478" s="45"/>
      <c r="W478" s="173"/>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row>
    <row r="479" spans="1:46" x14ac:dyDescent="0.3">
      <c r="A479" s="173"/>
      <c r="B479" s="44"/>
      <c r="C479" s="45"/>
      <c r="D479" s="45"/>
      <c r="E479" s="45"/>
      <c r="F479" s="45"/>
      <c r="G479" s="45"/>
      <c r="H479" s="44"/>
      <c r="I479" s="44"/>
      <c r="J479" s="45"/>
      <c r="K479" s="45"/>
      <c r="L479" s="44"/>
      <c r="M479" s="45"/>
      <c r="N479" s="45"/>
      <c r="O479" s="45"/>
      <c r="P479" s="45"/>
      <c r="Q479" s="45"/>
      <c r="R479" s="45"/>
      <c r="S479" s="45"/>
      <c r="T479" s="45"/>
      <c r="U479" s="45"/>
      <c r="V479" s="45"/>
      <c r="W479" s="173"/>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row>
    <row r="480" spans="1:46" x14ac:dyDescent="0.3">
      <c r="A480" s="173"/>
      <c r="B480" s="44"/>
      <c r="C480" s="45"/>
      <c r="D480" s="45"/>
      <c r="E480" s="45"/>
      <c r="F480" s="45"/>
      <c r="G480" s="45"/>
      <c r="H480" s="44"/>
      <c r="I480" s="44"/>
      <c r="J480" s="45"/>
      <c r="K480" s="45"/>
      <c r="L480" s="44"/>
      <c r="M480" s="45"/>
      <c r="N480" s="45"/>
      <c r="O480" s="45"/>
      <c r="P480" s="45"/>
      <c r="Q480" s="45"/>
      <c r="R480" s="45"/>
      <c r="S480" s="45"/>
      <c r="T480" s="45"/>
      <c r="U480" s="45"/>
      <c r="V480" s="45"/>
      <c r="W480" s="173"/>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row>
    <row r="481" spans="1:46" x14ac:dyDescent="0.3">
      <c r="A481" s="173"/>
      <c r="B481" s="44"/>
      <c r="C481" s="45"/>
      <c r="D481" s="45"/>
      <c r="E481" s="45"/>
      <c r="F481" s="45"/>
      <c r="G481" s="45"/>
      <c r="H481" s="44"/>
      <c r="I481" s="44"/>
      <c r="J481" s="45"/>
      <c r="K481" s="45"/>
      <c r="L481" s="44"/>
      <c r="M481" s="45"/>
      <c r="N481" s="45"/>
      <c r="O481" s="45"/>
      <c r="P481" s="45"/>
      <c r="Q481" s="45"/>
      <c r="R481" s="45"/>
      <c r="S481" s="45"/>
      <c r="T481" s="45"/>
      <c r="U481" s="45"/>
      <c r="V481" s="45"/>
      <c r="W481" s="173"/>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row>
    <row r="482" spans="1:46" x14ac:dyDescent="0.3">
      <c r="A482" s="173"/>
      <c r="B482" s="44"/>
      <c r="C482" s="45"/>
      <c r="D482" s="45"/>
      <c r="E482" s="45"/>
      <c r="F482" s="45"/>
      <c r="G482" s="45"/>
      <c r="H482" s="44"/>
      <c r="I482" s="44"/>
      <c r="J482" s="45"/>
      <c r="K482" s="45"/>
      <c r="L482" s="44"/>
      <c r="M482" s="45"/>
      <c r="N482" s="45"/>
      <c r="O482" s="45"/>
      <c r="P482" s="45"/>
      <c r="Q482" s="45"/>
      <c r="R482" s="45"/>
      <c r="S482" s="45"/>
      <c r="T482" s="45"/>
      <c r="U482" s="45"/>
      <c r="V482" s="45"/>
      <c r="W482" s="173"/>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row>
    <row r="483" spans="1:46" x14ac:dyDescent="0.3">
      <c r="A483" s="173"/>
      <c r="B483" s="44"/>
      <c r="C483" s="45"/>
      <c r="D483" s="45"/>
      <c r="E483" s="45"/>
      <c r="F483" s="45"/>
      <c r="G483" s="45"/>
      <c r="H483" s="44"/>
      <c r="I483" s="44"/>
      <c r="J483" s="45"/>
      <c r="K483" s="45"/>
      <c r="L483" s="44"/>
      <c r="M483" s="45"/>
      <c r="N483" s="45"/>
      <c r="O483" s="45"/>
      <c r="P483" s="45"/>
      <c r="Q483" s="45"/>
      <c r="R483" s="45"/>
      <c r="S483" s="45"/>
      <c r="T483" s="45"/>
      <c r="U483" s="45"/>
      <c r="V483" s="45"/>
      <c r="W483" s="173"/>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row>
    <row r="484" spans="1:46" x14ac:dyDescent="0.3">
      <c r="A484" s="173"/>
      <c r="B484" s="44"/>
      <c r="C484" s="45"/>
      <c r="D484" s="45"/>
      <c r="E484" s="45"/>
      <c r="F484" s="45"/>
      <c r="G484" s="45"/>
      <c r="H484" s="44"/>
      <c r="I484" s="44"/>
      <c r="J484" s="45"/>
      <c r="K484" s="45"/>
      <c r="L484" s="44"/>
      <c r="M484" s="45"/>
      <c r="N484" s="45"/>
      <c r="O484" s="45"/>
      <c r="P484" s="45"/>
      <c r="Q484" s="45"/>
      <c r="R484" s="45"/>
      <c r="S484" s="45"/>
      <c r="T484" s="45"/>
      <c r="U484" s="45"/>
      <c r="V484" s="45"/>
      <c r="W484" s="173"/>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row>
    <row r="485" spans="1:46" x14ac:dyDescent="0.3">
      <c r="A485" s="173"/>
      <c r="B485" s="44"/>
      <c r="C485" s="45"/>
      <c r="D485" s="45"/>
      <c r="E485" s="45"/>
      <c r="F485" s="45"/>
      <c r="G485" s="45"/>
      <c r="H485" s="44"/>
      <c r="I485" s="44"/>
      <c r="J485" s="45"/>
      <c r="K485" s="45"/>
      <c r="L485" s="44"/>
      <c r="M485" s="45"/>
      <c r="N485" s="45"/>
      <c r="O485" s="45"/>
      <c r="P485" s="45"/>
      <c r="Q485" s="45"/>
      <c r="R485" s="45"/>
      <c r="S485" s="45"/>
      <c r="T485" s="45"/>
      <c r="U485" s="45"/>
      <c r="V485" s="45"/>
      <c r="W485" s="173"/>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row>
    <row r="486" spans="1:46" x14ac:dyDescent="0.3">
      <c r="A486" s="173"/>
      <c r="B486" s="44"/>
      <c r="C486" s="45"/>
      <c r="D486" s="45"/>
      <c r="E486" s="45"/>
      <c r="F486" s="45"/>
      <c r="G486" s="45"/>
      <c r="H486" s="44"/>
      <c r="I486" s="44"/>
      <c r="J486" s="45"/>
      <c r="K486" s="45"/>
      <c r="L486" s="44"/>
      <c r="M486" s="45"/>
      <c r="N486" s="45"/>
      <c r="O486" s="45"/>
      <c r="P486" s="45"/>
      <c r="Q486" s="45"/>
      <c r="R486" s="45"/>
      <c r="S486" s="45"/>
      <c r="T486" s="45"/>
      <c r="U486" s="45"/>
      <c r="V486" s="45"/>
      <c r="W486" s="173"/>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row>
    <row r="487" spans="1:46" x14ac:dyDescent="0.3">
      <c r="A487" s="173"/>
      <c r="B487" s="44"/>
      <c r="C487" s="45"/>
      <c r="D487" s="45"/>
      <c r="E487" s="45"/>
      <c r="F487" s="45"/>
      <c r="G487" s="45"/>
      <c r="H487" s="44"/>
      <c r="I487" s="44"/>
      <c r="J487" s="45"/>
      <c r="K487" s="45"/>
      <c r="L487" s="44"/>
      <c r="M487" s="45"/>
      <c r="N487" s="45"/>
      <c r="O487" s="45"/>
      <c r="P487" s="45"/>
      <c r="Q487" s="45"/>
      <c r="R487" s="45"/>
      <c r="S487" s="45"/>
      <c r="T487" s="45"/>
      <c r="U487" s="45"/>
      <c r="V487" s="45"/>
      <c r="W487" s="173"/>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row>
    <row r="488" spans="1:46" x14ac:dyDescent="0.3">
      <c r="A488" s="173"/>
      <c r="B488" s="44"/>
      <c r="C488" s="45"/>
      <c r="D488" s="45"/>
      <c r="E488" s="45"/>
      <c r="F488" s="45"/>
      <c r="G488" s="45"/>
      <c r="H488" s="44"/>
      <c r="I488" s="44"/>
      <c r="J488" s="45"/>
      <c r="K488" s="45"/>
      <c r="L488" s="44"/>
      <c r="M488" s="45"/>
      <c r="N488" s="45"/>
      <c r="O488" s="45"/>
      <c r="P488" s="45"/>
      <c r="Q488" s="45"/>
      <c r="R488" s="45"/>
      <c r="S488" s="45"/>
      <c r="T488" s="45"/>
      <c r="U488" s="45"/>
      <c r="V488" s="45"/>
      <c r="W488" s="173"/>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row>
    <row r="489" spans="1:46" x14ac:dyDescent="0.3">
      <c r="A489" s="173"/>
      <c r="B489" s="44"/>
      <c r="C489" s="45"/>
      <c r="D489" s="45"/>
      <c r="E489" s="45"/>
      <c r="F489" s="45"/>
      <c r="G489" s="45"/>
      <c r="H489" s="44"/>
      <c r="I489" s="44"/>
      <c r="J489" s="45"/>
      <c r="K489" s="45"/>
      <c r="L489" s="44"/>
      <c r="M489" s="45"/>
      <c r="N489" s="45"/>
      <c r="O489" s="45"/>
      <c r="P489" s="45"/>
      <c r="Q489" s="45"/>
      <c r="R489" s="45"/>
      <c r="S489" s="45"/>
      <c r="T489" s="45"/>
      <c r="U489" s="45"/>
      <c r="V489" s="45"/>
      <c r="W489" s="173"/>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row>
    <row r="490" spans="1:46" x14ac:dyDescent="0.3">
      <c r="A490" s="173"/>
      <c r="B490" s="44"/>
      <c r="C490" s="45"/>
      <c r="D490" s="45"/>
      <c r="E490" s="45"/>
      <c r="F490" s="45"/>
      <c r="G490" s="45"/>
      <c r="H490" s="44"/>
      <c r="I490" s="44"/>
      <c r="J490" s="45"/>
      <c r="K490" s="45"/>
      <c r="L490" s="44"/>
      <c r="M490" s="45"/>
      <c r="N490" s="45"/>
      <c r="O490" s="45"/>
      <c r="P490" s="45"/>
      <c r="Q490" s="45"/>
      <c r="R490" s="45"/>
      <c r="S490" s="45"/>
      <c r="T490" s="45"/>
      <c r="U490" s="45"/>
      <c r="V490" s="45"/>
      <c r="W490" s="173"/>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row>
    <row r="491" spans="1:46" x14ac:dyDescent="0.3">
      <c r="A491" s="173"/>
      <c r="B491" s="44"/>
      <c r="C491" s="45"/>
      <c r="D491" s="45"/>
      <c r="E491" s="45"/>
      <c r="F491" s="45"/>
      <c r="G491" s="45"/>
      <c r="H491" s="44"/>
      <c r="I491" s="44"/>
      <c r="J491" s="45"/>
      <c r="K491" s="45"/>
      <c r="L491" s="44"/>
      <c r="M491" s="45"/>
      <c r="N491" s="45"/>
      <c r="O491" s="45"/>
      <c r="P491" s="45"/>
      <c r="Q491" s="45"/>
      <c r="R491" s="45"/>
      <c r="S491" s="45"/>
      <c r="T491" s="45"/>
      <c r="U491" s="45"/>
      <c r="V491" s="45"/>
      <c r="W491" s="173"/>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row>
    <row r="492" spans="1:46" x14ac:dyDescent="0.3">
      <c r="A492" s="173"/>
      <c r="B492" s="44"/>
      <c r="C492" s="45"/>
      <c r="D492" s="45"/>
      <c r="E492" s="45"/>
      <c r="F492" s="45"/>
      <c r="G492" s="45"/>
      <c r="H492" s="44"/>
      <c r="I492" s="44"/>
      <c r="J492" s="45"/>
      <c r="K492" s="45"/>
      <c r="L492" s="44"/>
      <c r="M492" s="45"/>
      <c r="N492" s="45"/>
      <c r="O492" s="45"/>
      <c r="P492" s="45"/>
      <c r="Q492" s="45"/>
      <c r="R492" s="45"/>
      <c r="S492" s="45"/>
      <c r="T492" s="45"/>
      <c r="U492" s="45"/>
      <c r="V492" s="45"/>
      <c r="W492" s="173"/>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row>
    <row r="493" spans="1:46" x14ac:dyDescent="0.3">
      <c r="A493" s="173"/>
      <c r="B493" s="44"/>
      <c r="C493" s="45"/>
      <c r="D493" s="45"/>
      <c r="E493" s="45"/>
      <c r="F493" s="45"/>
      <c r="G493" s="45"/>
      <c r="H493" s="44"/>
      <c r="I493" s="44"/>
      <c r="J493" s="45"/>
      <c r="K493" s="45"/>
      <c r="L493" s="44"/>
      <c r="M493" s="45"/>
      <c r="N493" s="45"/>
      <c r="O493" s="45"/>
      <c r="P493" s="45"/>
      <c r="Q493" s="45"/>
      <c r="R493" s="45"/>
      <c r="S493" s="45"/>
      <c r="T493" s="45"/>
      <c r="U493" s="45"/>
      <c r="V493" s="45"/>
      <c r="W493" s="173"/>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row>
    <row r="494" spans="1:46" x14ac:dyDescent="0.3">
      <c r="A494" s="173"/>
      <c r="B494" s="44"/>
      <c r="C494" s="45"/>
      <c r="D494" s="45"/>
      <c r="E494" s="45"/>
      <c r="F494" s="45"/>
      <c r="G494" s="45"/>
      <c r="H494" s="44"/>
      <c r="I494" s="44"/>
      <c r="J494" s="45"/>
      <c r="K494" s="45"/>
      <c r="L494" s="44"/>
      <c r="M494" s="45"/>
      <c r="N494" s="45"/>
      <c r="O494" s="45"/>
      <c r="P494" s="45"/>
      <c r="Q494" s="45"/>
      <c r="R494" s="45"/>
      <c r="S494" s="45"/>
      <c r="T494" s="45"/>
      <c r="U494" s="45"/>
      <c r="V494" s="45"/>
      <c r="W494" s="173"/>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row>
    <row r="495" spans="1:46" x14ac:dyDescent="0.3">
      <c r="A495" s="173"/>
      <c r="B495" s="44"/>
      <c r="C495" s="45"/>
      <c r="D495" s="45"/>
      <c r="E495" s="45"/>
      <c r="F495" s="45"/>
      <c r="G495" s="45"/>
      <c r="H495" s="44"/>
      <c r="I495" s="44"/>
      <c r="J495" s="45"/>
      <c r="K495" s="45"/>
      <c r="L495" s="44"/>
      <c r="M495" s="45"/>
      <c r="N495" s="45"/>
      <c r="O495" s="45"/>
      <c r="P495" s="45"/>
      <c r="Q495" s="45"/>
      <c r="R495" s="45"/>
      <c r="S495" s="45"/>
      <c r="T495" s="45"/>
      <c r="U495" s="45"/>
      <c r="V495" s="45"/>
      <c r="W495" s="173"/>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row>
    <row r="496" spans="1:46" x14ac:dyDescent="0.3">
      <c r="A496" s="173"/>
      <c r="B496" s="44"/>
      <c r="C496" s="45"/>
      <c r="D496" s="45"/>
      <c r="E496" s="45"/>
      <c r="F496" s="45"/>
      <c r="G496" s="45"/>
      <c r="H496" s="44"/>
      <c r="I496" s="44"/>
      <c r="J496" s="45"/>
      <c r="K496" s="45"/>
      <c r="L496" s="44"/>
      <c r="M496" s="45"/>
      <c r="N496" s="45"/>
      <c r="O496" s="45"/>
      <c r="P496" s="45"/>
      <c r="Q496" s="45"/>
      <c r="R496" s="45"/>
      <c r="S496" s="45"/>
      <c r="T496" s="45"/>
      <c r="U496" s="45"/>
      <c r="V496" s="45"/>
      <c r="W496" s="173"/>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row>
    <row r="497" spans="1:46" x14ac:dyDescent="0.3">
      <c r="A497" s="173"/>
      <c r="B497" s="44"/>
      <c r="C497" s="45"/>
      <c r="D497" s="45"/>
      <c r="E497" s="45"/>
      <c r="F497" s="45"/>
      <c r="G497" s="45"/>
      <c r="H497" s="44"/>
      <c r="I497" s="44"/>
      <c r="J497" s="45"/>
      <c r="K497" s="45"/>
      <c r="L497" s="44"/>
      <c r="M497" s="45"/>
      <c r="N497" s="45"/>
      <c r="O497" s="45"/>
      <c r="P497" s="45"/>
      <c r="Q497" s="45"/>
      <c r="R497" s="45"/>
      <c r="S497" s="45"/>
      <c r="T497" s="45"/>
      <c r="U497" s="45"/>
      <c r="V497" s="45"/>
      <c r="W497" s="173"/>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row>
    <row r="498" spans="1:46" x14ac:dyDescent="0.3">
      <c r="A498" s="173"/>
      <c r="B498" s="44"/>
      <c r="C498" s="45"/>
      <c r="D498" s="45"/>
      <c r="E498" s="45"/>
      <c r="F498" s="45"/>
      <c r="G498" s="45"/>
      <c r="H498" s="44"/>
      <c r="I498" s="44"/>
      <c r="J498" s="45"/>
      <c r="K498" s="45"/>
      <c r="L498" s="44"/>
      <c r="M498" s="45"/>
      <c r="N498" s="45"/>
      <c r="O498" s="45"/>
      <c r="P498" s="45"/>
      <c r="Q498" s="45"/>
      <c r="R498" s="45"/>
      <c r="S498" s="45"/>
      <c r="T498" s="45"/>
      <c r="U498" s="45"/>
      <c r="V498" s="45"/>
      <c r="W498" s="173"/>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row>
    <row r="499" spans="1:46" x14ac:dyDescent="0.3">
      <c r="A499" s="173"/>
      <c r="B499" s="44"/>
      <c r="C499" s="45"/>
      <c r="D499" s="45"/>
      <c r="E499" s="45"/>
      <c r="F499" s="45"/>
      <c r="G499" s="45"/>
      <c r="H499" s="44"/>
      <c r="I499" s="44"/>
      <c r="J499" s="45"/>
      <c r="K499" s="45"/>
      <c r="L499" s="44"/>
      <c r="M499" s="45"/>
      <c r="N499" s="45"/>
      <c r="O499" s="45"/>
      <c r="P499" s="45"/>
      <c r="Q499" s="45"/>
      <c r="R499" s="45"/>
      <c r="S499" s="45"/>
      <c r="T499" s="45"/>
      <c r="U499" s="45"/>
      <c r="V499" s="45"/>
      <c r="W499" s="173"/>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row>
    <row r="500" spans="1:46" x14ac:dyDescent="0.3">
      <c r="A500" s="173"/>
      <c r="B500" s="44"/>
      <c r="C500" s="45"/>
      <c r="D500" s="45"/>
      <c r="E500" s="45"/>
      <c r="F500" s="45"/>
      <c r="G500" s="45"/>
      <c r="H500" s="44"/>
      <c r="I500" s="44"/>
      <c r="J500" s="45"/>
      <c r="K500" s="45"/>
      <c r="L500" s="44"/>
      <c r="M500" s="45"/>
      <c r="N500" s="45"/>
      <c r="O500" s="45"/>
      <c r="P500" s="45"/>
      <c r="Q500" s="45"/>
      <c r="R500" s="45"/>
      <c r="S500" s="45"/>
      <c r="T500" s="45"/>
      <c r="U500" s="45"/>
      <c r="V500" s="45"/>
      <c r="W500" s="173"/>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row>
    <row r="501" spans="1:46" x14ac:dyDescent="0.3">
      <c r="A501" s="173"/>
      <c r="B501" s="44"/>
      <c r="C501" s="45"/>
      <c r="D501" s="45"/>
      <c r="E501" s="45"/>
      <c r="F501" s="45"/>
      <c r="G501" s="45"/>
      <c r="H501" s="44"/>
      <c r="I501" s="44"/>
      <c r="J501" s="45"/>
      <c r="K501" s="45"/>
      <c r="L501" s="44"/>
      <c r="M501" s="45"/>
      <c r="N501" s="45"/>
      <c r="O501" s="45"/>
      <c r="P501" s="45"/>
      <c r="Q501" s="45"/>
      <c r="R501" s="45"/>
      <c r="S501" s="45"/>
      <c r="T501" s="45"/>
      <c r="U501" s="45"/>
      <c r="V501" s="45"/>
      <c r="W501" s="173"/>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row>
    <row r="502" spans="1:46" x14ac:dyDescent="0.3">
      <c r="A502" s="173"/>
      <c r="B502" s="44"/>
      <c r="C502" s="45"/>
      <c r="D502" s="45"/>
      <c r="E502" s="45"/>
      <c r="F502" s="45"/>
      <c r="G502" s="45"/>
      <c r="H502" s="44"/>
      <c r="I502" s="44"/>
      <c r="J502" s="45"/>
      <c r="K502" s="45"/>
      <c r="L502" s="44"/>
      <c r="M502" s="45"/>
      <c r="N502" s="45"/>
      <c r="O502" s="45"/>
      <c r="P502" s="45"/>
      <c r="Q502" s="45"/>
      <c r="R502" s="45"/>
      <c r="S502" s="45"/>
      <c r="T502" s="45"/>
      <c r="U502" s="45"/>
      <c r="V502" s="45"/>
      <c r="W502" s="173"/>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row>
    <row r="503" spans="1:46" x14ac:dyDescent="0.3">
      <c r="A503" s="173"/>
      <c r="B503" s="44"/>
      <c r="C503" s="45"/>
      <c r="D503" s="45"/>
      <c r="E503" s="45"/>
      <c r="F503" s="45"/>
      <c r="G503" s="45"/>
      <c r="H503" s="44"/>
      <c r="I503" s="44"/>
      <c r="J503" s="45"/>
      <c r="K503" s="45"/>
      <c r="L503" s="44"/>
      <c r="M503" s="45"/>
      <c r="N503" s="45"/>
      <c r="O503" s="45"/>
      <c r="P503" s="45"/>
      <c r="Q503" s="45"/>
      <c r="R503" s="45"/>
      <c r="S503" s="45"/>
      <c r="T503" s="45"/>
      <c r="U503" s="45"/>
      <c r="V503" s="45"/>
      <c r="W503" s="173"/>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row>
    <row r="504" spans="1:46" x14ac:dyDescent="0.3">
      <c r="A504" s="173"/>
      <c r="B504" s="44"/>
      <c r="C504" s="45"/>
      <c r="D504" s="45"/>
      <c r="E504" s="45"/>
      <c r="F504" s="45"/>
      <c r="G504" s="45"/>
      <c r="H504" s="44"/>
      <c r="I504" s="44"/>
      <c r="J504" s="45"/>
      <c r="K504" s="45"/>
      <c r="L504" s="44"/>
      <c r="M504" s="45"/>
      <c r="N504" s="45"/>
      <c r="O504" s="45"/>
      <c r="P504" s="45"/>
      <c r="Q504" s="45"/>
      <c r="R504" s="45"/>
      <c r="S504" s="45"/>
      <c r="T504" s="45"/>
      <c r="U504" s="45"/>
      <c r="V504" s="45"/>
      <c r="W504" s="173"/>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row>
    <row r="505" spans="1:46" x14ac:dyDescent="0.3">
      <c r="A505" s="173"/>
      <c r="B505" s="44"/>
      <c r="C505" s="45"/>
      <c r="D505" s="45"/>
      <c r="E505" s="45"/>
      <c r="F505" s="45"/>
      <c r="G505" s="45"/>
      <c r="H505" s="44"/>
      <c r="I505" s="44"/>
      <c r="J505" s="45"/>
      <c r="K505" s="45"/>
      <c r="L505" s="44"/>
      <c r="M505" s="45"/>
      <c r="N505" s="45"/>
      <c r="O505" s="45"/>
      <c r="P505" s="45"/>
      <c r="Q505" s="45"/>
      <c r="R505" s="45"/>
      <c r="S505" s="45"/>
      <c r="T505" s="45"/>
      <c r="U505" s="45"/>
      <c r="V505" s="45"/>
      <c r="W505" s="173"/>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row>
    <row r="506" spans="1:46" x14ac:dyDescent="0.3">
      <c r="A506" s="173"/>
      <c r="B506" s="44"/>
      <c r="C506" s="45"/>
      <c r="D506" s="45"/>
      <c r="E506" s="45"/>
      <c r="F506" s="45"/>
      <c r="G506" s="45"/>
      <c r="H506" s="44"/>
      <c r="I506" s="44"/>
      <c r="J506" s="45"/>
      <c r="K506" s="45"/>
      <c r="L506" s="44"/>
      <c r="M506" s="45"/>
      <c r="N506" s="45"/>
      <c r="O506" s="45"/>
      <c r="P506" s="45"/>
      <c r="Q506" s="45"/>
      <c r="R506" s="45"/>
      <c r="S506" s="45"/>
      <c r="T506" s="45"/>
      <c r="U506" s="45"/>
      <c r="V506" s="45"/>
      <c r="W506" s="173"/>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row>
    <row r="507" spans="1:46" x14ac:dyDescent="0.3">
      <c r="A507" s="173"/>
      <c r="B507" s="44"/>
      <c r="C507" s="45"/>
      <c r="D507" s="45"/>
      <c r="E507" s="45"/>
      <c r="F507" s="45"/>
      <c r="G507" s="45"/>
      <c r="H507" s="44"/>
      <c r="I507" s="44"/>
      <c r="J507" s="45"/>
      <c r="K507" s="45"/>
      <c r="L507" s="44"/>
      <c r="M507" s="45"/>
      <c r="N507" s="45"/>
      <c r="O507" s="45"/>
      <c r="P507" s="45"/>
      <c r="Q507" s="45"/>
      <c r="R507" s="45"/>
      <c r="S507" s="45"/>
      <c r="T507" s="45"/>
      <c r="U507" s="45"/>
      <c r="V507" s="45"/>
      <c r="W507" s="173"/>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row>
    <row r="508" spans="1:46" x14ac:dyDescent="0.3">
      <c r="A508" s="173"/>
      <c r="B508" s="44"/>
      <c r="C508" s="45"/>
      <c r="D508" s="45"/>
      <c r="E508" s="45"/>
      <c r="F508" s="45"/>
      <c r="G508" s="45"/>
      <c r="H508" s="44"/>
      <c r="I508" s="44"/>
      <c r="J508" s="45"/>
      <c r="K508" s="45"/>
      <c r="L508" s="44"/>
      <c r="M508" s="45"/>
      <c r="N508" s="45"/>
      <c r="O508" s="45"/>
      <c r="P508" s="45"/>
      <c r="Q508" s="45"/>
      <c r="R508" s="45"/>
      <c r="S508" s="45"/>
      <c r="T508" s="45"/>
      <c r="U508" s="45"/>
      <c r="V508" s="45"/>
      <c r="W508" s="173"/>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row>
    <row r="509" spans="1:46" x14ac:dyDescent="0.3">
      <c r="A509" s="173"/>
      <c r="B509" s="44"/>
      <c r="C509" s="45"/>
      <c r="D509" s="45"/>
      <c r="E509" s="45"/>
      <c r="F509" s="45"/>
      <c r="G509" s="45"/>
      <c r="H509" s="44"/>
      <c r="I509" s="44"/>
      <c r="J509" s="45"/>
      <c r="K509" s="45"/>
      <c r="L509" s="44"/>
      <c r="M509" s="45"/>
      <c r="N509" s="45"/>
      <c r="O509" s="45"/>
      <c r="P509" s="45"/>
      <c r="Q509" s="45"/>
      <c r="R509" s="45"/>
      <c r="S509" s="45"/>
      <c r="T509" s="45"/>
      <c r="U509" s="45"/>
      <c r="V509" s="45"/>
      <c r="W509" s="173"/>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row>
    <row r="510" spans="1:46" x14ac:dyDescent="0.3">
      <c r="A510" s="173"/>
      <c r="B510" s="44"/>
      <c r="C510" s="45"/>
      <c r="D510" s="45"/>
      <c r="E510" s="45"/>
      <c r="F510" s="45"/>
      <c r="G510" s="45"/>
      <c r="H510" s="44"/>
      <c r="I510" s="44"/>
      <c r="J510" s="45"/>
      <c r="K510" s="45"/>
      <c r="L510" s="44"/>
      <c r="M510" s="45"/>
      <c r="N510" s="45"/>
      <c r="O510" s="45"/>
      <c r="P510" s="45"/>
      <c r="Q510" s="45"/>
      <c r="R510" s="45"/>
      <c r="S510" s="45"/>
      <c r="T510" s="45"/>
      <c r="U510" s="45"/>
      <c r="V510" s="45"/>
      <c r="W510" s="173"/>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row>
    <row r="511" spans="1:46" x14ac:dyDescent="0.3">
      <c r="A511" s="173"/>
      <c r="B511" s="44"/>
      <c r="C511" s="45"/>
      <c r="D511" s="45"/>
      <c r="E511" s="45"/>
      <c r="F511" s="45"/>
      <c r="G511" s="45"/>
      <c r="H511" s="44"/>
      <c r="I511" s="44"/>
      <c r="J511" s="45"/>
      <c r="K511" s="45"/>
      <c r="L511" s="44"/>
      <c r="M511" s="45"/>
      <c r="N511" s="45"/>
      <c r="O511" s="45"/>
      <c r="P511" s="45"/>
      <c r="Q511" s="45"/>
      <c r="R511" s="45"/>
      <c r="S511" s="45"/>
      <c r="T511" s="45"/>
      <c r="U511" s="45"/>
      <c r="V511" s="45"/>
      <c r="W511" s="173"/>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row>
    <row r="512" spans="1:46" x14ac:dyDescent="0.3">
      <c r="A512" s="173"/>
      <c r="B512" s="44"/>
      <c r="C512" s="45"/>
      <c r="D512" s="45"/>
      <c r="E512" s="45"/>
      <c r="F512" s="45"/>
      <c r="G512" s="45"/>
      <c r="H512" s="44"/>
      <c r="I512" s="44"/>
      <c r="J512" s="45"/>
      <c r="K512" s="45"/>
      <c r="L512" s="44"/>
      <c r="M512" s="45"/>
      <c r="N512" s="45"/>
      <c r="O512" s="45"/>
      <c r="P512" s="45"/>
      <c r="Q512" s="45"/>
      <c r="R512" s="45"/>
      <c r="S512" s="45"/>
      <c r="T512" s="45"/>
      <c r="U512" s="45"/>
      <c r="V512" s="45"/>
      <c r="W512" s="173"/>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row>
    <row r="513" spans="1:46" x14ac:dyDescent="0.3">
      <c r="A513" s="173"/>
      <c r="B513" s="44"/>
      <c r="C513" s="45"/>
      <c r="D513" s="45"/>
      <c r="E513" s="45"/>
      <c r="F513" s="45"/>
      <c r="G513" s="45"/>
      <c r="H513" s="44"/>
      <c r="I513" s="44"/>
      <c r="J513" s="45"/>
      <c r="K513" s="45"/>
      <c r="L513" s="44"/>
      <c r="M513" s="45"/>
      <c r="N513" s="45"/>
      <c r="O513" s="45"/>
      <c r="P513" s="45"/>
      <c r="Q513" s="45"/>
      <c r="R513" s="45"/>
      <c r="S513" s="45"/>
      <c r="T513" s="45"/>
      <c r="U513" s="45"/>
      <c r="V513" s="45"/>
      <c r="W513" s="173"/>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row>
    <row r="514" spans="1:46" x14ac:dyDescent="0.3">
      <c r="A514" s="173"/>
      <c r="B514" s="44"/>
      <c r="C514" s="45"/>
      <c r="D514" s="45"/>
      <c r="E514" s="45"/>
      <c r="F514" s="45"/>
      <c r="G514" s="45"/>
      <c r="H514" s="44"/>
      <c r="I514" s="44"/>
      <c r="J514" s="45"/>
      <c r="K514" s="45"/>
      <c r="L514" s="44"/>
      <c r="M514" s="45"/>
      <c r="N514" s="45"/>
      <c r="O514" s="45"/>
      <c r="P514" s="45"/>
      <c r="Q514" s="45"/>
      <c r="R514" s="45"/>
      <c r="S514" s="45"/>
      <c r="T514" s="45"/>
      <c r="U514" s="45"/>
      <c r="V514" s="45"/>
      <c r="W514" s="173"/>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row>
    <row r="515" spans="1:46" x14ac:dyDescent="0.3">
      <c r="A515" s="173"/>
      <c r="B515" s="44"/>
      <c r="C515" s="45"/>
      <c r="D515" s="45"/>
      <c r="E515" s="45"/>
      <c r="F515" s="45"/>
      <c r="G515" s="45"/>
      <c r="H515" s="44"/>
      <c r="I515" s="44"/>
      <c r="J515" s="45"/>
      <c r="K515" s="45"/>
      <c r="L515" s="44"/>
      <c r="M515" s="45"/>
      <c r="N515" s="45"/>
      <c r="O515" s="45"/>
      <c r="P515" s="45"/>
      <c r="Q515" s="45"/>
      <c r="R515" s="45"/>
      <c r="S515" s="45"/>
      <c r="T515" s="45"/>
      <c r="U515" s="45"/>
      <c r="V515" s="45"/>
      <c r="W515" s="173"/>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row>
    <row r="516" spans="1:46" x14ac:dyDescent="0.3">
      <c r="A516" s="173"/>
      <c r="B516" s="44"/>
      <c r="C516" s="45"/>
      <c r="D516" s="45"/>
      <c r="E516" s="45"/>
      <c r="F516" s="45"/>
      <c r="G516" s="45"/>
      <c r="H516" s="44"/>
      <c r="I516" s="44"/>
      <c r="J516" s="45"/>
      <c r="K516" s="45"/>
      <c r="L516" s="44"/>
      <c r="M516" s="45"/>
      <c r="N516" s="45"/>
      <c r="O516" s="45"/>
      <c r="P516" s="45"/>
      <c r="Q516" s="45"/>
      <c r="R516" s="45"/>
      <c r="S516" s="45"/>
      <c r="T516" s="45"/>
      <c r="U516" s="45"/>
      <c r="V516" s="45"/>
      <c r="W516" s="173"/>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row>
    <row r="517" spans="1:46" x14ac:dyDescent="0.3">
      <c r="A517" s="173"/>
      <c r="B517" s="44"/>
      <c r="C517" s="45"/>
      <c r="D517" s="45"/>
      <c r="E517" s="45"/>
      <c r="F517" s="45"/>
      <c r="G517" s="45"/>
      <c r="H517" s="44"/>
      <c r="I517" s="44"/>
      <c r="J517" s="45"/>
      <c r="K517" s="45"/>
      <c r="L517" s="44"/>
      <c r="M517" s="45"/>
      <c r="N517" s="45"/>
      <c r="O517" s="45"/>
      <c r="P517" s="45"/>
      <c r="Q517" s="45"/>
      <c r="R517" s="45"/>
      <c r="S517" s="45"/>
      <c r="T517" s="45"/>
      <c r="U517" s="45"/>
      <c r="V517" s="45"/>
      <c r="W517" s="173"/>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row>
    <row r="518" spans="1:46" x14ac:dyDescent="0.3">
      <c r="A518" s="173"/>
      <c r="B518" s="44"/>
      <c r="C518" s="45"/>
      <c r="D518" s="45"/>
      <c r="E518" s="45"/>
      <c r="F518" s="45"/>
      <c r="G518" s="45"/>
      <c r="H518" s="44"/>
      <c r="I518" s="44"/>
      <c r="J518" s="45"/>
      <c r="K518" s="45"/>
      <c r="L518" s="44"/>
      <c r="M518" s="45"/>
      <c r="N518" s="45"/>
      <c r="O518" s="45"/>
      <c r="P518" s="45"/>
      <c r="Q518" s="45"/>
      <c r="R518" s="45"/>
      <c r="S518" s="45"/>
      <c r="T518" s="45"/>
      <c r="U518" s="45"/>
      <c r="V518" s="45"/>
      <c r="W518" s="173"/>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row>
    <row r="519" spans="1:46" x14ac:dyDescent="0.3">
      <c r="A519" s="173"/>
      <c r="B519" s="44"/>
      <c r="C519" s="45"/>
      <c r="D519" s="45"/>
      <c r="E519" s="45"/>
      <c r="F519" s="45"/>
      <c r="G519" s="45"/>
      <c r="H519" s="44"/>
      <c r="I519" s="44"/>
      <c r="J519" s="45"/>
      <c r="K519" s="45"/>
      <c r="L519" s="44"/>
      <c r="M519" s="45"/>
      <c r="N519" s="45"/>
      <c r="O519" s="45"/>
      <c r="P519" s="45"/>
      <c r="Q519" s="45"/>
      <c r="R519" s="45"/>
      <c r="S519" s="45"/>
      <c r="T519" s="45"/>
      <c r="U519" s="45"/>
      <c r="V519" s="45"/>
      <c r="W519" s="173"/>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row>
    <row r="520" spans="1:46" x14ac:dyDescent="0.3">
      <c r="A520" s="173"/>
      <c r="B520" s="44"/>
      <c r="C520" s="45"/>
      <c r="D520" s="45"/>
      <c r="E520" s="45"/>
      <c r="F520" s="45"/>
      <c r="G520" s="45"/>
      <c r="H520" s="44"/>
      <c r="I520" s="44"/>
      <c r="J520" s="45"/>
      <c r="K520" s="45"/>
      <c r="L520" s="44"/>
      <c r="M520" s="45"/>
      <c r="N520" s="45"/>
      <c r="O520" s="45"/>
      <c r="P520" s="45"/>
      <c r="Q520" s="45"/>
      <c r="R520" s="45"/>
      <c r="S520" s="45"/>
      <c r="T520" s="45"/>
      <c r="U520" s="45"/>
      <c r="V520" s="45"/>
      <c r="W520" s="173"/>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row>
    <row r="521" spans="1:46" x14ac:dyDescent="0.3">
      <c r="A521" s="173"/>
      <c r="B521" s="44"/>
      <c r="C521" s="45"/>
      <c r="D521" s="45"/>
      <c r="E521" s="45"/>
      <c r="F521" s="45"/>
      <c r="G521" s="45"/>
      <c r="H521" s="44"/>
      <c r="I521" s="44"/>
      <c r="J521" s="45"/>
      <c r="K521" s="45"/>
      <c r="L521" s="44"/>
      <c r="M521" s="45"/>
      <c r="N521" s="45"/>
      <c r="O521" s="45"/>
      <c r="P521" s="45"/>
      <c r="Q521" s="45"/>
      <c r="R521" s="45"/>
      <c r="S521" s="45"/>
      <c r="T521" s="45"/>
      <c r="U521" s="45"/>
      <c r="V521" s="45"/>
      <c r="W521" s="173"/>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row>
    <row r="522" spans="1:46" x14ac:dyDescent="0.3">
      <c r="A522" s="173"/>
      <c r="B522" s="44"/>
      <c r="C522" s="45"/>
      <c r="D522" s="45"/>
      <c r="E522" s="45"/>
      <c r="F522" s="45"/>
      <c r="G522" s="45"/>
      <c r="H522" s="44"/>
      <c r="I522" s="44"/>
      <c r="J522" s="45"/>
      <c r="K522" s="45"/>
      <c r="L522" s="44"/>
      <c r="M522" s="45"/>
      <c r="N522" s="45"/>
      <c r="O522" s="45"/>
      <c r="P522" s="45"/>
      <c r="Q522" s="45"/>
      <c r="R522" s="45"/>
      <c r="S522" s="45"/>
      <c r="T522" s="45"/>
      <c r="U522" s="45"/>
      <c r="V522" s="45"/>
      <c r="W522" s="173"/>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row>
    <row r="523" spans="1:46" x14ac:dyDescent="0.3">
      <c r="A523" s="173"/>
      <c r="B523" s="44"/>
      <c r="C523" s="45"/>
      <c r="D523" s="45"/>
      <c r="E523" s="45"/>
      <c r="F523" s="45"/>
      <c r="G523" s="45"/>
      <c r="H523" s="44"/>
      <c r="I523" s="44"/>
      <c r="J523" s="45"/>
      <c r="K523" s="45"/>
      <c r="L523" s="44"/>
      <c r="M523" s="45"/>
      <c r="N523" s="45"/>
      <c r="O523" s="45"/>
      <c r="P523" s="45"/>
      <c r="Q523" s="45"/>
      <c r="R523" s="45"/>
      <c r="S523" s="45"/>
      <c r="T523" s="45"/>
      <c r="U523" s="45"/>
      <c r="V523" s="45"/>
      <c r="W523" s="173"/>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row>
    <row r="524" spans="1:46" x14ac:dyDescent="0.3">
      <c r="A524" s="173"/>
      <c r="B524" s="44"/>
      <c r="C524" s="45"/>
      <c r="D524" s="45"/>
      <c r="E524" s="45"/>
      <c r="F524" s="45"/>
      <c r="G524" s="45"/>
      <c r="H524" s="44"/>
      <c r="I524" s="44"/>
      <c r="J524" s="45"/>
      <c r="K524" s="45"/>
      <c r="L524" s="44"/>
      <c r="M524" s="45"/>
      <c r="N524" s="45"/>
      <c r="O524" s="45"/>
      <c r="P524" s="45"/>
      <c r="Q524" s="45"/>
      <c r="R524" s="45"/>
      <c r="S524" s="45"/>
      <c r="T524" s="45"/>
      <c r="U524" s="45"/>
      <c r="V524" s="45"/>
      <c r="W524" s="173"/>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row>
    <row r="525" spans="1:46" x14ac:dyDescent="0.3">
      <c r="A525" s="173"/>
      <c r="B525" s="44"/>
      <c r="C525" s="45"/>
      <c r="D525" s="45"/>
      <c r="E525" s="45"/>
      <c r="F525" s="45"/>
      <c r="G525" s="45"/>
      <c r="H525" s="44"/>
      <c r="I525" s="44"/>
      <c r="J525" s="45"/>
      <c r="K525" s="45"/>
      <c r="L525" s="44"/>
      <c r="M525" s="45"/>
      <c r="N525" s="45"/>
      <c r="O525" s="45"/>
      <c r="P525" s="45"/>
      <c r="Q525" s="45"/>
      <c r="R525" s="45"/>
      <c r="S525" s="45"/>
      <c r="T525" s="45"/>
      <c r="U525" s="45"/>
      <c r="V525" s="45"/>
      <c r="W525" s="173"/>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row>
    <row r="526" spans="1:46" x14ac:dyDescent="0.3">
      <c r="A526" s="173"/>
      <c r="B526" s="44"/>
      <c r="C526" s="45"/>
      <c r="D526" s="45"/>
      <c r="E526" s="45"/>
      <c r="F526" s="45"/>
      <c r="G526" s="45"/>
      <c r="H526" s="44"/>
      <c r="I526" s="44"/>
      <c r="J526" s="45"/>
      <c r="K526" s="45"/>
      <c r="L526" s="44"/>
      <c r="M526" s="45"/>
      <c r="N526" s="45"/>
      <c r="O526" s="45"/>
      <c r="P526" s="45"/>
      <c r="Q526" s="45"/>
      <c r="R526" s="45"/>
      <c r="S526" s="45"/>
      <c r="T526" s="45"/>
      <c r="U526" s="45"/>
      <c r="V526" s="45"/>
      <c r="W526" s="173"/>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row>
    <row r="527" spans="1:46" x14ac:dyDescent="0.3">
      <c r="A527" s="173"/>
      <c r="B527" s="44"/>
      <c r="C527" s="45"/>
      <c r="D527" s="45"/>
      <c r="E527" s="45"/>
      <c r="F527" s="45"/>
      <c r="G527" s="45"/>
      <c r="H527" s="44"/>
      <c r="I527" s="44"/>
      <c r="J527" s="45"/>
      <c r="K527" s="45"/>
      <c r="L527" s="44"/>
      <c r="M527" s="45"/>
      <c r="N527" s="45"/>
      <c r="O527" s="45"/>
      <c r="P527" s="45"/>
      <c r="Q527" s="45"/>
      <c r="R527" s="45"/>
      <c r="S527" s="45"/>
      <c r="T527" s="45"/>
      <c r="U527" s="45"/>
      <c r="V527" s="45"/>
      <c r="W527" s="173"/>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row>
    <row r="528" spans="1:46" x14ac:dyDescent="0.3">
      <c r="A528" s="173"/>
      <c r="B528" s="44"/>
      <c r="C528" s="45"/>
      <c r="D528" s="45"/>
      <c r="E528" s="45"/>
      <c r="F528" s="45"/>
      <c r="G528" s="45"/>
      <c r="H528" s="44"/>
      <c r="I528" s="44"/>
      <c r="J528" s="45"/>
      <c r="K528" s="45"/>
      <c r="L528" s="44"/>
      <c r="M528" s="45"/>
      <c r="N528" s="45"/>
      <c r="O528" s="45"/>
      <c r="P528" s="45"/>
      <c r="Q528" s="45"/>
      <c r="R528" s="45"/>
      <c r="S528" s="45"/>
      <c r="T528" s="45"/>
      <c r="U528" s="45"/>
      <c r="V528" s="45"/>
      <c r="W528" s="173"/>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row>
    <row r="529" spans="1:46" x14ac:dyDescent="0.3">
      <c r="A529" s="173"/>
      <c r="B529" s="44"/>
      <c r="C529" s="45"/>
      <c r="D529" s="45"/>
      <c r="E529" s="45"/>
      <c r="F529" s="45"/>
      <c r="G529" s="45"/>
      <c r="H529" s="44"/>
      <c r="I529" s="44"/>
      <c r="J529" s="45"/>
      <c r="K529" s="45"/>
      <c r="L529" s="44"/>
      <c r="M529" s="45"/>
      <c r="N529" s="45"/>
      <c r="O529" s="45"/>
      <c r="P529" s="45"/>
      <c r="Q529" s="45"/>
      <c r="R529" s="45"/>
      <c r="S529" s="45"/>
      <c r="T529" s="45"/>
      <c r="U529" s="45"/>
      <c r="V529" s="45"/>
      <c r="W529" s="173"/>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row>
    <row r="530" spans="1:46" x14ac:dyDescent="0.3">
      <c r="A530" s="173"/>
      <c r="B530" s="44"/>
      <c r="C530" s="45"/>
      <c r="D530" s="45"/>
      <c r="E530" s="45"/>
      <c r="F530" s="45"/>
      <c r="G530" s="45"/>
      <c r="H530" s="44"/>
      <c r="I530" s="44"/>
      <c r="J530" s="45"/>
      <c r="K530" s="45"/>
      <c r="L530" s="44"/>
      <c r="M530" s="45"/>
      <c r="N530" s="45"/>
      <c r="O530" s="45"/>
      <c r="P530" s="45"/>
      <c r="Q530" s="45"/>
      <c r="R530" s="45"/>
      <c r="S530" s="45"/>
      <c r="T530" s="45"/>
      <c r="U530" s="45"/>
      <c r="V530" s="45"/>
      <c r="W530" s="173"/>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row>
    <row r="531" spans="1:46" x14ac:dyDescent="0.3">
      <c r="A531" s="173"/>
      <c r="B531" s="44"/>
      <c r="C531" s="45"/>
      <c r="D531" s="45"/>
      <c r="E531" s="45"/>
      <c r="F531" s="45"/>
      <c r="G531" s="45"/>
      <c r="H531" s="44"/>
      <c r="I531" s="44"/>
      <c r="J531" s="45"/>
      <c r="K531" s="45"/>
      <c r="L531" s="44"/>
      <c r="M531" s="45"/>
      <c r="N531" s="45"/>
      <c r="O531" s="45"/>
      <c r="P531" s="45"/>
      <c r="Q531" s="45"/>
      <c r="R531" s="45"/>
      <c r="S531" s="45"/>
      <c r="T531" s="45"/>
      <c r="U531" s="45"/>
      <c r="V531" s="45"/>
      <c r="W531" s="173"/>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row>
    <row r="532" spans="1:46" x14ac:dyDescent="0.3">
      <c r="A532" s="173"/>
      <c r="B532" s="44"/>
      <c r="C532" s="45"/>
      <c r="D532" s="45"/>
      <c r="E532" s="45"/>
      <c r="F532" s="45"/>
      <c r="G532" s="45"/>
      <c r="H532" s="44"/>
      <c r="I532" s="44"/>
      <c r="J532" s="45"/>
      <c r="K532" s="45"/>
      <c r="L532" s="44"/>
      <c r="M532" s="45"/>
      <c r="N532" s="45"/>
      <c r="O532" s="45"/>
      <c r="P532" s="45"/>
      <c r="Q532" s="45"/>
      <c r="R532" s="45"/>
      <c r="S532" s="45"/>
      <c r="T532" s="45"/>
      <c r="U532" s="45"/>
      <c r="V532" s="45"/>
      <c r="W532" s="173"/>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row>
    <row r="533" spans="1:46" x14ac:dyDescent="0.3">
      <c r="A533" s="173"/>
      <c r="B533" s="44"/>
      <c r="C533" s="45"/>
      <c r="D533" s="45"/>
      <c r="E533" s="45"/>
      <c r="F533" s="45"/>
      <c r="G533" s="45"/>
      <c r="H533" s="44"/>
      <c r="I533" s="44"/>
      <c r="J533" s="45"/>
      <c r="K533" s="45"/>
      <c r="L533" s="44"/>
      <c r="M533" s="45"/>
      <c r="N533" s="45"/>
      <c r="O533" s="45"/>
      <c r="P533" s="45"/>
      <c r="Q533" s="45"/>
      <c r="R533" s="45"/>
      <c r="S533" s="45"/>
      <c r="T533" s="45"/>
      <c r="U533" s="45"/>
      <c r="V533" s="45"/>
      <c r="W533" s="173"/>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row>
    <row r="534" spans="1:46" x14ac:dyDescent="0.3">
      <c r="A534" s="173"/>
      <c r="B534" s="44"/>
      <c r="C534" s="45"/>
      <c r="D534" s="45"/>
      <c r="E534" s="45"/>
      <c r="F534" s="45"/>
      <c r="G534" s="45"/>
      <c r="H534" s="44"/>
      <c r="I534" s="44"/>
      <c r="J534" s="45"/>
      <c r="K534" s="45"/>
      <c r="L534" s="44"/>
      <c r="M534" s="45"/>
      <c r="N534" s="45"/>
      <c r="O534" s="45"/>
      <c r="P534" s="45"/>
      <c r="Q534" s="45"/>
      <c r="R534" s="45"/>
      <c r="S534" s="45"/>
      <c r="T534" s="45"/>
      <c r="U534" s="45"/>
      <c r="V534" s="45"/>
      <c r="W534" s="173"/>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row>
    <row r="535" spans="1:46" x14ac:dyDescent="0.3">
      <c r="A535" s="173"/>
      <c r="B535" s="44"/>
      <c r="C535" s="45"/>
      <c r="D535" s="45"/>
      <c r="E535" s="45"/>
      <c r="F535" s="45"/>
      <c r="G535" s="45"/>
      <c r="H535" s="44"/>
      <c r="I535" s="44"/>
      <c r="J535" s="45"/>
      <c r="K535" s="45"/>
      <c r="L535" s="44"/>
      <c r="M535" s="45"/>
      <c r="N535" s="45"/>
      <c r="O535" s="45"/>
      <c r="P535" s="45"/>
      <c r="Q535" s="45"/>
      <c r="R535" s="45"/>
      <c r="S535" s="45"/>
      <c r="T535" s="45"/>
      <c r="U535" s="45"/>
      <c r="V535" s="45"/>
      <c r="W535" s="173"/>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row>
    <row r="536" spans="1:46" x14ac:dyDescent="0.3">
      <c r="A536" s="173"/>
      <c r="B536" s="44"/>
      <c r="C536" s="45"/>
      <c r="D536" s="45"/>
      <c r="E536" s="45"/>
      <c r="F536" s="45"/>
      <c r="G536" s="45"/>
      <c r="H536" s="44"/>
      <c r="I536" s="44"/>
      <c r="J536" s="45"/>
      <c r="K536" s="45"/>
      <c r="L536" s="44"/>
      <c r="M536" s="45"/>
      <c r="N536" s="45"/>
      <c r="O536" s="45"/>
      <c r="P536" s="45"/>
      <c r="Q536" s="45"/>
      <c r="R536" s="45"/>
      <c r="S536" s="45"/>
      <c r="T536" s="45"/>
      <c r="U536" s="45"/>
      <c r="V536" s="45"/>
      <c r="W536" s="173"/>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row>
    <row r="537" spans="1:46" x14ac:dyDescent="0.3">
      <c r="A537" s="173"/>
      <c r="B537" s="44"/>
      <c r="C537" s="45"/>
      <c r="D537" s="45"/>
      <c r="E537" s="45"/>
      <c r="F537" s="45"/>
      <c r="G537" s="45"/>
      <c r="H537" s="44"/>
      <c r="I537" s="44"/>
      <c r="J537" s="45"/>
      <c r="K537" s="45"/>
      <c r="L537" s="44"/>
      <c r="M537" s="45"/>
      <c r="N537" s="45"/>
      <c r="O537" s="45"/>
      <c r="P537" s="45"/>
      <c r="Q537" s="45"/>
      <c r="R537" s="45"/>
      <c r="S537" s="45"/>
      <c r="T537" s="45"/>
      <c r="U537" s="45"/>
      <c r="V537" s="45"/>
      <c r="W537" s="173"/>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row>
    <row r="538" spans="1:46" x14ac:dyDescent="0.3">
      <c r="A538" s="173"/>
      <c r="B538" s="44"/>
      <c r="C538" s="45"/>
      <c r="D538" s="45"/>
      <c r="E538" s="45"/>
      <c r="F538" s="45"/>
      <c r="G538" s="45"/>
      <c r="H538" s="44"/>
      <c r="I538" s="44"/>
      <c r="J538" s="45"/>
      <c r="K538" s="45"/>
      <c r="L538" s="44"/>
      <c r="M538" s="45"/>
      <c r="N538" s="45"/>
      <c r="O538" s="45"/>
      <c r="P538" s="45"/>
      <c r="Q538" s="45"/>
      <c r="R538" s="45"/>
      <c r="S538" s="45"/>
      <c r="T538" s="45"/>
      <c r="U538" s="45"/>
      <c r="V538" s="45"/>
      <c r="W538" s="173"/>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row>
    <row r="539" spans="1:46" x14ac:dyDescent="0.3">
      <c r="A539" s="173"/>
      <c r="B539" s="44"/>
      <c r="C539" s="45"/>
      <c r="D539" s="45"/>
      <c r="E539" s="45"/>
      <c r="F539" s="45"/>
      <c r="G539" s="45"/>
      <c r="H539" s="44"/>
      <c r="I539" s="44"/>
      <c r="J539" s="45"/>
      <c r="K539" s="45"/>
      <c r="L539" s="44"/>
      <c r="M539" s="45"/>
      <c r="N539" s="45"/>
      <c r="O539" s="45"/>
      <c r="P539" s="45"/>
      <c r="Q539" s="45"/>
      <c r="R539" s="45"/>
      <c r="S539" s="45"/>
      <c r="T539" s="45"/>
      <c r="U539" s="45"/>
      <c r="V539" s="45"/>
      <c r="W539" s="173"/>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row>
    <row r="540" spans="1:46" x14ac:dyDescent="0.3">
      <c r="A540" s="173"/>
      <c r="B540" s="44"/>
      <c r="C540" s="45"/>
      <c r="D540" s="45"/>
      <c r="E540" s="45"/>
      <c r="F540" s="45"/>
      <c r="G540" s="45"/>
      <c r="H540" s="44"/>
      <c r="I540" s="44"/>
      <c r="J540" s="45"/>
      <c r="K540" s="45"/>
      <c r="L540" s="44"/>
      <c r="M540" s="45"/>
      <c r="N540" s="45"/>
      <c r="O540" s="45"/>
      <c r="P540" s="45"/>
      <c r="Q540" s="45"/>
      <c r="R540" s="45"/>
      <c r="S540" s="45"/>
      <c r="T540" s="45"/>
      <c r="U540" s="45"/>
      <c r="V540" s="45"/>
      <c r="W540" s="173"/>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row>
    <row r="541" spans="1:46" x14ac:dyDescent="0.3">
      <c r="A541" s="173"/>
      <c r="B541" s="44"/>
      <c r="C541" s="45"/>
      <c r="D541" s="45"/>
      <c r="E541" s="45"/>
      <c r="F541" s="45"/>
      <c r="G541" s="45"/>
      <c r="H541" s="44"/>
      <c r="I541" s="44"/>
      <c r="J541" s="45"/>
      <c r="K541" s="45"/>
      <c r="L541" s="44"/>
      <c r="M541" s="45"/>
      <c r="N541" s="45"/>
      <c r="O541" s="45"/>
      <c r="P541" s="45"/>
      <c r="Q541" s="45"/>
      <c r="R541" s="45"/>
      <c r="S541" s="45"/>
      <c r="T541" s="45"/>
      <c r="U541" s="45"/>
      <c r="V541" s="45"/>
      <c r="W541" s="173"/>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row>
    <row r="542" spans="1:46" x14ac:dyDescent="0.3">
      <c r="A542" s="173"/>
      <c r="B542" s="44"/>
      <c r="C542" s="45"/>
      <c r="D542" s="45"/>
      <c r="E542" s="45"/>
      <c r="F542" s="45"/>
      <c r="G542" s="45"/>
      <c r="H542" s="44"/>
      <c r="I542" s="44"/>
      <c r="J542" s="45"/>
      <c r="K542" s="45"/>
      <c r="L542" s="44"/>
      <c r="M542" s="45"/>
      <c r="N542" s="45"/>
      <c r="O542" s="45"/>
      <c r="P542" s="45"/>
      <c r="Q542" s="45"/>
      <c r="R542" s="45"/>
      <c r="S542" s="45"/>
      <c r="T542" s="45"/>
      <c r="U542" s="45"/>
      <c r="V542" s="45"/>
      <c r="W542" s="173"/>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row>
    <row r="543" spans="1:46" x14ac:dyDescent="0.3">
      <c r="A543" s="173"/>
      <c r="B543" s="44"/>
      <c r="C543" s="45"/>
      <c r="D543" s="45"/>
      <c r="E543" s="45"/>
      <c r="F543" s="45"/>
      <c r="G543" s="45"/>
      <c r="H543" s="44"/>
      <c r="I543" s="44"/>
      <c r="J543" s="45"/>
      <c r="K543" s="45"/>
      <c r="L543" s="44"/>
      <c r="M543" s="45"/>
      <c r="N543" s="45"/>
      <c r="O543" s="45"/>
      <c r="P543" s="45"/>
      <c r="Q543" s="45"/>
      <c r="R543" s="45"/>
      <c r="S543" s="45"/>
      <c r="T543" s="45"/>
      <c r="U543" s="45"/>
      <c r="V543" s="45"/>
      <c r="W543" s="173"/>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row>
    <row r="544" spans="1:46" x14ac:dyDescent="0.3">
      <c r="A544" s="173"/>
      <c r="B544" s="44"/>
      <c r="C544" s="45"/>
      <c r="D544" s="45"/>
      <c r="E544" s="45"/>
      <c r="F544" s="45"/>
      <c r="G544" s="45"/>
      <c r="H544" s="44"/>
      <c r="I544" s="44"/>
      <c r="J544" s="45"/>
      <c r="K544" s="45"/>
      <c r="L544" s="44"/>
      <c r="M544" s="45"/>
      <c r="N544" s="45"/>
      <c r="O544" s="45"/>
      <c r="P544" s="45"/>
      <c r="Q544" s="45"/>
      <c r="R544" s="45"/>
      <c r="S544" s="45"/>
      <c r="T544" s="45"/>
      <c r="U544" s="45"/>
      <c r="V544" s="45"/>
      <c r="W544" s="173"/>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row>
    <row r="545" spans="1:46" x14ac:dyDescent="0.3">
      <c r="A545" s="173"/>
      <c r="B545" s="44"/>
      <c r="C545" s="45"/>
      <c r="D545" s="45"/>
      <c r="E545" s="45"/>
      <c r="F545" s="45"/>
      <c r="G545" s="45"/>
      <c r="H545" s="44"/>
      <c r="I545" s="44"/>
      <c r="J545" s="45"/>
      <c r="K545" s="45"/>
      <c r="L545" s="44"/>
      <c r="M545" s="45"/>
      <c r="N545" s="45"/>
      <c r="O545" s="45"/>
      <c r="P545" s="45"/>
      <c r="Q545" s="45"/>
      <c r="R545" s="45"/>
      <c r="S545" s="45"/>
      <c r="T545" s="45"/>
      <c r="U545" s="45"/>
      <c r="V545" s="45"/>
      <c r="W545" s="173"/>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row>
    <row r="546" spans="1:46" x14ac:dyDescent="0.3">
      <c r="A546" s="173"/>
      <c r="B546" s="44"/>
      <c r="C546" s="45"/>
      <c r="D546" s="45"/>
      <c r="E546" s="45"/>
      <c r="F546" s="45"/>
      <c r="G546" s="45"/>
      <c r="H546" s="44"/>
      <c r="I546" s="44"/>
      <c r="J546" s="45"/>
      <c r="K546" s="45"/>
      <c r="L546" s="44"/>
      <c r="M546" s="45"/>
      <c r="N546" s="45"/>
      <c r="O546" s="45"/>
      <c r="P546" s="45"/>
      <c r="Q546" s="45"/>
      <c r="R546" s="45"/>
      <c r="S546" s="45"/>
      <c r="T546" s="45"/>
      <c r="U546" s="45"/>
      <c r="V546" s="45"/>
      <c r="W546" s="173"/>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row>
    <row r="547" spans="1:46" x14ac:dyDescent="0.3">
      <c r="A547" s="173"/>
      <c r="B547" s="44"/>
      <c r="C547" s="45"/>
      <c r="D547" s="45"/>
      <c r="E547" s="45"/>
      <c r="F547" s="45"/>
      <c r="G547" s="45"/>
      <c r="H547" s="44"/>
      <c r="I547" s="44"/>
      <c r="J547" s="45"/>
      <c r="K547" s="45"/>
      <c r="L547" s="44"/>
      <c r="M547" s="45"/>
      <c r="N547" s="45"/>
      <c r="O547" s="45"/>
      <c r="P547" s="45"/>
      <c r="Q547" s="45"/>
      <c r="R547" s="45"/>
      <c r="S547" s="45"/>
      <c r="T547" s="45"/>
      <c r="U547" s="45"/>
      <c r="V547" s="45"/>
      <c r="W547" s="173"/>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row>
    <row r="548" spans="1:46" x14ac:dyDescent="0.3">
      <c r="A548" s="173"/>
      <c r="B548" s="44"/>
      <c r="C548" s="45"/>
      <c r="D548" s="45"/>
      <c r="E548" s="45"/>
      <c r="F548" s="45"/>
      <c r="G548" s="45"/>
      <c r="H548" s="44"/>
      <c r="I548" s="44"/>
      <c r="J548" s="45"/>
      <c r="K548" s="45"/>
      <c r="L548" s="44"/>
      <c r="M548" s="45"/>
      <c r="N548" s="45"/>
      <c r="O548" s="45"/>
      <c r="P548" s="45"/>
      <c r="Q548" s="45"/>
      <c r="R548" s="45"/>
      <c r="S548" s="45"/>
      <c r="T548" s="45"/>
      <c r="U548" s="45"/>
      <c r="V548" s="45"/>
      <c r="W548" s="173"/>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row>
    <row r="549" spans="1:46" x14ac:dyDescent="0.3">
      <c r="A549" s="173"/>
      <c r="B549" s="44"/>
      <c r="C549" s="45"/>
      <c r="D549" s="45"/>
      <c r="E549" s="45"/>
      <c r="F549" s="45"/>
      <c r="G549" s="45"/>
      <c r="H549" s="44"/>
      <c r="I549" s="44"/>
      <c r="J549" s="45"/>
      <c r="K549" s="45"/>
      <c r="L549" s="44"/>
      <c r="M549" s="45"/>
      <c r="N549" s="45"/>
      <c r="O549" s="45"/>
      <c r="P549" s="45"/>
      <c r="Q549" s="45"/>
      <c r="R549" s="45"/>
      <c r="S549" s="45"/>
      <c r="T549" s="45"/>
      <c r="U549" s="45"/>
      <c r="V549" s="45"/>
      <c r="W549" s="173"/>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row>
    <row r="550" spans="1:46" x14ac:dyDescent="0.3">
      <c r="A550" s="173"/>
      <c r="B550" s="44"/>
      <c r="C550" s="45"/>
      <c r="D550" s="45"/>
      <c r="E550" s="45"/>
      <c r="F550" s="45"/>
      <c r="G550" s="45"/>
      <c r="H550" s="44"/>
      <c r="I550" s="44"/>
      <c r="J550" s="45"/>
      <c r="K550" s="45"/>
      <c r="L550" s="44"/>
      <c r="M550" s="45"/>
      <c r="N550" s="45"/>
      <c r="O550" s="45"/>
      <c r="P550" s="45"/>
      <c r="Q550" s="45"/>
      <c r="R550" s="45"/>
      <c r="S550" s="45"/>
      <c r="T550" s="45"/>
      <c r="U550" s="45"/>
      <c r="V550" s="45"/>
      <c r="W550" s="173"/>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row>
    <row r="551" spans="1:46" x14ac:dyDescent="0.3">
      <c r="A551" s="173"/>
      <c r="B551" s="44"/>
      <c r="C551" s="45"/>
      <c r="D551" s="45"/>
      <c r="E551" s="45"/>
      <c r="F551" s="45"/>
      <c r="G551" s="45"/>
      <c r="H551" s="44"/>
      <c r="I551" s="44"/>
      <c r="J551" s="45"/>
      <c r="K551" s="45"/>
      <c r="L551" s="44"/>
      <c r="M551" s="45"/>
      <c r="N551" s="45"/>
      <c r="O551" s="45"/>
      <c r="P551" s="45"/>
      <c r="Q551" s="45"/>
      <c r="R551" s="45"/>
      <c r="S551" s="45"/>
      <c r="T551" s="45"/>
      <c r="U551" s="45"/>
      <c r="V551" s="45"/>
      <c r="W551" s="173"/>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row>
    <row r="552" spans="1:46" x14ac:dyDescent="0.3">
      <c r="A552" s="173"/>
      <c r="B552" s="44"/>
      <c r="C552" s="45"/>
      <c r="D552" s="45"/>
      <c r="E552" s="45"/>
      <c r="F552" s="45"/>
      <c r="G552" s="45"/>
      <c r="H552" s="44"/>
      <c r="I552" s="44"/>
      <c r="J552" s="45"/>
      <c r="K552" s="45"/>
      <c r="L552" s="44"/>
      <c r="M552" s="45"/>
      <c r="N552" s="45"/>
      <c r="O552" s="45"/>
      <c r="P552" s="45"/>
      <c r="Q552" s="45"/>
      <c r="R552" s="45"/>
      <c r="S552" s="45"/>
      <c r="T552" s="45"/>
      <c r="U552" s="45"/>
      <c r="V552" s="45"/>
      <c r="W552" s="173"/>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row>
    <row r="553" spans="1:46" x14ac:dyDescent="0.3">
      <c r="A553" s="173"/>
      <c r="B553" s="44"/>
      <c r="C553" s="45"/>
      <c r="D553" s="45"/>
      <c r="E553" s="45"/>
      <c r="F553" s="45"/>
      <c r="G553" s="45"/>
      <c r="H553" s="44"/>
      <c r="I553" s="44"/>
      <c r="J553" s="45"/>
      <c r="K553" s="45"/>
      <c r="L553" s="44"/>
      <c r="M553" s="45"/>
      <c r="N553" s="45"/>
      <c r="O553" s="45"/>
      <c r="P553" s="45"/>
      <c r="Q553" s="45"/>
      <c r="R553" s="45"/>
      <c r="S553" s="45"/>
      <c r="T553" s="45"/>
      <c r="U553" s="45"/>
      <c r="V553" s="45"/>
      <c r="W553" s="173"/>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row>
    <row r="554" spans="1:46" x14ac:dyDescent="0.3">
      <c r="A554" s="173"/>
      <c r="B554" s="44"/>
      <c r="C554" s="45"/>
      <c r="D554" s="45"/>
      <c r="E554" s="45"/>
      <c r="F554" s="45"/>
      <c r="G554" s="45"/>
      <c r="H554" s="44"/>
      <c r="I554" s="44"/>
      <c r="J554" s="45"/>
      <c r="K554" s="45"/>
      <c r="L554" s="44"/>
      <c r="M554" s="45"/>
      <c r="N554" s="45"/>
      <c r="O554" s="45"/>
      <c r="P554" s="45"/>
      <c r="Q554" s="45"/>
      <c r="R554" s="45"/>
      <c r="S554" s="45"/>
      <c r="T554" s="45"/>
      <c r="U554" s="45"/>
      <c r="V554" s="45"/>
      <c r="W554" s="173"/>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row>
    <row r="555" spans="1:46" x14ac:dyDescent="0.3">
      <c r="A555" s="173"/>
      <c r="B555" s="44"/>
      <c r="C555" s="45"/>
      <c r="D555" s="45"/>
      <c r="E555" s="45"/>
      <c r="F555" s="45"/>
      <c r="G555" s="45"/>
      <c r="H555" s="44"/>
      <c r="I555" s="44"/>
      <c r="J555" s="45"/>
      <c r="K555" s="45"/>
      <c r="L555" s="44"/>
      <c r="M555" s="45"/>
      <c r="N555" s="45"/>
      <c r="O555" s="45"/>
      <c r="P555" s="45"/>
      <c r="Q555" s="45"/>
      <c r="R555" s="45"/>
      <c r="S555" s="45"/>
      <c r="T555" s="45"/>
      <c r="U555" s="45"/>
      <c r="V555" s="45"/>
      <c r="W555" s="173"/>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row>
    <row r="556" spans="1:46" x14ac:dyDescent="0.3">
      <c r="A556" s="173"/>
      <c r="B556" s="44"/>
      <c r="C556" s="45"/>
      <c r="D556" s="45"/>
      <c r="E556" s="45"/>
      <c r="F556" s="45"/>
      <c r="G556" s="45"/>
      <c r="H556" s="44"/>
      <c r="I556" s="44"/>
      <c r="J556" s="45"/>
      <c r="K556" s="45"/>
      <c r="L556" s="44"/>
      <c r="M556" s="45"/>
      <c r="N556" s="45"/>
      <c r="O556" s="45"/>
      <c r="P556" s="45"/>
      <c r="Q556" s="45"/>
      <c r="R556" s="45"/>
      <c r="S556" s="45"/>
      <c r="T556" s="45"/>
      <c r="U556" s="45"/>
      <c r="V556" s="45"/>
      <c r="W556" s="173"/>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row>
    <row r="557" spans="1:46" x14ac:dyDescent="0.3">
      <c r="A557" s="173"/>
      <c r="B557" s="44"/>
      <c r="C557" s="45"/>
      <c r="D557" s="45"/>
      <c r="E557" s="45"/>
      <c r="F557" s="45"/>
      <c r="G557" s="45"/>
      <c r="H557" s="44"/>
      <c r="I557" s="44"/>
      <c r="J557" s="45"/>
      <c r="K557" s="45"/>
      <c r="L557" s="44"/>
      <c r="M557" s="45"/>
      <c r="N557" s="45"/>
      <c r="O557" s="45"/>
      <c r="P557" s="45"/>
      <c r="Q557" s="45"/>
      <c r="R557" s="45"/>
      <c r="S557" s="45"/>
      <c r="T557" s="45"/>
      <c r="U557" s="45"/>
      <c r="V557" s="45"/>
      <c r="W557" s="173"/>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row>
    <row r="558" spans="1:46" x14ac:dyDescent="0.3">
      <c r="A558" s="173"/>
      <c r="B558" s="44"/>
      <c r="C558" s="45"/>
      <c r="D558" s="45"/>
      <c r="E558" s="45"/>
      <c r="F558" s="45"/>
      <c r="G558" s="45"/>
      <c r="H558" s="44"/>
      <c r="I558" s="44"/>
      <c r="J558" s="45"/>
      <c r="K558" s="45"/>
      <c r="L558" s="44"/>
      <c r="M558" s="45"/>
      <c r="N558" s="45"/>
      <c r="O558" s="45"/>
      <c r="P558" s="45"/>
      <c r="Q558" s="45"/>
      <c r="R558" s="45"/>
      <c r="S558" s="45"/>
      <c r="T558" s="45"/>
      <c r="U558" s="45"/>
      <c r="V558" s="45"/>
      <c r="W558" s="173"/>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row>
    <row r="559" spans="1:46" x14ac:dyDescent="0.3">
      <c r="A559" s="173"/>
      <c r="B559" s="44"/>
      <c r="C559" s="45"/>
      <c r="D559" s="45"/>
      <c r="E559" s="45"/>
      <c r="F559" s="45"/>
      <c r="G559" s="45"/>
      <c r="H559" s="44"/>
      <c r="I559" s="44"/>
      <c r="J559" s="45"/>
      <c r="K559" s="45"/>
      <c r="L559" s="44"/>
      <c r="M559" s="45"/>
      <c r="N559" s="45"/>
      <c r="O559" s="45"/>
      <c r="P559" s="45"/>
      <c r="Q559" s="45"/>
      <c r="R559" s="45"/>
      <c r="S559" s="45"/>
      <c r="T559" s="45"/>
      <c r="U559" s="45"/>
      <c r="V559" s="45"/>
      <c r="W559" s="173"/>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row>
    <row r="560" spans="1:46" x14ac:dyDescent="0.3">
      <c r="A560" s="173"/>
      <c r="B560" s="44"/>
      <c r="C560" s="45"/>
      <c r="D560" s="45"/>
      <c r="E560" s="45"/>
      <c r="F560" s="45"/>
      <c r="G560" s="45"/>
      <c r="H560" s="44"/>
      <c r="I560" s="44"/>
      <c r="J560" s="45"/>
      <c r="K560" s="45"/>
      <c r="L560" s="44"/>
      <c r="M560" s="45"/>
      <c r="N560" s="45"/>
      <c r="O560" s="45"/>
      <c r="P560" s="45"/>
      <c r="Q560" s="45"/>
      <c r="R560" s="45"/>
      <c r="S560" s="45"/>
      <c r="T560" s="45"/>
      <c r="U560" s="45"/>
      <c r="V560" s="45"/>
      <c r="W560" s="173"/>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row>
    <row r="561" spans="1:46" x14ac:dyDescent="0.3">
      <c r="A561" s="173"/>
      <c r="B561" s="44"/>
      <c r="C561" s="45"/>
      <c r="D561" s="45"/>
      <c r="E561" s="45"/>
      <c r="F561" s="45"/>
      <c r="G561" s="45"/>
      <c r="H561" s="44"/>
      <c r="I561" s="44"/>
      <c r="J561" s="45"/>
      <c r="K561" s="45"/>
      <c r="L561" s="44"/>
      <c r="M561" s="45"/>
      <c r="N561" s="45"/>
      <c r="O561" s="45"/>
      <c r="P561" s="45"/>
      <c r="Q561" s="45"/>
      <c r="R561" s="45"/>
      <c r="S561" s="45"/>
      <c r="T561" s="45"/>
      <c r="U561" s="45"/>
      <c r="V561" s="45"/>
      <c r="W561" s="173"/>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row>
    <row r="562" spans="1:46" x14ac:dyDescent="0.3">
      <c r="A562" s="173"/>
      <c r="B562" s="44"/>
      <c r="C562" s="45"/>
      <c r="D562" s="45"/>
      <c r="E562" s="45"/>
      <c r="F562" s="45"/>
      <c r="G562" s="45"/>
      <c r="H562" s="44"/>
      <c r="I562" s="44"/>
      <c r="J562" s="45"/>
      <c r="K562" s="45"/>
      <c r="L562" s="44"/>
      <c r="M562" s="45"/>
      <c r="N562" s="45"/>
      <c r="O562" s="45"/>
      <c r="P562" s="45"/>
      <c r="Q562" s="45"/>
      <c r="R562" s="45"/>
      <c r="S562" s="45"/>
      <c r="T562" s="45"/>
      <c r="U562" s="45"/>
      <c r="V562" s="45"/>
      <c r="W562" s="173"/>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row>
    <row r="563" spans="1:46" x14ac:dyDescent="0.3">
      <c r="A563" s="173"/>
      <c r="B563" s="44"/>
      <c r="C563" s="45"/>
      <c r="D563" s="45"/>
      <c r="E563" s="45"/>
      <c r="F563" s="45"/>
      <c r="G563" s="45"/>
      <c r="H563" s="44"/>
      <c r="I563" s="44"/>
      <c r="J563" s="45"/>
      <c r="K563" s="45"/>
      <c r="L563" s="44"/>
      <c r="M563" s="45"/>
      <c r="N563" s="45"/>
      <c r="O563" s="45"/>
      <c r="P563" s="45"/>
      <c r="Q563" s="45"/>
      <c r="R563" s="45"/>
      <c r="S563" s="45"/>
      <c r="T563" s="45"/>
      <c r="U563" s="45"/>
      <c r="V563" s="45"/>
      <c r="W563" s="173"/>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row>
    <row r="564" spans="1:46" x14ac:dyDescent="0.3">
      <c r="A564" s="173"/>
      <c r="B564" s="44"/>
      <c r="C564" s="45"/>
      <c r="D564" s="45"/>
      <c r="E564" s="45"/>
      <c r="F564" s="45"/>
      <c r="G564" s="45"/>
      <c r="H564" s="44"/>
      <c r="I564" s="44"/>
      <c r="J564" s="45"/>
      <c r="K564" s="45"/>
      <c r="L564" s="44"/>
      <c r="M564" s="45"/>
      <c r="N564" s="45"/>
      <c r="O564" s="45"/>
      <c r="P564" s="45"/>
      <c r="Q564" s="45"/>
      <c r="R564" s="45"/>
      <c r="S564" s="45"/>
      <c r="T564" s="45"/>
      <c r="U564" s="45"/>
      <c r="V564" s="45"/>
      <c r="W564" s="173"/>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row>
    <row r="565" spans="1:46" x14ac:dyDescent="0.3">
      <c r="A565" s="173"/>
      <c r="B565" s="44"/>
      <c r="C565" s="45"/>
      <c r="D565" s="45"/>
      <c r="E565" s="45"/>
      <c r="F565" s="45"/>
      <c r="G565" s="45"/>
      <c r="H565" s="44"/>
      <c r="I565" s="44"/>
      <c r="J565" s="45"/>
      <c r="K565" s="45"/>
      <c r="L565" s="44"/>
      <c r="M565" s="45"/>
      <c r="N565" s="45"/>
      <c r="O565" s="45"/>
      <c r="P565" s="45"/>
      <c r="Q565" s="45"/>
      <c r="R565" s="45"/>
      <c r="S565" s="45"/>
      <c r="T565" s="45"/>
      <c r="U565" s="45"/>
      <c r="V565" s="45"/>
      <c r="W565" s="173"/>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row>
    <row r="566" spans="1:46" x14ac:dyDescent="0.3">
      <c r="A566" s="173"/>
      <c r="B566" s="44"/>
      <c r="C566" s="45"/>
      <c r="D566" s="45"/>
      <c r="E566" s="45"/>
      <c r="F566" s="45"/>
      <c r="G566" s="45"/>
      <c r="H566" s="44"/>
      <c r="I566" s="44"/>
      <c r="J566" s="45"/>
      <c r="K566" s="45"/>
      <c r="L566" s="44"/>
      <c r="M566" s="45"/>
      <c r="N566" s="45"/>
      <c r="O566" s="45"/>
      <c r="P566" s="45"/>
      <c r="Q566" s="45"/>
      <c r="R566" s="45"/>
      <c r="S566" s="45"/>
      <c r="T566" s="45"/>
      <c r="U566" s="45"/>
      <c r="V566" s="45"/>
      <c r="W566" s="173"/>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row>
    <row r="567" spans="1:46" x14ac:dyDescent="0.3">
      <c r="A567" s="173"/>
      <c r="B567" s="44"/>
      <c r="C567" s="45"/>
      <c r="D567" s="45"/>
      <c r="E567" s="45"/>
      <c r="F567" s="45"/>
      <c r="G567" s="45"/>
      <c r="H567" s="44"/>
      <c r="I567" s="44"/>
      <c r="J567" s="45"/>
      <c r="K567" s="45"/>
      <c r="L567" s="44"/>
      <c r="M567" s="45"/>
      <c r="N567" s="45"/>
      <c r="O567" s="45"/>
      <c r="P567" s="45"/>
      <c r="Q567" s="45"/>
      <c r="R567" s="45"/>
      <c r="S567" s="45"/>
      <c r="T567" s="45"/>
      <c r="U567" s="45"/>
      <c r="V567" s="45"/>
      <c r="W567" s="173"/>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row>
    <row r="568" spans="1:46" x14ac:dyDescent="0.3">
      <c r="A568" s="173"/>
      <c r="B568" s="44"/>
      <c r="C568" s="45"/>
      <c r="D568" s="45"/>
      <c r="E568" s="45"/>
      <c r="F568" s="45"/>
      <c r="G568" s="45"/>
      <c r="H568" s="44"/>
      <c r="I568" s="44"/>
      <c r="J568" s="45"/>
      <c r="K568" s="45"/>
      <c r="L568" s="44"/>
      <c r="M568" s="45"/>
      <c r="N568" s="45"/>
      <c r="O568" s="45"/>
      <c r="P568" s="45"/>
      <c r="Q568" s="45"/>
      <c r="R568" s="45"/>
      <c r="S568" s="45"/>
      <c r="T568" s="45"/>
      <c r="U568" s="45"/>
      <c r="V568" s="45"/>
      <c r="W568" s="173"/>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row>
    <row r="569" spans="1:46" x14ac:dyDescent="0.3">
      <c r="A569" s="173"/>
      <c r="B569" s="44"/>
      <c r="C569" s="45"/>
      <c r="D569" s="45"/>
      <c r="E569" s="45"/>
      <c r="F569" s="45"/>
      <c r="G569" s="45"/>
      <c r="H569" s="44"/>
      <c r="I569" s="44"/>
      <c r="J569" s="45"/>
      <c r="K569" s="45"/>
      <c r="L569" s="44"/>
      <c r="M569" s="45"/>
      <c r="N569" s="45"/>
      <c r="O569" s="45"/>
      <c r="P569" s="45"/>
      <c r="Q569" s="45"/>
      <c r="R569" s="45"/>
      <c r="S569" s="45"/>
      <c r="T569" s="45"/>
      <c r="U569" s="45"/>
      <c r="V569" s="45"/>
      <c r="W569" s="173"/>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row>
    <row r="570" spans="1:46" x14ac:dyDescent="0.3">
      <c r="A570" s="173"/>
      <c r="B570" s="44"/>
      <c r="C570" s="45"/>
      <c r="D570" s="45"/>
      <c r="E570" s="45"/>
      <c r="F570" s="45"/>
      <c r="G570" s="45"/>
      <c r="H570" s="44"/>
      <c r="I570" s="44"/>
      <c r="J570" s="45"/>
      <c r="K570" s="45"/>
      <c r="L570" s="44"/>
      <c r="M570" s="45"/>
      <c r="N570" s="45"/>
      <c r="O570" s="45"/>
      <c r="P570" s="45"/>
      <c r="Q570" s="45"/>
      <c r="R570" s="45"/>
      <c r="S570" s="45"/>
      <c r="T570" s="45"/>
      <c r="U570" s="45"/>
      <c r="V570" s="45"/>
      <c r="W570" s="173"/>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row>
    <row r="571" spans="1:46" x14ac:dyDescent="0.3">
      <c r="A571" s="173"/>
      <c r="B571" s="44"/>
      <c r="C571" s="45"/>
      <c r="D571" s="45"/>
      <c r="E571" s="45"/>
      <c r="F571" s="45"/>
      <c r="G571" s="45"/>
      <c r="H571" s="44"/>
      <c r="I571" s="44"/>
      <c r="J571" s="45"/>
      <c r="K571" s="45"/>
      <c r="L571" s="44"/>
      <c r="M571" s="45"/>
      <c r="N571" s="45"/>
      <c r="O571" s="45"/>
      <c r="P571" s="45"/>
      <c r="Q571" s="45"/>
      <c r="R571" s="45"/>
      <c r="S571" s="45"/>
      <c r="T571" s="45"/>
      <c r="U571" s="45"/>
      <c r="V571" s="45"/>
      <c r="W571" s="173"/>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row>
    <row r="572" spans="1:46" x14ac:dyDescent="0.3">
      <c r="A572" s="173"/>
      <c r="B572" s="44"/>
      <c r="C572" s="45"/>
      <c r="D572" s="45"/>
      <c r="E572" s="45"/>
      <c r="F572" s="45"/>
      <c r="G572" s="45"/>
      <c r="H572" s="44"/>
      <c r="I572" s="44"/>
      <c r="J572" s="45"/>
      <c r="K572" s="45"/>
      <c r="L572" s="44"/>
      <c r="M572" s="45"/>
      <c r="N572" s="45"/>
      <c r="O572" s="45"/>
      <c r="P572" s="45"/>
      <c r="Q572" s="45"/>
      <c r="R572" s="45"/>
      <c r="S572" s="45"/>
      <c r="T572" s="45"/>
      <c r="U572" s="45"/>
      <c r="V572" s="45"/>
      <c r="W572" s="173"/>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row>
    <row r="573" spans="1:46" x14ac:dyDescent="0.3">
      <c r="A573" s="173"/>
      <c r="B573" s="44"/>
      <c r="C573" s="45"/>
      <c r="D573" s="45"/>
      <c r="E573" s="45"/>
      <c r="F573" s="45"/>
      <c r="G573" s="45"/>
      <c r="H573" s="44"/>
      <c r="I573" s="44"/>
      <c r="J573" s="45"/>
      <c r="K573" s="45"/>
      <c r="L573" s="44"/>
      <c r="M573" s="45"/>
      <c r="N573" s="45"/>
      <c r="O573" s="45"/>
      <c r="P573" s="45"/>
      <c r="Q573" s="45"/>
      <c r="R573" s="45"/>
      <c r="S573" s="45"/>
      <c r="T573" s="45"/>
      <c r="U573" s="45"/>
      <c r="V573" s="45"/>
      <c r="W573" s="173"/>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row>
    <row r="574" spans="1:46" x14ac:dyDescent="0.3">
      <c r="A574" s="173"/>
      <c r="B574" s="44"/>
      <c r="C574" s="45"/>
      <c r="D574" s="45"/>
      <c r="E574" s="45"/>
      <c r="F574" s="45"/>
      <c r="G574" s="45"/>
      <c r="H574" s="44"/>
      <c r="I574" s="44"/>
      <c r="J574" s="45"/>
      <c r="K574" s="45"/>
      <c r="L574" s="44"/>
      <c r="M574" s="45"/>
      <c r="N574" s="45"/>
      <c r="O574" s="45"/>
      <c r="P574" s="45"/>
      <c r="Q574" s="45"/>
      <c r="R574" s="45"/>
      <c r="S574" s="45"/>
      <c r="T574" s="45"/>
      <c r="U574" s="45"/>
      <c r="V574" s="45"/>
      <c r="W574" s="173"/>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row>
    <row r="575" spans="1:46" x14ac:dyDescent="0.3">
      <c r="A575" s="173"/>
      <c r="B575" s="44"/>
      <c r="C575" s="45"/>
      <c r="D575" s="45"/>
      <c r="E575" s="45"/>
      <c r="F575" s="45"/>
      <c r="G575" s="45"/>
      <c r="H575" s="44"/>
      <c r="I575" s="44"/>
      <c r="J575" s="45"/>
      <c r="K575" s="45"/>
      <c r="L575" s="44"/>
      <c r="M575" s="45"/>
      <c r="N575" s="45"/>
      <c r="O575" s="45"/>
      <c r="P575" s="45"/>
      <c r="Q575" s="45"/>
      <c r="R575" s="45"/>
      <c r="S575" s="45"/>
      <c r="T575" s="45"/>
      <c r="U575" s="45"/>
      <c r="V575" s="45"/>
      <c r="W575" s="173"/>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row>
    <row r="576" spans="1:46" x14ac:dyDescent="0.3">
      <c r="A576" s="173"/>
      <c r="B576" s="44"/>
      <c r="C576" s="45"/>
      <c r="D576" s="45"/>
      <c r="E576" s="45"/>
      <c r="F576" s="45"/>
      <c r="G576" s="45"/>
      <c r="H576" s="44"/>
      <c r="I576" s="44"/>
      <c r="J576" s="45"/>
      <c r="K576" s="45"/>
      <c r="L576" s="44"/>
      <c r="M576" s="45"/>
      <c r="N576" s="45"/>
      <c r="O576" s="45"/>
      <c r="P576" s="45"/>
      <c r="Q576" s="45"/>
      <c r="R576" s="45"/>
      <c r="S576" s="45"/>
      <c r="T576" s="45"/>
      <c r="U576" s="45"/>
      <c r="V576" s="45"/>
      <c r="W576" s="173"/>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row>
    <row r="577" spans="1:46" x14ac:dyDescent="0.3">
      <c r="A577" s="173"/>
      <c r="B577" s="44"/>
      <c r="C577" s="45"/>
      <c r="D577" s="45"/>
      <c r="E577" s="45"/>
      <c r="F577" s="45"/>
      <c r="G577" s="45"/>
      <c r="H577" s="44"/>
      <c r="I577" s="44"/>
      <c r="J577" s="45"/>
      <c r="K577" s="45"/>
      <c r="L577" s="44"/>
      <c r="M577" s="45"/>
      <c r="N577" s="45"/>
      <c r="O577" s="45"/>
      <c r="P577" s="45"/>
      <c r="Q577" s="45"/>
      <c r="R577" s="45"/>
      <c r="S577" s="45"/>
      <c r="T577" s="45"/>
      <c r="U577" s="45"/>
      <c r="V577" s="45"/>
      <c r="W577" s="173"/>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row>
    <row r="578" spans="1:46" x14ac:dyDescent="0.3">
      <c r="A578" s="173"/>
      <c r="B578" s="44"/>
      <c r="C578" s="45"/>
      <c r="D578" s="45"/>
      <c r="E578" s="45"/>
      <c r="F578" s="45"/>
      <c r="G578" s="45"/>
      <c r="H578" s="44"/>
      <c r="I578" s="44"/>
      <c r="J578" s="45"/>
      <c r="K578" s="45"/>
      <c r="L578" s="44"/>
      <c r="M578" s="45"/>
      <c r="N578" s="45"/>
      <c r="O578" s="45"/>
      <c r="P578" s="45"/>
      <c r="Q578" s="45"/>
      <c r="R578" s="45"/>
      <c r="S578" s="45"/>
      <c r="T578" s="45"/>
      <c r="U578" s="45"/>
      <c r="V578" s="45"/>
      <c r="W578" s="173"/>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row>
    <row r="579" spans="1:46" x14ac:dyDescent="0.3">
      <c r="A579" s="173"/>
      <c r="B579" s="44"/>
      <c r="C579" s="45"/>
      <c r="D579" s="45"/>
      <c r="E579" s="45"/>
      <c r="F579" s="45"/>
      <c r="G579" s="45"/>
      <c r="H579" s="44"/>
      <c r="I579" s="44"/>
      <c r="J579" s="45"/>
      <c r="K579" s="45"/>
      <c r="L579" s="44"/>
      <c r="M579" s="45"/>
      <c r="N579" s="45"/>
      <c r="O579" s="45"/>
      <c r="P579" s="45"/>
      <c r="Q579" s="45"/>
      <c r="R579" s="45"/>
      <c r="S579" s="45"/>
      <c r="T579" s="45"/>
      <c r="U579" s="45"/>
      <c r="V579" s="45"/>
      <c r="W579" s="173"/>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row>
    <row r="580" spans="1:46" x14ac:dyDescent="0.3">
      <c r="A580" s="173"/>
      <c r="B580" s="44"/>
      <c r="C580" s="45"/>
      <c r="D580" s="45"/>
      <c r="E580" s="45"/>
      <c r="F580" s="45"/>
      <c r="G580" s="45"/>
      <c r="H580" s="44"/>
      <c r="I580" s="44"/>
      <c r="J580" s="45"/>
      <c r="K580" s="45"/>
      <c r="L580" s="44"/>
      <c r="M580" s="45"/>
      <c r="N580" s="45"/>
      <c r="O580" s="45"/>
      <c r="P580" s="45"/>
      <c r="Q580" s="45"/>
      <c r="R580" s="45"/>
      <c r="S580" s="45"/>
      <c r="T580" s="45"/>
      <c r="U580" s="45"/>
      <c r="V580" s="45"/>
      <c r="W580" s="173"/>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row>
    <row r="581" spans="1:46" x14ac:dyDescent="0.3">
      <c r="A581" s="173"/>
      <c r="B581" s="44"/>
      <c r="C581" s="45"/>
      <c r="D581" s="45"/>
      <c r="E581" s="45"/>
      <c r="F581" s="45"/>
      <c r="G581" s="45"/>
      <c r="H581" s="44"/>
      <c r="I581" s="44"/>
      <c r="J581" s="45"/>
      <c r="K581" s="45"/>
      <c r="L581" s="44"/>
      <c r="M581" s="45"/>
      <c r="N581" s="45"/>
      <c r="O581" s="45"/>
      <c r="P581" s="45"/>
      <c r="Q581" s="45"/>
      <c r="R581" s="45"/>
      <c r="S581" s="45"/>
      <c r="T581" s="45"/>
      <c r="U581" s="45"/>
      <c r="V581" s="45"/>
      <c r="W581" s="173"/>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row>
    <row r="582" spans="1:46" x14ac:dyDescent="0.3">
      <c r="A582" s="173"/>
      <c r="B582" s="44"/>
      <c r="C582" s="45"/>
      <c r="D582" s="45"/>
      <c r="E582" s="45"/>
      <c r="F582" s="45"/>
      <c r="G582" s="45"/>
      <c r="H582" s="44"/>
      <c r="I582" s="44"/>
      <c r="J582" s="45"/>
      <c r="K582" s="45"/>
      <c r="L582" s="44"/>
      <c r="M582" s="45"/>
      <c r="N582" s="45"/>
      <c r="O582" s="45"/>
      <c r="P582" s="45"/>
      <c r="Q582" s="45"/>
      <c r="R582" s="45"/>
      <c r="S582" s="45"/>
      <c r="T582" s="45"/>
      <c r="U582" s="45"/>
      <c r="V582" s="45"/>
      <c r="W582" s="173"/>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row>
    <row r="583" spans="1:46" x14ac:dyDescent="0.3">
      <c r="A583" s="173"/>
      <c r="B583" s="44"/>
      <c r="C583" s="45"/>
      <c r="D583" s="45"/>
      <c r="E583" s="45"/>
      <c r="F583" s="45"/>
      <c r="G583" s="45"/>
      <c r="H583" s="44"/>
      <c r="I583" s="44"/>
      <c r="J583" s="45"/>
      <c r="K583" s="45"/>
      <c r="L583" s="44"/>
      <c r="M583" s="45"/>
      <c r="N583" s="45"/>
      <c r="O583" s="45"/>
      <c r="P583" s="45"/>
      <c r="Q583" s="45"/>
      <c r="R583" s="45"/>
      <c r="S583" s="45"/>
      <c r="T583" s="45"/>
      <c r="U583" s="45"/>
      <c r="V583" s="45"/>
      <c r="W583" s="173"/>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row>
    <row r="584" spans="1:46" x14ac:dyDescent="0.3">
      <c r="A584" s="173"/>
      <c r="B584" s="44"/>
      <c r="C584" s="45"/>
      <c r="D584" s="45"/>
      <c r="E584" s="45"/>
      <c r="F584" s="45"/>
      <c r="G584" s="45"/>
      <c r="H584" s="44"/>
      <c r="I584" s="44"/>
      <c r="J584" s="45"/>
      <c r="K584" s="45"/>
      <c r="L584" s="44"/>
      <c r="M584" s="45"/>
      <c r="N584" s="45"/>
      <c r="O584" s="45"/>
      <c r="P584" s="45"/>
      <c r="Q584" s="45"/>
      <c r="R584" s="45"/>
      <c r="S584" s="45"/>
      <c r="T584" s="45"/>
      <c r="U584" s="45"/>
      <c r="V584" s="45"/>
      <c r="W584" s="173"/>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row>
    <row r="585" spans="1:46" x14ac:dyDescent="0.3">
      <c r="A585" s="173"/>
      <c r="B585" s="44"/>
      <c r="C585" s="45"/>
      <c r="D585" s="45"/>
      <c r="E585" s="45"/>
      <c r="F585" s="45"/>
      <c r="G585" s="45"/>
      <c r="H585" s="44"/>
      <c r="I585" s="44"/>
      <c r="J585" s="45"/>
      <c r="K585" s="45"/>
      <c r="L585" s="44"/>
      <c r="M585" s="45"/>
      <c r="N585" s="45"/>
      <c r="O585" s="45"/>
      <c r="P585" s="45"/>
      <c r="Q585" s="45"/>
      <c r="R585" s="45"/>
      <c r="S585" s="45"/>
      <c r="T585" s="45"/>
      <c r="U585" s="45"/>
      <c r="V585" s="45"/>
      <c r="W585" s="173"/>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row>
    <row r="586" spans="1:46" x14ac:dyDescent="0.3">
      <c r="A586" s="173"/>
      <c r="B586" s="44"/>
      <c r="C586" s="45"/>
      <c r="D586" s="45"/>
      <c r="E586" s="45"/>
      <c r="F586" s="45"/>
      <c r="G586" s="45"/>
      <c r="H586" s="44"/>
      <c r="I586" s="44"/>
      <c r="J586" s="45"/>
      <c r="K586" s="45"/>
      <c r="L586" s="44"/>
      <c r="M586" s="45"/>
      <c r="N586" s="45"/>
      <c r="O586" s="45"/>
      <c r="P586" s="45"/>
      <c r="Q586" s="45"/>
      <c r="R586" s="45"/>
      <c r="S586" s="45"/>
      <c r="T586" s="45"/>
      <c r="U586" s="45"/>
      <c r="V586" s="45"/>
      <c r="W586" s="173"/>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row>
    <row r="587" spans="1:46" x14ac:dyDescent="0.3">
      <c r="A587" s="173"/>
      <c r="B587" s="44"/>
      <c r="C587" s="45"/>
      <c r="D587" s="45"/>
      <c r="E587" s="45"/>
      <c r="F587" s="45"/>
      <c r="G587" s="45"/>
      <c r="H587" s="44"/>
      <c r="I587" s="44"/>
      <c r="J587" s="45"/>
      <c r="K587" s="45"/>
      <c r="L587" s="44"/>
      <c r="M587" s="45"/>
      <c r="N587" s="45"/>
      <c r="O587" s="45"/>
      <c r="P587" s="45"/>
      <c r="Q587" s="45"/>
      <c r="R587" s="45"/>
      <c r="S587" s="45"/>
      <c r="T587" s="45"/>
      <c r="U587" s="45"/>
      <c r="V587" s="45"/>
      <c r="W587" s="173"/>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row>
    <row r="588" spans="1:46" x14ac:dyDescent="0.3">
      <c r="A588" s="173"/>
      <c r="B588" s="44"/>
      <c r="C588" s="45"/>
      <c r="D588" s="45"/>
      <c r="E588" s="45"/>
      <c r="F588" s="45"/>
      <c r="G588" s="45"/>
      <c r="H588" s="44"/>
      <c r="I588" s="44"/>
      <c r="J588" s="45"/>
      <c r="K588" s="45"/>
      <c r="L588" s="44"/>
      <c r="M588" s="45"/>
      <c r="N588" s="45"/>
      <c r="O588" s="45"/>
      <c r="P588" s="45"/>
      <c r="Q588" s="45"/>
      <c r="R588" s="45"/>
      <c r="S588" s="45"/>
      <c r="T588" s="45"/>
      <c r="U588" s="45"/>
      <c r="V588" s="45"/>
      <c r="W588" s="173"/>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row>
    <row r="589" spans="1:46" x14ac:dyDescent="0.3">
      <c r="A589" s="173"/>
      <c r="B589" s="44"/>
      <c r="C589" s="45"/>
      <c r="D589" s="45"/>
      <c r="E589" s="45"/>
      <c r="F589" s="45"/>
      <c r="G589" s="45"/>
      <c r="H589" s="44"/>
      <c r="I589" s="44"/>
      <c r="J589" s="45"/>
      <c r="K589" s="45"/>
      <c r="L589" s="44"/>
      <c r="M589" s="45"/>
      <c r="N589" s="45"/>
      <c r="O589" s="45"/>
      <c r="P589" s="45"/>
      <c r="Q589" s="45"/>
      <c r="R589" s="45"/>
      <c r="S589" s="45"/>
      <c r="T589" s="45"/>
      <c r="U589" s="45"/>
      <c r="V589" s="45"/>
      <c r="W589" s="173"/>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row>
    <row r="590" spans="1:46" x14ac:dyDescent="0.3">
      <c r="A590" s="173"/>
      <c r="B590" s="44"/>
      <c r="C590" s="45"/>
      <c r="D590" s="45"/>
      <c r="E590" s="45"/>
      <c r="F590" s="45"/>
      <c r="G590" s="45"/>
      <c r="H590" s="44"/>
      <c r="I590" s="44"/>
      <c r="J590" s="45"/>
      <c r="K590" s="45"/>
      <c r="L590" s="44"/>
      <c r="M590" s="45"/>
      <c r="N590" s="45"/>
      <c r="O590" s="45"/>
      <c r="P590" s="45"/>
      <c r="Q590" s="45"/>
      <c r="R590" s="45"/>
      <c r="S590" s="45"/>
      <c r="T590" s="45"/>
      <c r="U590" s="45"/>
      <c r="V590" s="45"/>
      <c r="W590" s="173"/>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row>
    <row r="591" spans="1:46" x14ac:dyDescent="0.3">
      <c r="A591" s="173"/>
      <c r="B591" s="44"/>
      <c r="C591" s="45"/>
      <c r="D591" s="45"/>
      <c r="E591" s="45"/>
      <c r="F591" s="45"/>
      <c r="G591" s="45"/>
      <c r="H591" s="44"/>
      <c r="I591" s="44"/>
      <c r="J591" s="45"/>
      <c r="K591" s="45"/>
      <c r="L591" s="44"/>
      <c r="M591" s="45"/>
      <c r="N591" s="45"/>
      <c r="O591" s="45"/>
      <c r="P591" s="45"/>
      <c r="Q591" s="45"/>
      <c r="R591" s="45"/>
      <c r="S591" s="45"/>
      <c r="T591" s="45"/>
      <c r="U591" s="45"/>
      <c r="V591" s="45"/>
      <c r="W591" s="173"/>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row>
    <row r="592" spans="1:46" x14ac:dyDescent="0.3">
      <c r="A592" s="173"/>
      <c r="B592" s="44"/>
      <c r="C592" s="45"/>
      <c r="D592" s="45"/>
      <c r="E592" s="45"/>
      <c r="F592" s="45"/>
      <c r="G592" s="45"/>
      <c r="H592" s="44"/>
      <c r="I592" s="44"/>
      <c r="J592" s="45"/>
      <c r="K592" s="45"/>
      <c r="L592" s="44"/>
      <c r="M592" s="45"/>
      <c r="N592" s="45"/>
      <c r="O592" s="45"/>
      <c r="P592" s="45"/>
      <c r="Q592" s="45"/>
      <c r="R592" s="45"/>
      <c r="S592" s="45"/>
      <c r="T592" s="45"/>
      <c r="U592" s="45"/>
      <c r="V592" s="45"/>
      <c r="W592" s="173"/>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row>
    <row r="593" spans="1:46" x14ac:dyDescent="0.3">
      <c r="A593" s="173"/>
      <c r="B593" s="44"/>
      <c r="C593" s="45"/>
      <c r="D593" s="45"/>
      <c r="E593" s="45"/>
      <c r="F593" s="45"/>
      <c r="G593" s="45"/>
      <c r="H593" s="44"/>
      <c r="I593" s="44"/>
      <c r="J593" s="45"/>
      <c r="K593" s="45"/>
      <c r="L593" s="44"/>
      <c r="M593" s="45"/>
      <c r="N593" s="45"/>
      <c r="O593" s="45"/>
      <c r="P593" s="45"/>
      <c r="Q593" s="45"/>
      <c r="R593" s="45"/>
      <c r="S593" s="45"/>
      <c r="T593" s="45"/>
      <c r="U593" s="45"/>
      <c r="V593" s="45"/>
      <c r="W593" s="173"/>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row>
    <row r="594" spans="1:46" x14ac:dyDescent="0.3">
      <c r="A594" s="173"/>
      <c r="B594" s="44"/>
      <c r="C594" s="45"/>
      <c r="D594" s="45"/>
      <c r="E594" s="45"/>
      <c r="F594" s="45"/>
      <c r="G594" s="45"/>
      <c r="H594" s="44"/>
      <c r="I594" s="44"/>
      <c r="J594" s="45"/>
      <c r="K594" s="45"/>
      <c r="L594" s="44"/>
      <c r="M594" s="45"/>
      <c r="N594" s="45"/>
      <c r="O594" s="45"/>
      <c r="P594" s="45"/>
      <c r="Q594" s="45"/>
      <c r="R594" s="45"/>
      <c r="S594" s="45"/>
      <c r="T594" s="45"/>
      <c r="U594" s="45"/>
      <c r="V594" s="45"/>
      <c r="W594" s="173"/>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row>
    <row r="595" spans="1:46" x14ac:dyDescent="0.3">
      <c r="A595" s="173"/>
      <c r="B595" s="44"/>
      <c r="C595" s="45"/>
      <c r="D595" s="45"/>
      <c r="E595" s="45"/>
      <c r="F595" s="45"/>
      <c r="G595" s="45"/>
      <c r="H595" s="44"/>
      <c r="I595" s="44"/>
      <c r="J595" s="45"/>
      <c r="K595" s="45"/>
      <c r="L595" s="44"/>
      <c r="M595" s="45"/>
      <c r="N595" s="45"/>
      <c r="O595" s="45"/>
      <c r="P595" s="45"/>
      <c r="Q595" s="45"/>
      <c r="R595" s="45"/>
      <c r="S595" s="45"/>
      <c r="T595" s="45"/>
      <c r="U595" s="45"/>
      <c r="V595" s="45"/>
      <c r="W595" s="173"/>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row>
    <row r="596" spans="1:46" x14ac:dyDescent="0.3">
      <c r="A596" s="173"/>
      <c r="B596" s="44"/>
      <c r="C596" s="45"/>
      <c r="D596" s="45"/>
      <c r="E596" s="45"/>
      <c r="F596" s="45"/>
      <c r="G596" s="45"/>
      <c r="H596" s="44"/>
      <c r="I596" s="44"/>
      <c r="J596" s="45"/>
      <c r="K596" s="45"/>
      <c r="L596" s="44"/>
      <c r="M596" s="45"/>
      <c r="N596" s="45"/>
      <c r="O596" s="45"/>
      <c r="P596" s="45"/>
      <c r="Q596" s="45"/>
      <c r="R596" s="45"/>
      <c r="S596" s="45"/>
      <c r="T596" s="45"/>
      <c r="U596" s="45"/>
      <c r="V596" s="45"/>
      <c r="W596" s="173"/>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row>
    <row r="597" spans="1:46" x14ac:dyDescent="0.3">
      <c r="A597" s="173"/>
      <c r="B597" s="44"/>
      <c r="C597" s="45"/>
      <c r="D597" s="45"/>
      <c r="E597" s="45"/>
      <c r="F597" s="45"/>
      <c r="G597" s="45"/>
      <c r="H597" s="44"/>
      <c r="I597" s="44"/>
      <c r="J597" s="45"/>
      <c r="K597" s="45"/>
      <c r="L597" s="44"/>
      <c r="M597" s="45"/>
      <c r="N597" s="45"/>
      <c r="O597" s="45"/>
      <c r="P597" s="45"/>
      <c r="Q597" s="45"/>
      <c r="R597" s="45"/>
      <c r="S597" s="45"/>
      <c r="T597" s="45"/>
      <c r="U597" s="45"/>
      <c r="V597" s="45"/>
      <c r="W597" s="173"/>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row>
    <row r="598" spans="1:46" x14ac:dyDescent="0.3">
      <c r="A598" s="173"/>
      <c r="B598" s="44"/>
      <c r="C598" s="45"/>
      <c r="D598" s="45"/>
      <c r="E598" s="45"/>
      <c r="F598" s="45"/>
      <c r="G598" s="45"/>
      <c r="H598" s="44"/>
      <c r="I598" s="44"/>
      <c r="J598" s="45"/>
      <c r="K598" s="45"/>
      <c r="L598" s="44"/>
      <c r="M598" s="45"/>
      <c r="N598" s="45"/>
      <c r="O598" s="45"/>
      <c r="P598" s="45"/>
      <c r="Q598" s="45"/>
      <c r="R598" s="45"/>
      <c r="S598" s="45"/>
      <c r="T598" s="45"/>
      <c r="U598" s="45"/>
      <c r="V598" s="45"/>
      <c r="W598" s="173"/>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row>
    <row r="599" spans="1:46" x14ac:dyDescent="0.3">
      <c r="A599" s="173"/>
      <c r="B599" s="44"/>
      <c r="C599" s="45"/>
      <c r="D599" s="45"/>
      <c r="E599" s="45"/>
      <c r="F599" s="45"/>
      <c r="G599" s="45"/>
      <c r="H599" s="44"/>
      <c r="I599" s="44"/>
      <c r="J599" s="45"/>
      <c r="K599" s="45"/>
      <c r="L599" s="44"/>
      <c r="M599" s="45"/>
      <c r="N599" s="45"/>
      <c r="O599" s="45"/>
      <c r="P599" s="45"/>
      <c r="Q599" s="45"/>
      <c r="R599" s="45"/>
      <c r="S599" s="45"/>
      <c r="T599" s="45"/>
      <c r="U599" s="45"/>
      <c r="V599" s="45"/>
      <c r="W599" s="173"/>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row>
    <row r="600" spans="1:46" x14ac:dyDescent="0.3">
      <c r="A600" s="173"/>
      <c r="B600" s="44"/>
      <c r="C600" s="45"/>
      <c r="D600" s="45"/>
      <c r="E600" s="45"/>
      <c r="F600" s="45"/>
      <c r="G600" s="45"/>
      <c r="H600" s="44"/>
      <c r="I600" s="44"/>
      <c r="J600" s="45"/>
      <c r="K600" s="45"/>
      <c r="L600" s="44"/>
      <c r="M600" s="45"/>
      <c r="N600" s="45"/>
      <c r="O600" s="45"/>
      <c r="P600" s="45"/>
      <c r="Q600" s="45"/>
      <c r="R600" s="45"/>
      <c r="S600" s="45"/>
      <c r="T600" s="45"/>
      <c r="U600" s="45"/>
      <c r="V600" s="45"/>
      <c r="W600" s="173"/>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row>
    <row r="601" spans="1:46" x14ac:dyDescent="0.3">
      <c r="A601" s="173"/>
      <c r="B601" s="44"/>
      <c r="C601" s="45"/>
      <c r="D601" s="45"/>
      <c r="E601" s="45"/>
      <c r="F601" s="45"/>
      <c r="G601" s="45"/>
      <c r="H601" s="44"/>
      <c r="I601" s="44"/>
      <c r="J601" s="45"/>
      <c r="K601" s="45"/>
      <c r="L601" s="44"/>
      <c r="M601" s="45"/>
      <c r="N601" s="45"/>
      <c r="O601" s="45"/>
      <c r="P601" s="45"/>
      <c r="Q601" s="45"/>
      <c r="R601" s="45"/>
      <c r="S601" s="45"/>
      <c r="T601" s="45"/>
      <c r="U601" s="45"/>
      <c r="V601" s="45"/>
      <c r="W601" s="173"/>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row>
    <row r="602" spans="1:46" x14ac:dyDescent="0.3">
      <c r="A602" s="173"/>
      <c r="B602" s="44"/>
      <c r="C602" s="45"/>
      <c r="D602" s="45"/>
      <c r="E602" s="45"/>
      <c r="F602" s="45"/>
      <c r="G602" s="45"/>
      <c r="H602" s="44"/>
      <c r="I602" s="44"/>
      <c r="J602" s="45"/>
      <c r="K602" s="45"/>
      <c r="L602" s="44"/>
      <c r="M602" s="45"/>
      <c r="N602" s="45"/>
      <c r="O602" s="45"/>
      <c r="P602" s="45"/>
      <c r="Q602" s="45"/>
      <c r="R602" s="45"/>
      <c r="S602" s="45"/>
      <c r="T602" s="45"/>
      <c r="U602" s="45"/>
      <c r="V602" s="45"/>
      <c r="W602" s="173"/>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row>
    <row r="603" spans="1:46" x14ac:dyDescent="0.3">
      <c r="A603" s="173"/>
      <c r="B603" s="44"/>
      <c r="C603" s="45"/>
      <c r="D603" s="45"/>
      <c r="E603" s="45"/>
      <c r="F603" s="45"/>
      <c r="G603" s="45"/>
      <c r="H603" s="44"/>
      <c r="I603" s="44"/>
      <c r="J603" s="45"/>
      <c r="K603" s="45"/>
      <c r="L603" s="44"/>
      <c r="M603" s="45"/>
      <c r="N603" s="45"/>
      <c r="O603" s="45"/>
      <c r="P603" s="45"/>
      <c r="Q603" s="45"/>
      <c r="R603" s="45"/>
      <c r="S603" s="45"/>
      <c r="T603" s="45"/>
      <c r="U603" s="45"/>
      <c r="V603" s="45"/>
      <c r="W603" s="173"/>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row>
    <row r="604" spans="1:46" x14ac:dyDescent="0.3">
      <c r="A604" s="173"/>
      <c r="B604" s="44"/>
      <c r="C604" s="45"/>
      <c r="D604" s="45"/>
      <c r="E604" s="45"/>
      <c r="F604" s="45"/>
      <c r="G604" s="45"/>
      <c r="H604" s="44"/>
      <c r="I604" s="44"/>
      <c r="J604" s="45"/>
      <c r="K604" s="45"/>
      <c r="L604" s="44"/>
      <c r="M604" s="45"/>
      <c r="N604" s="45"/>
      <c r="O604" s="45"/>
      <c r="P604" s="45"/>
      <c r="Q604" s="45"/>
      <c r="R604" s="45"/>
      <c r="S604" s="45"/>
      <c r="T604" s="45"/>
      <c r="U604" s="45"/>
      <c r="V604" s="45"/>
      <c r="W604" s="173"/>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row>
    <row r="605" spans="1:46" x14ac:dyDescent="0.3">
      <c r="A605" s="173"/>
      <c r="B605" s="44"/>
      <c r="C605" s="45"/>
      <c r="D605" s="45"/>
      <c r="E605" s="45"/>
      <c r="F605" s="45"/>
      <c r="G605" s="45"/>
      <c r="H605" s="44"/>
      <c r="I605" s="44"/>
      <c r="J605" s="45"/>
      <c r="K605" s="45"/>
      <c r="L605" s="44"/>
      <c r="M605" s="45"/>
      <c r="N605" s="45"/>
      <c r="O605" s="45"/>
      <c r="P605" s="45"/>
      <c r="Q605" s="45"/>
      <c r="R605" s="45"/>
      <c r="S605" s="45"/>
      <c r="T605" s="45"/>
      <c r="U605" s="45"/>
      <c r="V605" s="45"/>
      <c r="W605" s="173"/>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row>
    <row r="606" spans="1:46" x14ac:dyDescent="0.3">
      <c r="A606" s="173"/>
      <c r="B606" s="44"/>
      <c r="C606" s="45"/>
      <c r="D606" s="45"/>
      <c r="E606" s="45"/>
      <c r="F606" s="45"/>
      <c r="G606" s="45"/>
      <c r="H606" s="44"/>
      <c r="I606" s="44"/>
      <c r="J606" s="45"/>
      <c r="K606" s="45"/>
      <c r="L606" s="44"/>
      <c r="M606" s="45"/>
      <c r="N606" s="45"/>
      <c r="O606" s="45"/>
      <c r="P606" s="45"/>
      <c r="Q606" s="45"/>
      <c r="R606" s="45"/>
      <c r="S606" s="45"/>
      <c r="T606" s="45"/>
      <c r="U606" s="45"/>
      <c r="V606" s="45"/>
      <c r="W606" s="173"/>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row>
    <row r="607" spans="1:46" x14ac:dyDescent="0.3">
      <c r="A607" s="173"/>
      <c r="B607" s="44"/>
      <c r="C607" s="45"/>
      <c r="D607" s="45"/>
      <c r="E607" s="45"/>
      <c r="F607" s="45"/>
      <c r="G607" s="45"/>
      <c r="H607" s="44"/>
      <c r="I607" s="44"/>
      <c r="J607" s="45"/>
      <c r="K607" s="45"/>
      <c r="L607" s="44"/>
      <c r="M607" s="45"/>
      <c r="N607" s="45"/>
      <c r="O607" s="45"/>
      <c r="P607" s="45"/>
      <c r="Q607" s="45"/>
      <c r="R607" s="45"/>
      <c r="S607" s="45"/>
      <c r="T607" s="45"/>
      <c r="U607" s="45"/>
      <c r="V607" s="45"/>
      <c r="W607" s="173"/>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row>
    <row r="608" spans="1:46" x14ac:dyDescent="0.3">
      <c r="A608" s="173"/>
      <c r="B608" s="44"/>
      <c r="C608" s="45"/>
      <c r="D608" s="45"/>
      <c r="E608" s="45"/>
      <c r="F608" s="45"/>
      <c r="G608" s="45"/>
      <c r="H608" s="44"/>
      <c r="I608" s="44"/>
      <c r="J608" s="45"/>
      <c r="K608" s="45"/>
      <c r="L608" s="44"/>
      <c r="M608" s="45"/>
      <c r="N608" s="45"/>
      <c r="O608" s="45"/>
      <c r="P608" s="45"/>
      <c r="Q608" s="45"/>
      <c r="R608" s="45"/>
      <c r="S608" s="45"/>
      <c r="T608" s="45"/>
      <c r="U608" s="45"/>
      <c r="V608" s="45"/>
      <c r="W608" s="173"/>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row>
    <row r="609" spans="1:46" x14ac:dyDescent="0.3">
      <c r="A609" s="173"/>
      <c r="B609" s="44"/>
      <c r="C609" s="45"/>
      <c r="D609" s="45"/>
      <c r="E609" s="45"/>
      <c r="F609" s="45"/>
      <c r="G609" s="45"/>
      <c r="H609" s="44"/>
      <c r="I609" s="44"/>
      <c r="J609" s="45"/>
      <c r="K609" s="45"/>
      <c r="L609" s="44"/>
      <c r="M609" s="45"/>
      <c r="N609" s="45"/>
      <c r="O609" s="45"/>
      <c r="P609" s="45"/>
      <c r="Q609" s="45"/>
      <c r="R609" s="45"/>
      <c r="S609" s="45"/>
      <c r="T609" s="45"/>
      <c r="U609" s="45"/>
      <c r="V609" s="45"/>
      <c r="W609" s="173"/>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row>
    <row r="610" spans="1:46" x14ac:dyDescent="0.3">
      <c r="A610" s="173"/>
      <c r="B610" s="44"/>
      <c r="C610" s="45"/>
      <c r="D610" s="45"/>
      <c r="E610" s="45"/>
      <c r="F610" s="45"/>
      <c r="G610" s="45"/>
      <c r="H610" s="44"/>
      <c r="I610" s="44"/>
      <c r="J610" s="45"/>
      <c r="K610" s="45"/>
      <c r="L610" s="44"/>
      <c r="M610" s="45"/>
      <c r="N610" s="45"/>
      <c r="O610" s="45"/>
      <c r="P610" s="45"/>
      <c r="Q610" s="45"/>
      <c r="R610" s="45"/>
      <c r="S610" s="45"/>
      <c r="T610" s="45"/>
      <c r="U610" s="45"/>
      <c r="V610" s="45"/>
      <c r="W610" s="173"/>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row>
    <row r="611" spans="1:46" x14ac:dyDescent="0.3">
      <c r="A611" s="173"/>
      <c r="B611" s="44"/>
      <c r="C611" s="45"/>
      <c r="D611" s="45"/>
      <c r="E611" s="45"/>
      <c r="F611" s="45"/>
      <c r="G611" s="45"/>
      <c r="H611" s="44"/>
      <c r="I611" s="44"/>
      <c r="J611" s="45"/>
      <c r="K611" s="45"/>
      <c r="L611" s="44"/>
      <c r="M611" s="45"/>
      <c r="N611" s="45"/>
      <c r="O611" s="45"/>
      <c r="P611" s="45"/>
      <c r="Q611" s="45"/>
      <c r="R611" s="45"/>
      <c r="S611" s="45"/>
      <c r="T611" s="45"/>
      <c r="U611" s="45"/>
      <c r="V611" s="45"/>
      <c r="W611" s="173"/>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row>
    <row r="612" spans="1:46" x14ac:dyDescent="0.3">
      <c r="A612" s="173"/>
      <c r="B612" s="44"/>
      <c r="C612" s="45"/>
      <c r="D612" s="45"/>
      <c r="E612" s="45"/>
      <c r="F612" s="45"/>
      <c r="G612" s="45"/>
      <c r="H612" s="44"/>
      <c r="I612" s="44"/>
      <c r="J612" s="45"/>
      <c r="K612" s="45"/>
      <c r="L612" s="44"/>
      <c r="M612" s="45"/>
      <c r="N612" s="45"/>
      <c r="O612" s="45"/>
      <c r="P612" s="45"/>
      <c r="Q612" s="45"/>
      <c r="R612" s="45"/>
      <c r="S612" s="45"/>
      <c r="T612" s="45"/>
      <c r="U612" s="45"/>
      <c r="V612" s="45"/>
      <c r="W612" s="173"/>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row>
    <row r="613" spans="1:46" x14ac:dyDescent="0.3">
      <c r="A613" s="173"/>
      <c r="B613" s="44"/>
      <c r="C613" s="45"/>
      <c r="D613" s="45"/>
      <c r="E613" s="45"/>
      <c r="F613" s="45"/>
      <c r="G613" s="45"/>
      <c r="H613" s="44"/>
      <c r="I613" s="44"/>
      <c r="J613" s="45"/>
      <c r="K613" s="45"/>
      <c r="L613" s="44"/>
      <c r="M613" s="45"/>
      <c r="N613" s="45"/>
      <c r="O613" s="45"/>
      <c r="P613" s="45"/>
      <c r="Q613" s="45"/>
      <c r="R613" s="45"/>
      <c r="S613" s="45"/>
      <c r="T613" s="45"/>
      <c r="U613" s="45"/>
      <c r="V613" s="45"/>
      <c r="W613" s="173"/>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row>
    <row r="614" spans="1:46" x14ac:dyDescent="0.3">
      <c r="A614" s="173"/>
      <c r="B614" s="44"/>
      <c r="C614" s="45"/>
      <c r="D614" s="45"/>
      <c r="E614" s="45"/>
      <c r="F614" s="45"/>
      <c r="G614" s="45"/>
      <c r="H614" s="44"/>
      <c r="I614" s="44"/>
      <c r="J614" s="45"/>
      <c r="K614" s="45"/>
      <c r="L614" s="44"/>
      <c r="M614" s="45"/>
      <c r="N614" s="45"/>
      <c r="O614" s="45"/>
      <c r="P614" s="45"/>
      <c r="Q614" s="45"/>
      <c r="R614" s="45"/>
      <c r="S614" s="45"/>
      <c r="T614" s="45"/>
      <c r="U614" s="45"/>
      <c r="V614" s="45"/>
      <c r="W614" s="173"/>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row>
    <row r="615" spans="1:46" x14ac:dyDescent="0.3">
      <c r="A615" s="173"/>
      <c r="B615" s="44"/>
      <c r="C615" s="45"/>
      <c r="D615" s="45"/>
      <c r="E615" s="45"/>
      <c r="F615" s="45"/>
      <c r="G615" s="45"/>
      <c r="H615" s="44"/>
      <c r="I615" s="44"/>
      <c r="J615" s="45"/>
      <c r="K615" s="45"/>
      <c r="L615" s="44"/>
      <c r="M615" s="45"/>
      <c r="N615" s="45"/>
      <c r="O615" s="45"/>
      <c r="P615" s="45"/>
      <c r="Q615" s="45"/>
      <c r="R615" s="45"/>
      <c r="S615" s="45"/>
      <c r="T615" s="45"/>
      <c r="U615" s="45"/>
      <c r="V615" s="45"/>
      <c r="W615" s="173"/>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row>
    <row r="616" spans="1:46" x14ac:dyDescent="0.3">
      <c r="A616" s="173"/>
      <c r="B616" s="44"/>
      <c r="C616" s="45"/>
      <c r="D616" s="45"/>
      <c r="E616" s="45"/>
      <c r="F616" s="45"/>
      <c r="G616" s="45"/>
      <c r="H616" s="44"/>
      <c r="I616" s="44"/>
      <c r="J616" s="45"/>
      <c r="K616" s="45"/>
      <c r="L616" s="44"/>
      <c r="M616" s="45"/>
      <c r="N616" s="45"/>
      <c r="O616" s="45"/>
      <c r="P616" s="45"/>
      <c r="Q616" s="45"/>
      <c r="R616" s="45"/>
      <c r="S616" s="45"/>
      <c r="T616" s="45"/>
      <c r="U616" s="45"/>
      <c r="V616" s="45"/>
      <c r="W616" s="173"/>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row>
    <row r="617" spans="1:46" x14ac:dyDescent="0.3">
      <c r="A617" s="173"/>
      <c r="B617" s="44"/>
      <c r="C617" s="45"/>
      <c r="D617" s="45"/>
      <c r="E617" s="45"/>
      <c r="F617" s="45"/>
      <c r="G617" s="45"/>
      <c r="H617" s="44"/>
      <c r="I617" s="44"/>
      <c r="J617" s="45"/>
      <c r="K617" s="45"/>
      <c r="L617" s="44"/>
      <c r="M617" s="45"/>
      <c r="N617" s="45"/>
      <c r="O617" s="45"/>
      <c r="P617" s="45"/>
      <c r="Q617" s="45"/>
      <c r="R617" s="45"/>
      <c r="S617" s="45"/>
      <c r="T617" s="45"/>
      <c r="U617" s="45"/>
      <c r="V617" s="45"/>
      <c r="W617" s="173"/>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row>
    <row r="618" spans="1:46" x14ac:dyDescent="0.3">
      <c r="A618" s="173"/>
      <c r="B618" s="44"/>
      <c r="C618" s="45"/>
      <c r="D618" s="45"/>
      <c r="E618" s="45"/>
      <c r="F618" s="45"/>
      <c r="G618" s="45"/>
      <c r="H618" s="44"/>
      <c r="I618" s="44"/>
      <c r="J618" s="45"/>
      <c r="K618" s="45"/>
      <c r="L618" s="44"/>
      <c r="M618" s="45"/>
      <c r="N618" s="45"/>
      <c r="O618" s="45"/>
      <c r="P618" s="45"/>
      <c r="Q618" s="45"/>
      <c r="R618" s="45"/>
      <c r="S618" s="45"/>
      <c r="T618" s="45"/>
      <c r="U618" s="45"/>
      <c r="V618" s="45"/>
      <c r="W618" s="173"/>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row>
    <row r="619" spans="1:46" x14ac:dyDescent="0.3">
      <c r="A619" s="173"/>
      <c r="B619" s="44"/>
      <c r="C619" s="45"/>
      <c r="D619" s="45"/>
      <c r="E619" s="45"/>
      <c r="F619" s="45"/>
      <c r="G619" s="45"/>
      <c r="H619" s="44"/>
      <c r="I619" s="44"/>
      <c r="J619" s="45"/>
      <c r="K619" s="45"/>
      <c r="L619" s="44"/>
      <c r="M619" s="45"/>
      <c r="N619" s="45"/>
      <c r="O619" s="45"/>
      <c r="P619" s="45"/>
      <c r="Q619" s="45"/>
      <c r="R619" s="45"/>
      <c r="S619" s="45"/>
      <c r="T619" s="45"/>
      <c r="U619" s="45"/>
      <c r="V619" s="45"/>
      <c r="W619" s="173"/>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row>
    <row r="620" spans="1:46" x14ac:dyDescent="0.3">
      <c r="A620" s="173"/>
      <c r="B620" s="44"/>
      <c r="C620" s="45"/>
      <c r="D620" s="45"/>
      <c r="E620" s="45"/>
      <c r="F620" s="45"/>
      <c r="G620" s="45"/>
      <c r="H620" s="44"/>
      <c r="I620" s="44"/>
      <c r="J620" s="45"/>
      <c r="K620" s="45"/>
      <c r="L620" s="44"/>
      <c r="M620" s="45"/>
      <c r="N620" s="45"/>
      <c r="O620" s="45"/>
      <c r="P620" s="45"/>
      <c r="Q620" s="45"/>
      <c r="R620" s="45"/>
      <c r="S620" s="45"/>
      <c r="T620" s="45"/>
      <c r="U620" s="45"/>
      <c r="V620" s="45"/>
      <c r="W620" s="173"/>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row>
    <row r="621" spans="1:46" x14ac:dyDescent="0.3">
      <c r="A621" s="173"/>
      <c r="B621" s="44"/>
      <c r="C621" s="45"/>
      <c r="D621" s="45"/>
      <c r="E621" s="45"/>
      <c r="F621" s="45"/>
      <c r="G621" s="45"/>
      <c r="H621" s="44"/>
      <c r="I621" s="44"/>
      <c r="J621" s="45"/>
      <c r="K621" s="45"/>
      <c r="L621" s="44"/>
      <c r="M621" s="45"/>
      <c r="N621" s="45"/>
      <c r="O621" s="45"/>
      <c r="P621" s="45"/>
      <c r="Q621" s="45"/>
      <c r="R621" s="45"/>
      <c r="S621" s="45"/>
      <c r="T621" s="45"/>
      <c r="U621" s="45"/>
      <c r="V621" s="45"/>
      <c r="W621" s="173"/>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row>
    <row r="622" spans="1:46" x14ac:dyDescent="0.3">
      <c r="A622" s="173"/>
      <c r="B622" s="44"/>
      <c r="C622" s="45"/>
      <c r="D622" s="45"/>
      <c r="E622" s="45"/>
      <c r="F622" s="45"/>
      <c r="G622" s="45"/>
      <c r="H622" s="44"/>
      <c r="I622" s="44"/>
      <c r="J622" s="45"/>
      <c r="K622" s="45"/>
      <c r="L622" s="44"/>
      <c r="M622" s="45"/>
      <c r="N622" s="45"/>
      <c r="O622" s="45"/>
      <c r="P622" s="45"/>
      <c r="Q622" s="45"/>
      <c r="R622" s="45"/>
      <c r="S622" s="45"/>
      <c r="T622" s="45"/>
      <c r="U622" s="45"/>
      <c r="V622" s="45"/>
      <c r="W622" s="173"/>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row>
    <row r="623" spans="1:46" x14ac:dyDescent="0.3">
      <c r="A623" s="173"/>
      <c r="B623" s="44"/>
      <c r="C623" s="45"/>
      <c r="D623" s="45"/>
      <c r="E623" s="45"/>
      <c r="F623" s="45"/>
      <c r="G623" s="45"/>
      <c r="H623" s="44"/>
      <c r="I623" s="44"/>
      <c r="J623" s="45"/>
      <c r="K623" s="45"/>
      <c r="L623" s="44"/>
      <c r="M623" s="45"/>
      <c r="N623" s="45"/>
      <c r="O623" s="45"/>
      <c r="P623" s="45"/>
      <c r="Q623" s="45"/>
      <c r="R623" s="45"/>
      <c r="S623" s="45"/>
      <c r="T623" s="45"/>
      <c r="U623" s="45"/>
      <c r="V623" s="45"/>
      <c r="W623" s="173"/>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row>
    <row r="624" spans="1:46" x14ac:dyDescent="0.3">
      <c r="A624" s="173"/>
      <c r="B624" s="44"/>
      <c r="C624" s="45"/>
      <c r="D624" s="45"/>
      <c r="E624" s="45"/>
      <c r="F624" s="45"/>
      <c r="G624" s="45"/>
      <c r="H624" s="44"/>
      <c r="I624" s="44"/>
      <c r="J624" s="45"/>
      <c r="K624" s="45"/>
      <c r="L624" s="44"/>
      <c r="M624" s="45"/>
      <c r="N624" s="45"/>
      <c r="O624" s="45"/>
      <c r="P624" s="45"/>
      <c r="Q624" s="45"/>
      <c r="R624" s="45"/>
      <c r="S624" s="45"/>
      <c r="T624" s="45"/>
      <c r="U624" s="45"/>
      <c r="V624" s="45"/>
      <c r="W624" s="173"/>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row>
    <row r="625" spans="1:46" x14ac:dyDescent="0.3">
      <c r="A625" s="173"/>
      <c r="B625" s="44"/>
      <c r="C625" s="45"/>
      <c r="D625" s="45"/>
      <c r="E625" s="45"/>
      <c r="F625" s="45"/>
      <c r="G625" s="45"/>
      <c r="H625" s="44"/>
      <c r="I625" s="44"/>
      <c r="J625" s="45"/>
      <c r="K625" s="45"/>
      <c r="L625" s="44"/>
      <c r="M625" s="45"/>
      <c r="N625" s="45"/>
      <c r="O625" s="45"/>
      <c r="P625" s="45"/>
      <c r="Q625" s="45"/>
      <c r="R625" s="45"/>
      <c r="S625" s="45"/>
      <c r="T625" s="45"/>
      <c r="U625" s="45"/>
      <c r="V625" s="45"/>
      <c r="W625" s="173"/>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row>
    <row r="626" spans="1:46" x14ac:dyDescent="0.3">
      <c r="A626" s="173"/>
      <c r="B626" s="44"/>
      <c r="C626" s="45"/>
      <c r="D626" s="45"/>
      <c r="E626" s="45"/>
      <c r="F626" s="45"/>
      <c r="G626" s="45"/>
      <c r="H626" s="44"/>
      <c r="I626" s="44"/>
      <c r="J626" s="45"/>
      <c r="K626" s="45"/>
      <c r="L626" s="44"/>
      <c r="M626" s="45"/>
      <c r="N626" s="45"/>
      <c r="O626" s="45"/>
      <c r="P626" s="45"/>
      <c r="Q626" s="45"/>
      <c r="R626" s="45"/>
      <c r="S626" s="45"/>
      <c r="T626" s="45"/>
      <c r="U626" s="45"/>
      <c r="V626" s="45"/>
      <c r="W626" s="173"/>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row>
    <row r="627" spans="1:46" x14ac:dyDescent="0.3">
      <c r="A627" s="173"/>
      <c r="B627" s="44"/>
      <c r="C627" s="45"/>
      <c r="D627" s="45"/>
      <c r="E627" s="45"/>
      <c r="F627" s="45"/>
      <c r="G627" s="45"/>
      <c r="H627" s="44"/>
      <c r="I627" s="44"/>
      <c r="J627" s="45"/>
      <c r="K627" s="45"/>
      <c r="L627" s="44"/>
      <c r="M627" s="45"/>
      <c r="N627" s="45"/>
      <c r="O627" s="45"/>
      <c r="P627" s="45"/>
      <c r="Q627" s="45"/>
      <c r="R627" s="45"/>
      <c r="S627" s="45"/>
      <c r="T627" s="45"/>
      <c r="U627" s="45"/>
      <c r="V627" s="45"/>
      <c r="W627" s="173"/>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row>
    <row r="628" spans="1:46" x14ac:dyDescent="0.3">
      <c r="A628" s="173"/>
      <c r="B628" s="44"/>
      <c r="C628" s="45"/>
      <c r="D628" s="45"/>
      <c r="E628" s="45"/>
      <c r="F628" s="45"/>
      <c r="G628" s="45"/>
      <c r="H628" s="44"/>
      <c r="I628" s="44"/>
      <c r="J628" s="45"/>
      <c r="K628" s="45"/>
      <c r="L628" s="44"/>
      <c r="M628" s="45"/>
      <c r="N628" s="45"/>
      <c r="O628" s="45"/>
      <c r="P628" s="45"/>
      <c r="Q628" s="45"/>
      <c r="R628" s="45"/>
      <c r="S628" s="45"/>
      <c r="T628" s="45"/>
      <c r="U628" s="45"/>
      <c r="V628" s="45"/>
      <c r="W628" s="173"/>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row>
    <row r="629" spans="1:46" x14ac:dyDescent="0.3">
      <c r="A629" s="173"/>
      <c r="B629" s="44"/>
      <c r="C629" s="45"/>
      <c r="D629" s="45"/>
      <c r="E629" s="45"/>
      <c r="F629" s="45"/>
      <c r="G629" s="45"/>
      <c r="H629" s="44"/>
      <c r="I629" s="44"/>
      <c r="J629" s="45"/>
      <c r="K629" s="45"/>
      <c r="L629" s="44"/>
      <c r="M629" s="45"/>
      <c r="N629" s="45"/>
      <c r="O629" s="45"/>
      <c r="P629" s="45"/>
      <c r="Q629" s="45"/>
      <c r="R629" s="45"/>
      <c r="S629" s="45"/>
      <c r="T629" s="45"/>
      <c r="U629" s="45"/>
      <c r="V629" s="45"/>
      <c r="W629" s="173"/>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row>
    <row r="630" spans="1:46" x14ac:dyDescent="0.3">
      <c r="A630" s="173"/>
      <c r="B630" s="44"/>
      <c r="C630" s="45"/>
      <c r="D630" s="45"/>
      <c r="E630" s="45"/>
      <c r="F630" s="45"/>
      <c r="G630" s="45"/>
      <c r="H630" s="44"/>
      <c r="I630" s="44"/>
      <c r="J630" s="45"/>
      <c r="K630" s="45"/>
      <c r="L630" s="44"/>
      <c r="M630" s="45"/>
      <c r="N630" s="45"/>
      <c r="O630" s="45"/>
      <c r="P630" s="45"/>
      <c r="Q630" s="45"/>
      <c r="R630" s="45"/>
      <c r="S630" s="45"/>
      <c r="T630" s="45"/>
      <c r="U630" s="45"/>
      <c r="V630" s="45"/>
      <c r="W630" s="173"/>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row>
    <row r="631" spans="1:46" x14ac:dyDescent="0.3">
      <c r="A631" s="173"/>
      <c r="B631" s="44"/>
      <c r="C631" s="45"/>
      <c r="D631" s="45"/>
      <c r="E631" s="45"/>
      <c r="F631" s="45"/>
      <c r="G631" s="45"/>
      <c r="H631" s="44"/>
      <c r="I631" s="44"/>
      <c r="J631" s="45"/>
      <c r="K631" s="45"/>
      <c r="L631" s="44"/>
      <c r="M631" s="45"/>
      <c r="N631" s="45"/>
      <c r="O631" s="45"/>
      <c r="P631" s="45"/>
      <c r="Q631" s="45"/>
      <c r="R631" s="45"/>
      <c r="S631" s="45"/>
      <c r="T631" s="45"/>
      <c r="U631" s="45"/>
      <c r="V631" s="45"/>
      <c r="W631" s="173"/>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row>
    <row r="632" spans="1:46" x14ac:dyDescent="0.3">
      <c r="A632" s="173"/>
      <c r="B632" s="44"/>
      <c r="C632" s="45"/>
      <c r="D632" s="45"/>
      <c r="E632" s="45"/>
      <c r="F632" s="45"/>
      <c r="G632" s="45"/>
      <c r="H632" s="44"/>
      <c r="I632" s="44"/>
      <c r="J632" s="45"/>
      <c r="K632" s="45"/>
      <c r="L632" s="44"/>
      <c r="M632" s="45"/>
      <c r="N632" s="45"/>
      <c r="O632" s="45"/>
      <c r="P632" s="45"/>
      <c r="Q632" s="45"/>
      <c r="R632" s="45"/>
      <c r="S632" s="45"/>
      <c r="T632" s="45"/>
      <c r="U632" s="45"/>
      <c r="V632" s="45"/>
      <c r="W632" s="173"/>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row>
    <row r="633" spans="1:46" x14ac:dyDescent="0.3">
      <c r="A633" s="173"/>
      <c r="B633" s="44"/>
      <c r="C633" s="45"/>
      <c r="D633" s="45"/>
      <c r="E633" s="45"/>
      <c r="F633" s="45"/>
      <c r="G633" s="45"/>
      <c r="H633" s="44"/>
      <c r="I633" s="44"/>
      <c r="J633" s="45"/>
      <c r="K633" s="45"/>
      <c r="L633" s="44"/>
      <c r="M633" s="45"/>
      <c r="N633" s="45"/>
      <c r="O633" s="45"/>
      <c r="P633" s="45"/>
      <c r="Q633" s="45"/>
      <c r="R633" s="45"/>
      <c r="S633" s="45"/>
      <c r="T633" s="45"/>
      <c r="U633" s="45"/>
      <c r="V633" s="45"/>
      <c r="W633" s="173"/>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row>
    <row r="634" spans="1:46" x14ac:dyDescent="0.3">
      <c r="A634" s="173"/>
      <c r="B634" s="44"/>
      <c r="C634" s="45"/>
      <c r="D634" s="45"/>
      <c r="E634" s="45"/>
      <c r="F634" s="45"/>
      <c r="G634" s="45"/>
      <c r="H634" s="44"/>
      <c r="I634" s="44"/>
      <c r="J634" s="45"/>
      <c r="K634" s="45"/>
      <c r="L634" s="44"/>
      <c r="M634" s="45"/>
      <c r="N634" s="45"/>
      <c r="O634" s="45"/>
      <c r="P634" s="45"/>
      <c r="Q634" s="45"/>
      <c r="R634" s="45"/>
      <c r="S634" s="45"/>
      <c r="T634" s="45"/>
      <c r="U634" s="45"/>
      <c r="V634" s="45"/>
      <c r="W634" s="173"/>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row>
    <row r="635" spans="1:46" x14ac:dyDescent="0.3">
      <c r="A635" s="173"/>
      <c r="B635" s="44"/>
      <c r="C635" s="45"/>
      <c r="D635" s="45"/>
      <c r="E635" s="45"/>
      <c r="F635" s="45"/>
      <c r="G635" s="45"/>
      <c r="H635" s="44"/>
      <c r="I635" s="44"/>
      <c r="J635" s="45"/>
      <c r="K635" s="45"/>
      <c r="L635" s="44"/>
      <c r="M635" s="45"/>
      <c r="N635" s="45"/>
      <c r="O635" s="45"/>
      <c r="P635" s="45"/>
      <c r="Q635" s="45"/>
      <c r="R635" s="45"/>
      <c r="S635" s="45"/>
      <c r="T635" s="45"/>
      <c r="U635" s="45"/>
      <c r="V635" s="45"/>
      <c r="W635" s="173"/>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row>
    <row r="636" spans="1:46" x14ac:dyDescent="0.3">
      <c r="A636" s="173"/>
      <c r="B636" s="44"/>
      <c r="C636" s="45"/>
      <c r="D636" s="45"/>
      <c r="E636" s="45"/>
      <c r="F636" s="45"/>
      <c r="G636" s="45"/>
      <c r="H636" s="44"/>
      <c r="I636" s="44"/>
      <c r="J636" s="45"/>
      <c r="K636" s="45"/>
      <c r="L636" s="44"/>
      <c r="M636" s="45"/>
      <c r="N636" s="45"/>
      <c r="O636" s="45"/>
      <c r="P636" s="45"/>
      <c r="Q636" s="45"/>
      <c r="R636" s="45"/>
      <c r="S636" s="45"/>
      <c r="T636" s="45"/>
      <c r="U636" s="45"/>
      <c r="V636" s="45"/>
      <c r="W636" s="173"/>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row>
    <row r="637" spans="1:46" x14ac:dyDescent="0.3">
      <c r="A637" s="173"/>
      <c r="B637" s="44"/>
      <c r="C637" s="45"/>
      <c r="D637" s="45"/>
      <c r="E637" s="45"/>
      <c r="F637" s="45"/>
      <c r="G637" s="45"/>
      <c r="H637" s="44"/>
      <c r="I637" s="44"/>
      <c r="J637" s="45"/>
      <c r="K637" s="45"/>
      <c r="L637" s="44"/>
      <c r="M637" s="45"/>
      <c r="N637" s="45"/>
      <c r="O637" s="45"/>
      <c r="P637" s="45"/>
      <c r="Q637" s="45"/>
      <c r="R637" s="45"/>
      <c r="S637" s="45"/>
      <c r="T637" s="45"/>
      <c r="U637" s="45"/>
      <c r="V637" s="45"/>
      <c r="W637" s="173"/>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row>
    <row r="638" spans="1:46" x14ac:dyDescent="0.3">
      <c r="A638" s="173"/>
      <c r="B638" s="44"/>
      <c r="C638" s="45"/>
      <c r="D638" s="45"/>
      <c r="E638" s="45"/>
      <c r="F638" s="45"/>
      <c r="G638" s="45"/>
      <c r="H638" s="44"/>
      <c r="I638" s="44"/>
      <c r="J638" s="45"/>
      <c r="K638" s="45"/>
      <c r="L638" s="44"/>
      <c r="M638" s="45"/>
      <c r="N638" s="45"/>
      <c r="O638" s="45"/>
      <c r="P638" s="45"/>
      <c r="Q638" s="45"/>
      <c r="R638" s="45"/>
      <c r="S638" s="45"/>
      <c r="T638" s="45"/>
      <c r="U638" s="45"/>
      <c r="V638" s="45"/>
      <c r="W638" s="173"/>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row>
    <row r="639" spans="1:46" x14ac:dyDescent="0.3">
      <c r="A639" s="173"/>
      <c r="B639" s="44"/>
      <c r="C639" s="45"/>
      <c r="D639" s="45"/>
      <c r="E639" s="45"/>
      <c r="F639" s="45"/>
      <c r="G639" s="45"/>
      <c r="H639" s="44"/>
      <c r="I639" s="44"/>
      <c r="J639" s="45"/>
      <c r="K639" s="45"/>
      <c r="L639" s="44"/>
      <c r="M639" s="45"/>
      <c r="N639" s="45"/>
      <c r="O639" s="45"/>
      <c r="P639" s="45"/>
      <c r="Q639" s="45"/>
      <c r="R639" s="45"/>
      <c r="S639" s="45"/>
      <c r="T639" s="45"/>
      <c r="U639" s="45"/>
      <c r="V639" s="45"/>
      <c r="W639" s="173"/>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row>
    <row r="640" spans="1:46" x14ac:dyDescent="0.3">
      <c r="A640" s="173"/>
      <c r="B640" s="44"/>
      <c r="C640" s="45"/>
      <c r="D640" s="45"/>
      <c r="E640" s="45"/>
      <c r="F640" s="45"/>
      <c r="G640" s="45"/>
      <c r="H640" s="44"/>
      <c r="I640" s="44"/>
      <c r="J640" s="45"/>
      <c r="K640" s="45"/>
      <c r="L640" s="44"/>
      <c r="M640" s="45"/>
      <c r="N640" s="45"/>
      <c r="O640" s="45"/>
      <c r="P640" s="45"/>
      <c r="Q640" s="45"/>
      <c r="R640" s="45"/>
      <c r="S640" s="45"/>
      <c r="T640" s="45"/>
      <c r="U640" s="45"/>
      <c r="V640" s="45"/>
      <c r="W640" s="173"/>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row>
    <row r="641" spans="1:46" x14ac:dyDescent="0.3">
      <c r="A641" s="173"/>
      <c r="B641" s="44"/>
      <c r="C641" s="45"/>
      <c r="D641" s="45"/>
      <c r="E641" s="45"/>
      <c r="F641" s="45"/>
      <c r="G641" s="45"/>
      <c r="H641" s="44"/>
      <c r="I641" s="44"/>
      <c r="J641" s="45"/>
      <c r="K641" s="45"/>
      <c r="L641" s="44"/>
      <c r="M641" s="45"/>
      <c r="N641" s="45"/>
      <c r="O641" s="45"/>
      <c r="P641" s="45"/>
      <c r="Q641" s="45"/>
      <c r="R641" s="45"/>
      <c r="S641" s="45"/>
      <c r="T641" s="45"/>
      <c r="U641" s="45"/>
      <c r="V641" s="45"/>
      <c r="W641" s="173"/>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row>
    <row r="642" spans="1:46" x14ac:dyDescent="0.3">
      <c r="A642" s="173"/>
      <c r="B642" s="44"/>
      <c r="C642" s="45"/>
      <c r="D642" s="45"/>
      <c r="E642" s="45"/>
      <c r="F642" s="45"/>
      <c r="G642" s="45"/>
      <c r="H642" s="44"/>
      <c r="I642" s="44"/>
      <c r="J642" s="45"/>
      <c r="K642" s="45"/>
      <c r="L642" s="44"/>
      <c r="M642" s="45"/>
      <c r="N642" s="45"/>
      <c r="O642" s="45"/>
      <c r="P642" s="45"/>
      <c r="Q642" s="45"/>
      <c r="R642" s="45"/>
      <c r="S642" s="45"/>
      <c r="T642" s="45"/>
      <c r="U642" s="45"/>
      <c r="V642" s="45"/>
      <c r="W642" s="173"/>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row>
    <row r="643" spans="1:46" x14ac:dyDescent="0.3">
      <c r="A643" s="173"/>
      <c r="B643" s="44"/>
      <c r="C643" s="45"/>
      <c r="D643" s="45"/>
      <c r="E643" s="45"/>
      <c r="F643" s="45"/>
      <c r="G643" s="45"/>
      <c r="H643" s="44"/>
      <c r="I643" s="44"/>
      <c r="J643" s="45"/>
      <c r="K643" s="45"/>
      <c r="L643" s="44"/>
      <c r="M643" s="45"/>
      <c r="N643" s="45"/>
      <c r="O643" s="45"/>
      <c r="P643" s="45"/>
      <c r="Q643" s="45"/>
      <c r="R643" s="45"/>
      <c r="S643" s="45"/>
      <c r="T643" s="45"/>
      <c r="U643" s="45"/>
      <c r="V643" s="45"/>
      <c r="W643" s="173"/>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row>
    <row r="644" spans="1:46" x14ac:dyDescent="0.3">
      <c r="A644" s="173"/>
      <c r="B644" s="44"/>
      <c r="C644" s="45"/>
      <c r="D644" s="45"/>
      <c r="E644" s="45"/>
      <c r="F644" s="45"/>
      <c r="G644" s="45"/>
      <c r="H644" s="44"/>
      <c r="I644" s="44"/>
      <c r="J644" s="45"/>
      <c r="K644" s="45"/>
      <c r="L644" s="44"/>
      <c r="M644" s="45"/>
      <c r="N644" s="45"/>
      <c r="O644" s="45"/>
      <c r="P644" s="45"/>
      <c r="Q644" s="45"/>
      <c r="R644" s="45"/>
      <c r="S644" s="45"/>
      <c r="T644" s="45"/>
      <c r="U644" s="45"/>
      <c r="V644" s="45"/>
      <c r="W644" s="173"/>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row>
    <row r="645" spans="1:46" x14ac:dyDescent="0.3">
      <c r="A645" s="173"/>
      <c r="B645" s="44"/>
      <c r="C645" s="45"/>
      <c r="D645" s="45"/>
      <c r="E645" s="45"/>
      <c r="F645" s="45"/>
      <c r="G645" s="45"/>
      <c r="H645" s="44"/>
      <c r="I645" s="44"/>
      <c r="J645" s="45"/>
      <c r="K645" s="45"/>
      <c r="L645" s="44"/>
      <c r="M645" s="45"/>
      <c r="N645" s="45"/>
      <c r="O645" s="45"/>
      <c r="P645" s="45"/>
      <c r="Q645" s="45"/>
      <c r="R645" s="45"/>
      <c r="S645" s="45"/>
      <c r="T645" s="45"/>
      <c r="U645" s="45"/>
      <c r="V645" s="45"/>
      <c r="W645" s="173"/>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row>
    <row r="646" spans="1:46" x14ac:dyDescent="0.3">
      <c r="A646" s="173"/>
      <c r="B646" s="44"/>
      <c r="C646" s="45"/>
      <c r="D646" s="45"/>
      <c r="E646" s="45"/>
      <c r="F646" s="45"/>
      <c r="G646" s="45"/>
      <c r="H646" s="44"/>
      <c r="I646" s="44"/>
      <c r="J646" s="45"/>
      <c r="K646" s="45"/>
      <c r="L646" s="44"/>
      <c r="M646" s="45"/>
      <c r="N646" s="45"/>
      <c r="O646" s="45"/>
      <c r="P646" s="45"/>
      <c r="Q646" s="45"/>
      <c r="R646" s="45"/>
      <c r="S646" s="45"/>
      <c r="T646" s="45"/>
      <c r="U646" s="45"/>
      <c r="V646" s="45"/>
      <c r="W646" s="173"/>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row>
    <row r="647" spans="1:46" x14ac:dyDescent="0.3">
      <c r="A647" s="173"/>
      <c r="B647" s="44"/>
      <c r="C647" s="45"/>
      <c r="D647" s="45"/>
      <c r="E647" s="45"/>
      <c r="F647" s="45"/>
      <c r="G647" s="45"/>
      <c r="H647" s="44"/>
      <c r="I647" s="44"/>
      <c r="J647" s="45"/>
      <c r="K647" s="45"/>
      <c r="L647" s="44"/>
      <c r="M647" s="45"/>
      <c r="N647" s="45"/>
      <c r="O647" s="45"/>
      <c r="P647" s="45"/>
      <c r="Q647" s="45"/>
      <c r="R647" s="45"/>
      <c r="S647" s="45"/>
      <c r="T647" s="45"/>
      <c r="U647" s="45"/>
      <c r="V647" s="45"/>
      <c r="W647" s="173"/>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row>
    <row r="648" spans="1:46" x14ac:dyDescent="0.3">
      <c r="A648" s="173"/>
      <c r="B648" s="44"/>
      <c r="C648" s="45"/>
      <c r="D648" s="45"/>
      <c r="E648" s="45"/>
      <c r="F648" s="45"/>
      <c r="G648" s="45"/>
      <c r="H648" s="44"/>
      <c r="I648" s="44"/>
      <c r="J648" s="45"/>
      <c r="K648" s="45"/>
      <c r="L648" s="44"/>
      <c r="M648" s="45"/>
      <c r="N648" s="45"/>
      <c r="O648" s="45"/>
      <c r="P648" s="45"/>
      <c r="Q648" s="45"/>
      <c r="R648" s="45"/>
      <c r="S648" s="45"/>
      <c r="T648" s="45"/>
      <c r="U648" s="45"/>
      <c r="V648" s="45"/>
      <c r="W648" s="173"/>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row>
    <row r="649" spans="1:46" x14ac:dyDescent="0.3">
      <c r="A649" s="173"/>
      <c r="B649" s="44"/>
      <c r="C649" s="45"/>
      <c r="D649" s="45"/>
      <c r="E649" s="45"/>
      <c r="F649" s="45"/>
      <c r="G649" s="45"/>
      <c r="H649" s="44"/>
      <c r="I649" s="44"/>
      <c r="J649" s="45"/>
      <c r="K649" s="45"/>
      <c r="L649" s="44"/>
      <c r="M649" s="45"/>
      <c r="N649" s="45"/>
      <c r="O649" s="45"/>
      <c r="P649" s="45"/>
      <c r="Q649" s="45"/>
      <c r="R649" s="45"/>
      <c r="S649" s="45"/>
      <c r="T649" s="45"/>
      <c r="U649" s="45"/>
      <c r="V649" s="45"/>
      <c r="W649" s="173"/>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row>
    <row r="650" spans="1:46" x14ac:dyDescent="0.3">
      <c r="A650" s="173"/>
      <c r="B650" s="44"/>
      <c r="C650" s="45"/>
      <c r="D650" s="45"/>
      <c r="E650" s="45"/>
      <c r="F650" s="45"/>
      <c r="G650" s="45"/>
      <c r="H650" s="44"/>
      <c r="I650" s="44"/>
      <c r="J650" s="45"/>
      <c r="K650" s="45"/>
      <c r="L650" s="44"/>
      <c r="M650" s="45"/>
      <c r="N650" s="45"/>
      <c r="O650" s="45"/>
      <c r="P650" s="45"/>
      <c r="Q650" s="45"/>
      <c r="R650" s="45"/>
      <c r="S650" s="45"/>
      <c r="T650" s="45"/>
      <c r="U650" s="45"/>
      <c r="V650" s="45"/>
      <c r="W650" s="173"/>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row>
    <row r="651" spans="1:46" x14ac:dyDescent="0.3">
      <c r="A651" s="173"/>
      <c r="B651" s="44"/>
      <c r="C651" s="45"/>
      <c r="D651" s="45"/>
      <c r="E651" s="45"/>
      <c r="F651" s="45"/>
      <c r="G651" s="45"/>
      <c r="H651" s="44"/>
      <c r="I651" s="44"/>
      <c r="J651" s="45"/>
      <c r="K651" s="45"/>
      <c r="L651" s="44"/>
      <c r="M651" s="45"/>
      <c r="N651" s="45"/>
      <c r="O651" s="45"/>
      <c r="P651" s="45"/>
      <c r="Q651" s="45"/>
      <c r="R651" s="45"/>
      <c r="S651" s="45"/>
      <c r="T651" s="45"/>
      <c r="U651" s="45"/>
      <c r="V651" s="45"/>
      <c r="W651" s="173"/>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row>
    <row r="652" spans="1:46" x14ac:dyDescent="0.3">
      <c r="A652" s="173"/>
      <c r="B652" s="44"/>
      <c r="C652" s="45"/>
      <c r="D652" s="45"/>
      <c r="E652" s="45"/>
      <c r="F652" s="45"/>
      <c r="G652" s="45"/>
      <c r="H652" s="44"/>
      <c r="I652" s="44"/>
      <c r="J652" s="45"/>
      <c r="K652" s="45"/>
      <c r="L652" s="44"/>
      <c r="M652" s="45"/>
      <c r="N652" s="45"/>
      <c r="O652" s="45"/>
      <c r="P652" s="45"/>
      <c r="Q652" s="45"/>
      <c r="R652" s="45"/>
      <c r="S652" s="45"/>
      <c r="T652" s="45"/>
      <c r="U652" s="45"/>
      <c r="V652" s="45"/>
      <c r="W652" s="173"/>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row>
    <row r="653" spans="1:46" x14ac:dyDescent="0.3">
      <c r="A653" s="173"/>
      <c r="B653" s="44"/>
      <c r="C653" s="45"/>
      <c r="D653" s="45"/>
      <c r="E653" s="45"/>
      <c r="F653" s="45"/>
      <c r="G653" s="45"/>
      <c r="H653" s="44"/>
      <c r="I653" s="44"/>
      <c r="J653" s="45"/>
      <c r="K653" s="45"/>
      <c r="L653" s="44"/>
      <c r="M653" s="45"/>
      <c r="N653" s="45"/>
      <c r="O653" s="45"/>
      <c r="P653" s="45"/>
      <c r="Q653" s="45"/>
      <c r="R653" s="45"/>
      <c r="S653" s="45"/>
      <c r="T653" s="45"/>
      <c r="U653" s="45"/>
      <c r="V653" s="45"/>
      <c r="W653" s="173"/>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row>
    <row r="654" spans="1:46" x14ac:dyDescent="0.3">
      <c r="A654" s="173"/>
      <c r="B654" s="44"/>
      <c r="C654" s="45"/>
      <c r="D654" s="45"/>
      <c r="E654" s="45"/>
      <c r="F654" s="45"/>
      <c r="G654" s="45"/>
      <c r="H654" s="44"/>
      <c r="I654" s="44"/>
      <c r="J654" s="45"/>
      <c r="K654" s="45"/>
      <c r="L654" s="44"/>
      <c r="M654" s="45"/>
      <c r="N654" s="45"/>
      <c r="O654" s="45"/>
      <c r="P654" s="45"/>
      <c r="Q654" s="45"/>
      <c r="R654" s="45"/>
      <c r="S654" s="45"/>
      <c r="T654" s="45"/>
      <c r="U654" s="45"/>
      <c r="V654" s="45"/>
      <c r="W654" s="173"/>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row>
    <row r="655" spans="1:46" x14ac:dyDescent="0.3">
      <c r="A655" s="173"/>
      <c r="B655" s="44"/>
      <c r="C655" s="45"/>
      <c r="D655" s="45"/>
      <c r="E655" s="45"/>
      <c r="F655" s="45"/>
      <c r="G655" s="45"/>
      <c r="H655" s="44"/>
      <c r="I655" s="44"/>
      <c r="J655" s="45"/>
      <c r="K655" s="45"/>
      <c r="L655" s="44"/>
      <c r="M655" s="45"/>
      <c r="N655" s="45"/>
      <c r="O655" s="45"/>
      <c r="P655" s="45"/>
      <c r="Q655" s="45"/>
      <c r="R655" s="45"/>
      <c r="S655" s="45"/>
      <c r="T655" s="45"/>
      <c r="U655" s="45"/>
      <c r="V655" s="45"/>
      <c r="W655" s="173"/>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row>
    <row r="656" spans="1:46" x14ac:dyDescent="0.3">
      <c r="A656" s="173"/>
      <c r="B656" s="44"/>
      <c r="C656" s="45"/>
      <c r="D656" s="45"/>
      <c r="E656" s="45"/>
      <c r="F656" s="45"/>
      <c r="G656" s="45"/>
      <c r="H656" s="44"/>
      <c r="I656" s="44"/>
      <c r="J656" s="45"/>
      <c r="K656" s="45"/>
      <c r="L656" s="44"/>
      <c r="M656" s="45"/>
      <c r="N656" s="45"/>
      <c r="O656" s="45"/>
      <c r="P656" s="45"/>
      <c r="Q656" s="45"/>
      <c r="R656" s="45"/>
      <c r="S656" s="45"/>
      <c r="T656" s="45"/>
      <c r="U656" s="45"/>
      <c r="V656" s="45"/>
      <c r="W656" s="173"/>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row>
    <row r="657" spans="1:46" x14ac:dyDescent="0.3">
      <c r="A657" s="173"/>
      <c r="B657" s="44"/>
      <c r="C657" s="45"/>
      <c r="D657" s="45"/>
      <c r="E657" s="45"/>
      <c r="F657" s="45"/>
      <c r="G657" s="45"/>
      <c r="H657" s="44"/>
      <c r="I657" s="44"/>
      <c r="J657" s="45"/>
      <c r="K657" s="45"/>
      <c r="L657" s="44"/>
      <c r="M657" s="45"/>
      <c r="N657" s="45"/>
      <c r="O657" s="45"/>
      <c r="P657" s="45"/>
      <c r="Q657" s="45"/>
      <c r="R657" s="45"/>
      <c r="S657" s="45"/>
      <c r="T657" s="45"/>
      <c r="U657" s="45"/>
      <c r="V657" s="45"/>
      <c r="W657" s="173"/>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row>
    <row r="658" spans="1:46" x14ac:dyDescent="0.3">
      <c r="A658" s="173"/>
      <c r="B658" s="44"/>
      <c r="C658" s="45"/>
      <c r="D658" s="45"/>
      <c r="E658" s="45"/>
      <c r="F658" s="45"/>
      <c r="G658" s="45"/>
      <c r="H658" s="44"/>
      <c r="I658" s="44"/>
      <c r="J658" s="45"/>
      <c r="K658" s="45"/>
      <c r="L658" s="44"/>
      <c r="M658" s="45"/>
      <c r="N658" s="45"/>
      <c r="O658" s="45"/>
      <c r="P658" s="45"/>
      <c r="Q658" s="45"/>
      <c r="R658" s="45"/>
      <c r="S658" s="45"/>
      <c r="T658" s="45"/>
      <c r="U658" s="45"/>
      <c r="V658" s="45"/>
      <c r="W658" s="173"/>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row>
    <row r="659" spans="1:46" x14ac:dyDescent="0.3">
      <c r="A659" s="173"/>
      <c r="B659" s="44"/>
      <c r="C659" s="45"/>
      <c r="D659" s="45"/>
      <c r="E659" s="45"/>
      <c r="F659" s="45"/>
      <c r="G659" s="45"/>
      <c r="H659" s="44"/>
      <c r="I659" s="44"/>
      <c r="J659" s="45"/>
      <c r="K659" s="45"/>
      <c r="L659" s="44"/>
      <c r="M659" s="45"/>
      <c r="N659" s="45"/>
      <c r="O659" s="45"/>
      <c r="P659" s="45"/>
      <c r="Q659" s="45"/>
      <c r="R659" s="45"/>
      <c r="S659" s="45"/>
      <c r="T659" s="45"/>
      <c r="U659" s="45"/>
      <c r="V659" s="45"/>
      <c r="W659" s="173"/>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row>
    <row r="660" spans="1:46" x14ac:dyDescent="0.3">
      <c r="A660" s="173"/>
      <c r="B660" s="44"/>
      <c r="C660" s="45"/>
      <c r="D660" s="45"/>
      <c r="E660" s="45"/>
      <c r="F660" s="45"/>
      <c r="G660" s="45"/>
      <c r="H660" s="44"/>
      <c r="I660" s="44"/>
      <c r="J660" s="45"/>
      <c r="K660" s="45"/>
      <c r="L660" s="44"/>
      <c r="M660" s="45"/>
      <c r="N660" s="45"/>
      <c r="O660" s="45"/>
      <c r="P660" s="45"/>
      <c r="Q660" s="45"/>
      <c r="R660" s="45"/>
      <c r="S660" s="45"/>
      <c r="T660" s="45"/>
      <c r="U660" s="45"/>
      <c r="V660" s="45"/>
      <c r="W660" s="173"/>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row>
    <row r="661" spans="1:46" x14ac:dyDescent="0.3">
      <c r="A661" s="173"/>
      <c r="B661" s="44"/>
      <c r="C661" s="45"/>
      <c r="D661" s="45"/>
      <c r="E661" s="45"/>
      <c r="F661" s="45"/>
      <c r="G661" s="45"/>
      <c r="H661" s="44"/>
      <c r="I661" s="44"/>
      <c r="J661" s="45"/>
      <c r="K661" s="45"/>
      <c r="L661" s="44"/>
      <c r="M661" s="45"/>
      <c r="N661" s="45"/>
      <c r="O661" s="45"/>
      <c r="P661" s="45"/>
      <c r="Q661" s="45"/>
      <c r="R661" s="45"/>
      <c r="S661" s="45"/>
      <c r="T661" s="45"/>
      <c r="U661" s="45"/>
      <c r="V661" s="45"/>
      <c r="W661" s="173"/>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row>
    <row r="662" spans="1:46" x14ac:dyDescent="0.3">
      <c r="A662" s="173"/>
      <c r="B662" s="44"/>
      <c r="C662" s="45"/>
      <c r="D662" s="45"/>
      <c r="E662" s="45"/>
      <c r="F662" s="45"/>
      <c r="G662" s="45"/>
      <c r="H662" s="44"/>
      <c r="I662" s="44"/>
      <c r="J662" s="45"/>
      <c r="K662" s="45"/>
      <c r="L662" s="44"/>
      <c r="M662" s="45"/>
      <c r="N662" s="45"/>
      <c r="O662" s="45"/>
      <c r="P662" s="45"/>
      <c r="Q662" s="45"/>
      <c r="R662" s="45"/>
      <c r="S662" s="45"/>
      <c r="T662" s="45"/>
      <c r="U662" s="45"/>
      <c r="V662" s="45"/>
      <c r="W662" s="173"/>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row>
    <row r="663" spans="1:46" x14ac:dyDescent="0.3">
      <c r="A663" s="173"/>
      <c r="B663" s="44"/>
      <c r="C663" s="45"/>
      <c r="D663" s="45"/>
      <c r="E663" s="45"/>
      <c r="F663" s="45"/>
      <c r="G663" s="45"/>
      <c r="H663" s="44"/>
      <c r="I663" s="44"/>
      <c r="J663" s="45"/>
      <c r="K663" s="45"/>
      <c r="L663" s="44"/>
      <c r="M663" s="45"/>
      <c r="N663" s="45"/>
      <c r="O663" s="45"/>
      <c r="P663" s="45"/>
      <c r="Q663" s="45"/>
      <c r="R663" s="45"/>
      <c r="S663" s="45"/>
      <c r="T663" s="45"/>
      <c r="U663" s="45"/>
      <c r="V663" s="45"/>
      <c r="W663" s="173"/>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row>
    <row r="664" spans="1:46" x14ac:dyDescent="0.3">
      <c r="A664" s="173"/>
      <c r="B664" s="44"/>
      <c r="C664" s="45"/>
      <c r="D664" s="45"/>
      <c r="E664" s="45"/>
      <c r="F664" s="45"/>
      <c r="G664" s="45"/>
      <c r="H664" s="44"/>
      <c r="I664" s="44"/>
      <c r="J664" s="45"/>
      <c r="K664" s="45"/>
      <c r="L664" s="44"/>
      <c r="M664" s="45"/>
      <c r="N664" s="45"/>
      <c r="O664" s="45"/>
      <c r="P664" s="45"/>
      <c r="Q664" s="45"/>
      <c r="R664" s="45"/>
      <c r="S664" s="45"/>
      <c r="T664" s="45"/>
      <c r="U664" s="45"/>
      <c r="V664" s="45"/>
      <c r="W664" s="173"/>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row>
    <row r="665" spans="1:46" x14ac:dyDescent="0.3">
      <c r="A665" s="173"/>
      <c r="B665" s="44"/>
      <c r="C665" s="45"/>
      <c r="D665" s="45"/>
      <c r="E665" s="45"/>
      <c r="F665" s="45"/>
      <c r="G665" s="45"/>
      <c r="H665" s="44"/>
      <c r="I665" s="44"/>
      <c r="J665" s="45"/>
      <c r="K665" s="45"/>
      <c r="L665" s="44"/>
      <c r="M665" s="45"/>
      <c r="N665" s="45"/>
      <c r="O665" s="45"/>
      <c r="P665" s="45"/>
      <c r="Q665" s="45"/>
      <c r="R665" s="45"/>
      <c r="S665" s="45"/>
      <c r="T665" s="45"/>
      <c r="U665" s="45"/>
      <c r="V665" s="45"/>
      <c r="W665" s="173"/>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row>
    <row r="666" spans="1:46" x14ac:dyDescent="0.3">
      <c r="A666" s="173"/>
      <c r="B666" s="44"/>
      <c r="C666" s="45"/>
      <c r="D666" s="45"/>
      <c r="E666" s="45"/>
      <c r="F666" s="45"/>
      <c r="G666" s="45"/>
      <c r="H666" s="44"/>
      <c r="I666" s="44"/>
      <c r="J666" s="45"/>
      <c r="K666" s="45"/>
      <c r="L666" s="44"/>
      <c r="M666" s="45"/>
      <c r="N666" s="45"/>
      <c r="O666" s="45"/>
      <c r="P666" s="45"/>
      <c r="Q666" s="45"/>
      <c r="R666" s="45"/>
      <c r="S666" s="45"/>
      <c r="T666" s="45"/>
      <c r="U666" s="45"/>
      <c r="V666" s="45"/>
      <c r="W666" s="173"/>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row>
    <row r="667" spans="1:46" x14ac:dyDescent="0.3">
      <c r="A667" s="173"/>
      <c r="B667" s="44"/>
      <c r="C667" s="45"/>
      <c r="D667" s="45"/>
      <c r="E667" s="45"/>
      <c r="F667" s="45"/>
      <c r="G667" s="45"/>
      <c r="H667" s="44"/>
      <c r="I667" s="44"/>
      <c r="J667" s="45"/>
      <c r="K667" s="45"/>
      <c r="L667" s="44"/>
      <c r="M667" s="45"/>
      <c r="N667" s="45"/>
      <c r="O667" s="45"/>
      <c r="P667" s="45"/>
      <c r="Q667" s="45"/>
      <c r="R667" s="45"/>
      <c r="S667" s="45"/>
      <c r="T667" s="45"/>
      <c r="U667" s="45"/>
      <c r="V667" s="45"/>
      <c r="W667" s="173"/>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row>
    <row r="668" spans="1:46" x14ac:dyDescent="0.3">
      <c r="A668" s="173"/>
      <c r="B668" s="44"/>
      <c r="C668" s="45"/>
      <c r="D668" s="45"/>
      <c r="E668" s="45"/>
      <c r="F668" s="45"/>
      <c r="G668" s="45"/>
      <c r="H668" s="44"/>
      <c r="I668" s="44"/>
      <c r="J668" s="45"/>
      <c r="K668" s="45"/>
      <c r="L668" s="44"/>
      <c r="M668" s="45"/>
      <c r="N668" s="45"/>
      <c r="O668" s="45"/>
      <c r="P668" s="45"/>
      <c r="Q668" s="45"/>
      <c r="R668" s="45"/>
      <c r="S668" s="45"/>
      <c r="T668" s="45"/>
      <c r="U668" s="45"/>
      <c r="V668" s="45"/>
      <c r="W668" s="173"/>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row>
    <row r="669" spans="1:46" x14ac:dyDescent="0.3">
      <c r="A669" s="173"/>
      <c r="B669" s="44"/>
      <c r="C669" s="45"/>
      <c r="D669" s="45"/>
      <c r="E669" s="45"/>
      <c r="F669" s="45"/>
      <c r="G669" s="45"/>
      <c r="H669" s="44"/>
      <c r="I669" s="44"/>
      <c r="J669" s="45"/>
      <c r="K669" s="45"/>
      <c r="L669" s="44"/>
      <c r="M669" s="45"/>
      <c r="N669" s="45"/>
      <c r="O669" s="45"/>
      <c r="P669" s="45"/>
      <c r="Q669" s="45"/>
      <c r="R669" s="45"/>
      <c r="S669" s="45"/>
      <c r="T669" s="45"/>
      <c r="U669" s="45"/>
      <c r="V669" s="45"/>
      <c r="W669" s="173"/>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row>
    <row r="670" spans="1:46" x14ac:dyDescent="0.3">
      <c r="A670" s="173"/>
      <c r="B670" s="44"/>
      <c r="C670" s="45"/>
      <c r="D670" s="45"/>
      <c r="E670" s="45"/>
      <c r="F670" s="45"/>
      <c r="G670" s="45"/>
      <c r="H670" s="44"/>
      <c r="I670" s="44"/>
      <c r="J670" s="45"/>
      <c r="K670" s="45"/>
      <c r="L670" s="44"/>
      <c r="M670" s="45"/>
      <c r="N670" s="45"/>
      <c r="O670" s="45"/>
      <c r="P670" s="45"/>
      <c r="Q670" s="45"/>
      <c r="R670" s="45"/>
      <c r="S670" s="45"/>
      <c r="T670" s="45"/>
      <c r="U670" s="45"/>
      <c r="V670" s="45"/>
      <c r="W670" s="173"/>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row>
    <row r="671" spans="1:46" x14ac:dyDescent="0.3">
      <c r="A671" s="173"/>
      <c r="B671" s="44"/>
      <c r="C671" s="45"/>
      <c r="D671" s="45"/>
      <c r="E671" s="45"/>
      <c r="F671" s="45"/>
      <c r="G671" s="45"/>
      <c r="H671" s="44"/>
      <c r="I671" s="44"/>
      <c r="J671" s="45"/>
      <c r="K671" s="45"/>
      <c r="L671" s="44"/>
      <c r="M671" s="45"/>
      <c r="N671" s="45"/>
      <c r="O671" s="45"/>
      <c r="P671" s="45"/>
      <c r="Q671" s="45"/>
      <c r="R671" s="45"/>
      <c r="S671" s="45"/>
      <c r="T671" s="45"/>
      <c r="U671" s="45"/>
      <c r="V671" s="45"/>
      <c r="W671" s="173"/>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row>
    <row r="672" spans="1:46" x14ac:dyDescent="0.3">
      <c r="A672" s="173"/>
      <c r="B672" s="44"/>
      <c r="C672" s="45"/>
      <c r="D672" s="45"/>
      <c r="E672" s="45"/>
      <c r="F672" s="45"/>
      <c r="G672" s="45"/>
      <c r="H672" s="44"/>
      <c r="I672" s="44"/>
      <c r="J672" s="45"/>
      <c r="K672" s="45"/>
      <c r="L672" s="44"/>
      <c r="M672" s="45"/>
      <c r="N672" s="45"/>
      <c r="O672" s="45"/>
      <c r="P672" s="45"/>
      <c r="Q672" s="45"/>
      <c r="R672" s="45"/>
      <c r="S672" s="45"/>
      <c r="T672" s="45"/>
      <c r="U672" s="45"/>
      <c r="V672" s="45"/>
      <c r="W672" s="173"/>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row>
    <row r="673" spans="1:46" x14ac:dyDescent="0.3">
      <c r="A673" s="173"/>
      <c r="B673" s="44"/>
      <c r="C673" s="45"/>
      <c r="D673" s="45"/>
      <c r="E673" s="45"/>
      <c r="F673" s="45"/>
      <c r="G673" s="45"/>
      <c r="H673" s="44"/>
      <c r="I673" s="44"/>
      <c r="J673" s="45"/>
      <c r="K673" s="45"/>
      <c r="L673" s="44"/>
      <c r="M673" s="45"/>
      <c r="N673" s="45"/>
      <c r="O673" s="45"/>
      <c r="P673" s="45"/>
      <c r="Q673" s="45"/>
      <c r="R673" s="45"/>
      <c r="S673" s="45"/>
      <c r="T673" s="45"/>
      <c r="U673" s="45"/>
      <c r="V673" s="45"/>
      <c r="W673" s="173"/>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row>
    <row r="674" spans="1:46" x14ac:dyDescent="0.3">
      <c r="A674" s="173"/>
      <c r="B674" s="44"/>
      <c r="C674" s="45"/>
      <c r="D674" s="45"/>
      <c r="E674" s="45"/>
      <c r="F674" s="45"/>
      <c r="G674" s="45"/>
      <c r="H674" s="44"/>
      <c r="I674" s="44"/>
      <c r="J674" s="45"/>
      <c r="K674" s="45"/>
      <c r="L674" s="44"/>
      <c r="M674" s="45"/>
      <c r="N674" s="45"/>
      <c r="O674" s="45"/>
      <c r="P674" s="45"/>
      <c r="Q674" s="45"/>
      <c r="R674" s="45"/>
      <c r="S674" s="45"/>
      <c r="T674" s="45"/>
      <c r="U674" s="45"/>
      <c r="V674" s="45"/>
      <c r="W674" s="173"/>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row>
    <row r="675" spans="1:46" x14ac:dyDescent="0.3">
      <c r="A675" s="173"/>
      <c r="B675" s="44"/>
      <c r="C675" s="45"/>
      <c r="D675" s="45"/>
      <c r="E675" s="45"/>
      <c r="F675" s="45"/>
      <c r="G675" s="45"/>
      <c r="H675" s="44"/>
      <c r="I675" s="44"/>
      <c r="J675" s="45"/>
      <c r="K675" s="45"/>
      <c r="L675" s="44"/>
      <c r="M675" s="45"/>
      <c r="N675" s="45"/>
      <c r="O675" s="45"/>
      <c r="P675" s="45"/>
      <c r="Q675" s="45"/>
      <c r="R675" s="45"/>
      <c r="S675" s="45"/>
      <c r="T675" s="45"/>
      <c r="U675" s="45"/>
      <c r="V675" s="45"/>
      <c r="W675" s="173"/>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row>
    <row r="676" spans="1:46" x14ac:dyDescent="0.3">
      <c r="A676" s="173"/>
      <c r="B676" s="44"/>
      <c r="C676" s="45"/>
      <c r="D676" s="45"/>
      <c r="E676" s="45"/>
      <c r="F676" s="45"/>
      <c r="G676" s="45"/>
      <c r="H676" s="44"/>
      <c r="I676" s="44"/>
      <c r="J676" s="45"/>
      <c r="K676" s="45"/>
      <c r="L676" s="44"/>
      <c r="M676" s="45"/>
      <c r="N676" s="45"/>
      <c r="O676" s="45"/>
      <c r="P676" s="45"/>
      <c r="Q676" s="45"/>
      <c r="R676" s="45"/>
      <c r="S676" s="45"/>
      <c r="T676" s="45"/>
      <c r="U676" s="45"/>
      <c r="V676" s="45"/>
      <c r="W676" s="173"/>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row>
    <row r="677" spans="1:46" x14ac:dyDescent="0.3">
      <c r="A677" s="173"/>
      <c r="B677" s="44"/>
      <c r="C677" s="45"/>
      <c r="D677" s="45"/>
      <c r="E677" s="45"/>
      <c r="F677" s="45"/>
      <c r="G677" s="45"/>
      <c r="H677" s="44"/>
      <c r="I677" s="44"/>
      <c r="J677" s="45"/>
      <c r="K677" s="45"/>
      <c r="L677" s="44"/>
      <c r="M677" s="45"/>
      <c r="N677" s="45"/>
      <c r="O677" s="45"/>
      <c r="P677" s="45"/>
      <c r="Q677" s="45"/>
      <c r="R677" s="45"/>
      <c r="S677" s="45"/>
      <c r="T677" s="45"/>
      <c r="U677" s="45"/>
      <c r="V677" s="45"/>
      <c r="W677" s="173"/>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row>
    <row r="678" spans="1:46" x14ac:dyDescent="0.3">
      <c r="A678" s="173"/>
      <c r="B678" s="44"/>
      <c r="C678" s="45"/>
      <c r="D678" s="45"/>
      <c r="E678" s="45"/>
      <c r="F678" s="45"/>
      <c r="G678" s="45"/>
      <c r="H678" s="44"/>
      <c r="I678" s="44"/>
      <c r="J678" s="45"/>
      <c r="K678" s="45"/>
      <c r="L678" s="44"/>
      <c r="M678" s="45"/>
      <c r="N678" s="45"/>
      <c r="O678" s="45"/>
      <c r="P678" s="45"/>
      <c r="Q678" s="45"/>
      <c r="R678" s="45"/>
      <c r="S678" s="45"/>
      <c r="T678" s="45"/>
      <c r="U678" s="45"/>
      <c r="V678" s="45"/>
      <c r="W678" s="173"/>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row>
    <row r="679" spans="1:46" x14ac:dyDescent="0.3">
      <c r="A679" s="173"/>
      <c r="B679" s="44"/>
      <c r="C679" s="45"/>
      <c r="D679" s="45"/>
      <c r="E679" s="45"/>
      <c r="F679" s="45"/>
      <c r="G679" s="45"/>
      <c r="H679" s="44"/>
      <c r="I679" s="44"/>
      <c r="J679" s="45"/>
      <c r="K679" s="45"/>
      <c r="L679" s="44"/>
      <c r="M679" s="45"/>
      <c r="N679" s="45"/>
      <c r="O679" s="45"/>
      <c r="P679" s="45"/>
      <c r="Q679" s="45"/>
      <c r="R679" s="45"/>
      <c r="S679" s="45"/>
      <c r="T679" s="45"/>
      <c r="U679" s="45"/>
      <c r="V679" s="45"/>
      <c r="W679" s="173"/>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row>
    <row r="680" spans="1:46" x14ac:dyDescent="0.3">
      <c r="A680" s="173"/>
      <c r="B680" s="44"/>
      <c r="C680" s="45"/>
      <c r="D680" s="45"/>
      <c r="E680" s="45"/>
      <c r="F680" s="45"/>
      <c r="G680" s="45"/>
      <c r="H680" s="44"/>
      <c r="I680" s="44"/>
      <c r="J680" s="45"/>
      <c r="K680" s="45"/>
      <c r="L680" s="44"/>
      <c r="M680" s="45"/>
      <c r="N680" s="45"/>
      <c r="O680" s="45"/>
      <c r="P680" s="45"/>
      <c r="Q680" s="45"/>
      <c r="R680" s="45"/>
      <c r="S680" s="45"/>
      <c r="T680" s="45"/>
      <c r="U680" s="45"/>
      <c r="V680" s="45"/>
      <c r="W680" s="173"/>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row>
    <row r="681" spans="1:46" x14ac:dyDescent="0.3">
      <c r="A681" s="173"/>
      <c r="B681" s="44"/>
      <c r="C681" s="45"/>
      <c r="D681" s="45"/>
      <c r="E681" s="45"/>
      <c r="F681" s="45"/>
      <c r="G681" s="45"/>
      <c r="H681" s="44"/>
      <c r="I681" s="44"/>
      <c r="J681" s="45"/>
      <c r="K681" s="45"/>
      <c r="L681" s="44"/>
      <c r="M681" s="45"/>
      <c r="N681" s="45"/>
      <c r="O681" s="45"/>
      <c r="P681" s="45"/>
      <c r="Q681" s="45"/>
      <c r="R681" s="45"/>
      <c r="S681" s="45"/>
      <c r="T681" s="45"/>
      <c r="U681" s="45"/>
      <c r="V681" s="45"/>
      <c r="W681" s="173"/>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row>
    <row r="682" spans="1:46" x14ac:dyDescent="0.3">
      <c r="A682" s="173"/>
      <c r="B682" s="44"/>
      <c r="C682" s="45"/>
      <c r="D682" s="45"/>
      <c r="E682" s="45"/>
      <c r="F682" s="45"/>
      <c r="G682" s="45"/>
      <c r="H682" s="44"/>
      <c r="I682" s="44"/>
      <c r="J682" s="45"/>
      <c r="K682" s="45"/>
      <c r="L682" s="44"/>
      <c r="M682" s="45"/>
      <c r="N682" s="45"/>
      <c r="O682" s="45"/>
      <c r="P682" s="45"/>
      <c r="Q682" s="45"/>
      <c r="R682" s="45"/>
      <c r="S682" s="45"/>
      <c r="T682" s="45"/>
      <c r="U682" s="45"/>
      <c r="V682" s="45"/>
      <c r="W682" s="173"/>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row>
    <row r="683" spans="1:46" x14ac:dyDescent="0.3">
      <c r="A683" s="173"/>
      <c r="B683" s="44"/>
      <c r="C683" s="45"/>
      <c r="D683" s="45"/>
      <c r="E683" s="45"/>
      <c r="F683" s="45"/>
      <c r="G683" s="45"/>
      <c r="H683" s="44"/>
      <c r="I683" s="44"/>
      <c r="J683" s="45"/>
      <c r="K683" s="45"/>
      <c r="L683" s="44"/>
      <c r="M683" s="45"/>
      <c r="N683" s="45"/>
      <c r="O683" s="45"/>
      <c r="P683" s="45"/>
      <c r="Q683" s="45"/>
      <c r="R683" s="45"/>
      <c r="S683" s="45"/>
      <c r="T683" s="45"/>
      <c r="U683" s="45"/>
      <c r="V683" s="45"/>
      <c r="W683" s="173"/>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row>
    <row r="684" spans="1:46" x14ac:dyDescent="0.3">
      <c r="A684" s="173"/>
      <c r="B684" s="44"/>
      <c r="C684" s="45"/>
      <c r="D684" s="45"/>
      <c r="E684" s="45"/>
      <c r="F684" s="45"/>
      <c r="G684" s="45"/>
      <c r="H684" s="44"/>
      <c r="I684" s="44"/>
      <c r="J684" s="45"/>
      <c r="K684" s="45"/>
      <c r="L684" s="44"/>
      <c r="M684" s="45"/>
      <c r="N684" s="45"/>
      <c r="O684" s="45"/>
      <c r="P684" s="45"/>
      <c r="Q684" s="45"/>
      <c r="R684" s="45"/>
      <c r="S684" s="45"/>
      <c r="T684" s="45"/>
      <c r="U684" s="45"/>
      <c r="V684" s="45"/>
      <c r="W684" s="173"/>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row>
    <row r="685" spans="1:46" x14ac:dyDescent="0.3">
      <c r="A685" s="173"/>
      <c r="B685" s="44"/>
      <c r="C685" s="45"/>
      <c r="D685" s="45"/>
      <c r="E685" s="45"/>
      <c r="F685" s="45"/>
      <c r="G685" s="45"/>
      <c r="H685" s="44"/>
      <c r="I685" s="44"/>
      <c r="J685" s="45"/>
      <c r="K685" s="45"/>
      <c r="L685" s="44"/>
      <c r="M685" s="45"/>
      <c r="N685" s="45"/>
      <c r="O685" s="45"/>
      <c r="P685" s="45"/>
      <c r="Q685" s="45"/>
      <c r="R685" s="45"/>
      <c r="S685" s="45"/>
      <c r="T685" s="45"/>
      <c r="U685" s="45"/>
      <c r="V685" s="45"/>
      <c r="W685" s="173"/>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row>
    <row r="686" spans="1:46" x14ac:dyDescent="0.3">
      <c r="A686" s="173"/>
      <c r="B686" s="44"/>
      <c r="C686" s="45"/>
      <c r="D686" s="45"/>
      <c r="E686" s="45"/>
      <c r="F686" s="45"/>
      <c r="G686" s="45"/>
      <c r="H686" s="44"/>
      <c r="I686" s="44"/>
      <c r="J686" s="45"/>
      <c r="K686" s="45"/>
      <c r="L686" s="44"/>
      <c r="M686" s="45"/>
      <c r="N686" s="45"/>
      <c r="O686" s="45"/>
      <c r="P686" s="45"/>
      <c r="Q686" s="45"/>
      <c r="R686" s="45"/>
      <c r="S686" s="45"/>
      <c r="T686" s="45"/>
      <c r="U686" s="45"/>
      <c r="V686" s="45"/>
      <c r="W686" s="173"/>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row>
    <row r="687" spans="1:46" x14ac:dyDescent="0.3">
      <c r="A687" s="173"/>
      <c r="B687" s="44"/>
      <c r="C687" s="45"/>
      <c r="D687" s="45"/>
      <c r="E687" s="45"/>
      <c r="F687" s="45"/>
      <c r="G687" s="45"/>
      <c r="H687" s="44"/>
      <c r="I687" s="44"/>
      <c r="J687" s="45"/>
      <c r="K687" s="45"/>
      <c r="L687" s="44"/>
      <c r="M687" s="45"/>
      <c r="N687" s="45"/>
      <c r="O687" s="45"/>
      <c r="P687" s="45"/>
      <c r="Q687" s="45"/>
      <c r="R687" s="45"/>
      <c r="S687" s="45"/>
      <c r="T687" s="45"/>
      <c r="U687" s="45"/>
      <c r="V687" s="45"/>
      <c r="W687" s="173"/>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row>
    <row r="688" spans="1:46" x14ac:dyDescent="0.3">
      <c r="A688" s="173"/>
      <c r="B688" s="44"/>
      <c r="C688" s="45"/>
      <c r="D688" s="45"/>
      <c r="E688" s="45"/>
      <c r="F688" s="45"/>
      <c r="G688" s="45"/>
      <c r="H688" s="44"/>
      <c r="I688" s="44"/>
      <c r="J688" s="45"/>
      <c r="K688" s="45"/>
      <c r="L688" s="44"/>
      <c r="M688" s="45"/>
      <c r="N688" s="45"/>
      <c r="O688" s="45"/>
      <c r="P688" s="45"/>
      <c r="Q688" s="45"/>
      <c r="R688" s="45"/>
      <c r="S688" s="45"/>
      <c r="T688" s="45"/>
      <c r="U688" s="45"/>
      <c r="V688" s="45"/>
      <c r="W688" s="173"/>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row>
    <row r="689" spans="1:46" x14ac:dyDescent="0.3">
      <c r="A689" s="173"/>
      <c r="B689" s="44"/>
      <c r="C689" s="45"/>
      <c r="D689" s="45"/>
      <c r="E689" s="45"/>
      <c r="F689" s="45"/>
      <c r="G689" s="45"/>
      <c r="H689" s="44"/>
      <c r="I689" s="44"/>
      <c r="J689" s="45"/>
      <c r="K689" s="45"/>
      <c r="L689" s="44"/>
      <c r="M689" s="45"/>
      <c r="N689" s="45"/>
      <c r="O689" s="45"/>
      <c r="P689" s="45"/>
      <c r="Q689" s="45"/>
      <c r="R689" s="45"/>
      <c r="S689" s="45"/>
      <c r="T689" s="45"/>
      <c r="U689" s="45"/>
      <c r="V689" s="45"/>
      <c r="W689" s="173"/>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row>
    <row r="690" spans="1:46" x14ac:dyDescent="0.3">
      <c r="A690" s="173"/>
      <c r="B690" s="44"/>
      <c r="C690" s="45"/>
      <c r="D690" s="45"/>
      <c r="E690" s="45"/>
      <c r="F690" s="45"/>
      <c r="G690" s="45"/>
      <c r="H690" s="44"/>
      <c r="I690" s="44"/>
      <c r="J690" s="45"/>
      <c r="K690" s="45"/>
      <c r="L690" s="44"/>
      <c r="M690" s="45"/>
      <c r="N690" s="45"/>
      <c r="O690" s="45"/>
      <c r="P690" s="45"/>
      <c r="Q690" s="45"/>
      <c r="R690" s="45"/>
      <c r="S690" s="45"/>
      <c r="T690" s="45"/>
      <c r="U690" s="45"/>
      <c r="V690" s="45"/>
      <c r="W690" s="173"/>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row>
    <row r="691" spans="1:46" x14ac:dyDescent="0.3">
      <c r="A691" s="173"/>
      <c r="B691" s="44"/>
      <c r="C691" s="45"/>
      <c r="D691" s="45"/>
      <c r="E691" s="45"/>
      <c r="F691" s="45"/>
      <c r="G691" s="45"/>
      <c r="H691" s="44"/>
      <c r="I691" s="44"/>
      <c r="J691" s="45"/>
      <c r="K691" s="45"/>
      <c r="L691" s="44"/>
      <c r="M691" s="45"/>
      <c r="N691" s="45"/>
      <c r="O691" s="45"/>
      <c r="P691" s="45"/>
      <c r="Q691" s="45"/>
      <c r="R691" s="45"/>
      <c r="S691" s="45"/>
      <c r="T691" s="45"/>
      <c r="U691" s="45"/>
      <c r="V691" s="45"/>
      <c r="W691" s="173"/>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row>
    <row r="692" spans="1:46" x14ac:dyDescent="0.3">
      <c r="A692" s="173"/>
      <c r="B692" s="44"/>
      <c r="C692" s="45"/>
      <c r="D692" s="45"/>
      <c r="E692" s="45"/>
      <c r="F692" s="45"/>
      <c r="G692" s="45"/>
      <c r="H692" s="44"/>
      <c r="I692" s="44"/>
      <c r="J692" s="45"/>
      <c r="K692" s="45"/>
      <c r="L692" s="44"/>
      <c r="M692" s="45"/>
      <c r="N692" s="45"/>
      <c r="O692" s="45"/>
      <c r="P692" s="45"/>
      <c r="Q692" s="45"/>
      <c r="R692" s="45"/>
      <c r="S692" s="45"/>
      <c r="T692" s="45"/>
      <c r="U692" s="45"/>
      <c r="V692" s="45"/>
      <c r="W692" s="173"/>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row>
    <row r="693" spans="1:46" x14ac:dyDescent="0.3">
      <c r="A693" s="173"/>
      <c r="B693" s="44"/>
      <c r="C693" s="45"/>
      <c r="D693" s="45"/>
      <c r="E693" s="45"/>
      <c r="F693" s="45"/>
      <c r="G693" s="45"/>
      <c r="H693" s="44"/>
      <c r="I693" s="44"/>
      <c r="J693" s="45"/>
      <c r="K693" s="45"/>
      <c r="L693" s="44"/>
      <c r="M693" s="45"/>
      <c r="N693" s="45"/>
      <c r="O693" s="45"/>
      <c r="P693" s="45"/>
      <c r="Q693" s="45"/>
      <c r="R693" s="45"/>
      <c r="S693" s="45"/>
      <c r="T693" s="45"/>
      <c r="U693" s="45"/>
      <c r="V693" s="45"/>
      <c r="W693" s="173"/>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row>
    <row r="694" spans="1:46" x14ac:dyDescent="0.3">
      <c r="A694" s="173"/>
      <c r="B694" s="44"/>
      <c r="C694" s="45"/>
      <c r="D694" s="45"/>
      <c r="E694" s="45"/>
      <c r="F694" s="45"/>
      <c r="G694" s="45"/>
      <c r="H694" s="44"/>
      <c r="I694" s="44"/>
      <c r="J694" s="45"/>
      <c r="K694" s="45"/>
      <c r="L694" s="44"/>
      <c r="M694" s="45"/>
      <c r="N694" s="45"/>
      <c r="O694" s="45"/>
      <c r="P694" s="45"/>
      <c r="Q694" s="45"/>
      <c r="R694" s="45"/>
      <c r="S694" s="45"/>
      <c r="T694" s="45"/>
      <c r="U694" s="45"/>
      <c r="V694" s="45"/>
      <c r="W694" s="173"/>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row>
    <row r="695" spans="1:46" x14ac:dyDescent="0.3">
      <c r="A695" s="173"/>
      <c r="B695" s="44"/>
      <c r="C695" s="45"/>
      <c r="D695" s="45"/>
      <c r="E695" s="45"/>
      <c r="F695" s="45"/>
      <c r="G695" s="45"/>
      <c r="H695" s="44"/>
      <c r="I695" s="44"/>
      <c r="J695" s="45"/>
      <c r="K695" s="45"/>
      <c r="L695" s="44"/>
      <c r="M695" s="45"/>
      <c r="N695" s="45"/>
      <c r="O695" s="45"/>
      <c r="P695" s="45"/>
      <c r="Q695" s="45"/>
      <c r="R695" s="45"/>
      <c r="S695" s="45"/>
      <c r="T695" s="45"/>
      <c r="U695" s="45"/>
      <c r="V695" s="45"/>
      <c r="W695" s="173"/>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row>
    <row r="696" spans="1:46" x14ac:dyDescent="0.3">
      <c r="A696" s="173"/>
      <c r="B696" s="44"/>
      <c r="C696" s="45"/>
      <c r="D696" s="45"/>
      <c r="E696" s="45"/>
      <c r="F696" s="45"/>
      <c r="G696" s="45"/>
      <c r="H696" s="44"/>
      <c r="I696" s="44"/>
      <c r="J696" s="45"/>
      <c r="K696" s="45"/>
      <c r="L696" s="44"/>
      <c r="M696" s="45"/>
      <c r="N696" s="45"/>
      <c r="O696" s="45"/>
      <c r="P696" s="45"/>
      <c r="Q696" s="45"/>
      <c r="R696" s="45"/>
      <c r="S696" s="45"/>
      <c r="T696" s="45"/>
      <c r="U696" s="45"/>
      <c r="V696" s="45"/>
      <c r="W696" s="173"/>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row>
    <row r="697" spans="1:46" x14ac:dyDescent="0.3">
      <c r="A697" s="173"/>
      <c r="B697" s="44"/>
      <c r="C697" s="45"/>
      <c r="D697" s="45"/>
      <c r="E697" s="45"/>
      <c r="F697" s="45"/>
      <c r="G697" s="45"/>
      <c r="H697" s="44"/>
      <c r="I697" s="44"/>
      <c r="J697" s="45"/>
      <c r="K697" s="45"/>
      <c r="L697" s="44"/>
      <c r="M697" s="45"/>
      <c r="N697" s="45"/>
      <c r="O697" s="45"/>
      <c r="P697" s="45"/>
      <c r="Q697" s="45"/>
      <c r="R697" s="45"/>
      <c r="S697" s="45"/>
      <c r="T697" s="45"/>
      <c r="U697" s="45"/>
      <c r="V697" s="45"/>
      <c r="W697" s="173"/>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row>
    <row r="698" spans="1:46" x14ac:dyDescent="0.3">
      <c r="A698" s="173"/>
      <c r="B698" s="44"/>
      <c r="C698" s="45"/>
      <c r="D698" s="45"/>
      <c r="E698" s="45"/>
      <c r="F698" s="45"/>
      <c r="G698" s="45"/>
      <c r="H698" s="44"/>
      <c r="I698" s="44"/>
      <c r="J698" s="45"/>
      <c r="K698" s="45"/>
      <c r="L698" s="44"/>
      <c r="M698" s="45"/>
      <c r="N698" s="45"/>
      <c r="O698" s="45"/>
      <c r="P698" s="45"/>
      <c r="Q698" s="45"/>
      <c r="R698" s="45"/>
      <c r="S698" s="45"/>
      <c r="T698" s="45"/>
      <c r="U698" s="45"/>
      <c r="V698" s="45"/>
      <c r="W698" s="173"/>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row>
    <row r="699" spans="1:46" x14ac:dyDescent="0.3">
      <c r="A699" s="173"/>
      <c r="B699" s="44"/>
      <c r="C699" s="45"/>
      <c r="D699" s="45"/>
      <c r="E699" s="45"/>
      <c r="F699" s="45"/>
      <c r="G699" s="45"/>
      <c r="H699" s="44"/>
      <c r="I699" s="44"/>
      <c r="J699" s="45"/>
      <c r="K699" s="45"/>
      <c r="L699" s="44"/>
      <c r="M699" s="45"/>
      <c r="N699" s="45"/>
      <c r="O699" s="45"/>
      <c r="P699" s="45"/>
      <c r="Q699" s="45"/>
      <c r="R699" s="45"/>
      <c r="S699" s="45"/>
      <c r="T699" s="45"/>
      <c r="U699" s="45"/>
      <c r="V699" s="45"/>
      <c r="W699" s="173"/>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row>
    <row r="700" spans="1:46" x14ac:dyDescent="0.3">
      <c r="A700" s="173"/>
      <c r="B700" s="44"/>
      <c r="C700" s="45"/>
      <c r="D700" s="45"/>
      <c r="E700" s="45"/>
      <c r="F700" s="45"/>
      <c r="G700" s="45"/>
      <c r="H700" s="44"/>
      <c r="I700" s="44"/>
      <c r="J700" s="45"/>
      <c r="K700" s="45"/>
      <c r="L700" s="44"/>
      <c r="M700" s="45"/>
      <c r="N700" s="45"/>
      <c r="O700" s="45"/>
      <c r="P700" s="45"/>
      <c r="Q700" s="45"/>
      <c r="R700" s="45"/>
      <c r="S700" s="45"/>
      <c r="T700" s="45"/>
      <c r="U700" s="45"/>
      <c r="V700" s="45"/>
      <c r="W700" s="173"/>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row>
    <row r="701" spans="1:46" x14ac:dyDescent="0.3">
      <c r="A701" s="173"/>
      <c r="B701" s="44"/>
      <c r="C701" s="45"/>
      <c r="D701" s="45"/>
      <c r="E701" s="45"/>
      <c r="F701" s="45"/>
      <c r="G701" s="45"/>
      <c r="H701" s="44"/>
      <c r="I701" s="44"/>
      <c r="J701" s="45"/>
      <c r="K701" s="45"/>
      <c r="L701" s="44"/>
      <c r="M701" s="45"/>
      <c r="N701" s="45"/>
      <c r="O701" s="45"/>
      <c r="P701" s="45"/>
      <c r="Q701" s="45"/>
      <c r="R701" s="45"/>
      <c r="S701" s="45"/>
      <c r="T701" s="45"/>
      <c r="U701" s="45"/>
      <c r="V701" s="45"/>
      <c r="W701" s="173"/>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row>
    <row r="702" spans="1:46" x14ac:dyDescent="0.3">
      <c r="A702" s="173"/>
      <c r="B702" s="44"/>
      <c r="C702" s="45"/>
      <c r="D702" s="45"/>
      <c r="E702" s="45"/>
      <c r="F702" s="45"/>
      <c r="G702" s="45"/>
      <c r="H702" s="44"/>
      <c r="I702" s="44"/>
      <c r="J702" s="45"/>
      <c r="K702" s="45"/>
      <c r="L702" s="44"/>
      <c r="M702" s="45"/>
      <c r="N702" s="45"/>
      <c r="O702" s="45"/>
      <c r="P702" s="45"/>
      <c r="Q702" s="45"/>
      <c r="R702" s="45"/>
      <c r="S702" s="45"/>
      <c r="T702" s="45"/>
      <c r="U702" s="45"/>
      <c r="V702" s="45"/>
      <c r="W702" s="173"/>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row>
    <row r="703" spans="1:46" x14ac:dyDescent="0.3">
      <c r="A703" s="173"/>
      <c r="B703" s="44"/>
      <c r="C703" s="45"/>
      <c r="D703" s="45"/>
      <c r="E703" s="45"/>
      <c r="F703" s="45"/>
      <c r="G703" s="45"/>
      <c r="H703" s="44"/>
      <c r="I703" s="44"/>
      <c r="J703" s="45"/>
      <c r="K703" s="45"/>
      <c r="L703" s="44"/>
      <c r="M703" s="45"/>
      <c r="N703" s="45"/>
      <c r="O703" s="45"/>
      <c r="P703" s="45"/>
      <c r="Q703" s="45"/>
      <c r="R703" s="45"/>
      <c r="S703" s="45"/>
      <c r="T703" s="45"/>
      <c r="U703" s="45"/>
      <c r="V703" s="45"/>
      <c r="W703" s="173"/>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row>
    <row r="704" spans="1:46" x14ac:dyDescent="0.3">
      <c r="A704" s="173"/>
      <c r="B704" s="44"/>
      <c r="C704" s="45"/>
      <c r="D704" s="45"/>
      <c r="E704" s="45"/>
      <c r="F704" s="45"/>
      <c r="G704" s="45"/>
      <c r="H704" s="44"/>
      <c r="I704" s="44"/>
      <c r="J704" s="45"/>
      <c r="K704" s="45"/>
      <c r="L704" s="44"/>
      <c r="M704" s="45"/>
      <c r="N704" s="45"/>
      <c r="O704" s="45"/>
      <c r="P704" s="45"/>
      <c r="Q704" s="45"/>
      <c r="R704" s="45"/>
      <c r="S704" s="45"/>
      <c r="T704" s="45"/>
      <c r="U704" s="45"/>
      <c r="V704" s="45"/>
      <c r="W704" s="173"/>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row>
    <row r="705" spans="1:46" x14ac:dyDescent="0.3">
      <c r="A705" s="173"/>
      <c r="B705" s="44"/>
      <c r="C705" s="45"/>
      <c r="D705" s="45"/>
      <c r="E705" s="45"/>
      <c r="F705" s="45"/>
      <c r="G705" s="45"/>
      <c r="H705" s="44"/>
      <c r="I705" s="44"/>
      <c r="J705" s="45"/>
      <c r="K705" s="45"/>
      <c r="L705" s="44"/>
      <c r="M705" s="45"/>
      <c r="N705" s="45"/>
      <c r="O705" s="45"/>
      <c r="P705" s="45"/>
      <c r="Q705" s="45"/>
      <c r="R705" s="45"/>
      <c r="S705" s="45"/>
      <c r="T705" s="45"/>
      <c r="U705" s="45"/>
      <c r="V705" s="45"/>
      <c r="W705" s="173"/>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row>
    <row r="706" spans="1:46" x14ac:dyDescent="0.3">
      <c r="A706" s="173"/>
      <c r="B706" s="44"/>
      <c r="C706" s="45"/>
      <c r="D706" s="45"/>
      <c r="E706" s="45"/>
      <c r="F706" s="45"/>
      <c r="G706" s="45"/>
      <c r="H706" s="44"/>
      <c r="I706" s="44"/>
      <c r="J706" s="45"/>
      <c r="K706" s="45"/>
      <c r="L706" s="44"/>
      <c r="M706" s="45"/>
      <c r="N706" s="45"/>
      <c r="O706" s="45"/>
      <c r="P706" s="45"/>
      <c r="Q706" s="45"/>
      <c r="R706" s="45"/>
      <c r="S706" s="45"/>
      <c r="T706" s="45"/>
      <c r="U706" s="45"/>
      <c r="V706" s="45"/>
      <c r="W706" s="173"/>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row>
    <row r="707" spans="1:46" x14ac:dyDescent="0.3">
      <c r="A707" s="173"/>
      <c r="B707" s="44"/>
      <c r="C707" s="45"/>
      <c r="D707" s="45"/>
      <c r="E707" s="45"/>
      <c r="F707" s="45"/>
      <c r="G707" s="45"/>
      <c r="H707" s="44"/>
      <c r="I707" s="44"/>
      <c r="J707" s="45"/>
      <c r="K707" s="45"/>
      <c r="L707" s="44"/>
      <c r="M707" s="45"/>
      <c r="N707" s="45"/>
      <c r="O707" s="45"/>
      <c r="P707" s="45"/>
      <c r="Q707" s="45"/>
      <c r="R707" s="45"/>
      <c r="S707" s="45"/>
      <c r="T707" s="45"/>
      <c r="U707" s="45"/>
      <c r="V707" s="45"/>
      <c r="W707" s="173"/>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row>
    <row r="708" spans="1:46" x14ac:dyDescent="0.3">
      <c r="A708" s="173"/>
      <c r="B708" s="44"/>
      <c r="C708" s="45"/>
      <c r="D708" s="45"/>
      <c r="E708" s="45"/>
      <c r="F708" s="45"/>
      <c r="G708" s="45"/>
      <c r="H708" s="44"/>
      <c r="I708" s="44"/>
      <c r="J708" s="45"/>
      <c r="K708" s="45"/>
      <c r="L708" s="44"/>
      <c r="M708" s="45"/>
      <c r="N708" s="45"/>
      <c r="O708" s="45"/>
      <c r="P708" s="45"/>
      <c r="Q708" s="45"/>
      <c r="R708" s="45"/>
      <c r="S708" s="45"/>
      <c r="T708" s="45"/>
      <c r="U708" s="45"/>
      <c r="V708" s="45"/>
      <c r="W708" s="173"/>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row>
    <row r="709" spans="1:46" x14ac:dyDescent="0.3">
      <c r="A709" s="173"/>
      <c r="B709" s="44"/>
      <c r="C709" s="45"/>
      <c r="D709" s="45"/>
      <c r="E709" s="45"/>
      <c r="F709" s="45"/>
      <c r="G709" s="45"/>
      <c r="H709" s="44"/>
      <c r="I709" s="44"/>
      <c r="J709" s="45"/>
      <c r="K709" s="45"/>
      <c r="L709" s="44"/>
      <c r="M709" s="45"/>
      <c r="N709" s="45"/>
      <c r="O709" s="45"/>
      <c r="P709" s="45"/>
      <c r="Q709" s="45"/>
      <c r="R709" s="45"/>
      <c r="S709" s="45"/>
      <c r="T709" s="45"/>
      <c r="U709" s="45"/>
      <c r="V709" s="45"/>
      <c r="W709" s="173"/>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row>
    <row r="710" spans="1:46" x14ac:dyDescent="0.3">
      <c r="A710" s="173"/>
      <c r="B710" s="44"/>
      <c r="C710" s="45"/>
      <c r="D710" s="45"/>
      <c r="E710" s="45"/>
      <c r="F710" s="45"/>
      <c r="G710" s="45"/>
      <c r="H710" s="44"/>
      <c r="I710" s="44"/>
      <c r="J710" s="45"/>
      <c r="K710" s="45"/>
      <c r="L710" s="44"/>
      <c r="M710" s="45"/>
      <c r="N710" s="45"/>
      <c r="O710" s="45"/>
      <c r="P710" s="45"/>
      <c r="Q710" s="45"/>
      <c r="R710" s="45"/>
      <c r="S710" s="45"/>
      <c r="T710" s="45"/>
      <c r="U710" s="45"/>
      <c r="V710" s="45"/>
      <c r="W710" s="173"/>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row>
    <row r="711" spans="1:46" x14ac:dyDescent="0.3">
      <c r="A711" s="173"/>
      <c r="B711" s="44"/>
      <c r="C711" s="45"/>
      <c r="D711" s="45"/>
      <c r="E711" s="45"/>
      <c r="F711" s="45"/>
      <c r="G711" s="45"/>
      <c r="H711" s="44"/>
      <c r="I711" s="44"/>
      <c r="J711" s="45"/>
      <c r="K711" s="45"/>
      <c r="L711" s="44"/>
      <c r="M711" s="45"/>
      <c r="N711" s="45"/>
      <c r="O711" s="45"/>
      <c r="P711" s="45"/>
      <c r="Q711" s="45"/>
      <c r="R711" s="45"/>
      <c r="S711" s="45"/>
      <c r="T711" s="45"/>
      <c r="U711" s="45"/>
      <c r="V711" s="45"/>
      <c r="W711" s="173"/>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row>
    <row r="712" spans="1:46" x14ac:dyDescent="0.3">
      <c r="A712" s="173"/>
      <c r="B712" s="44"/>
      <c r="C712" s="45"/>
      <c r="D712" s="45"/>
      <c r="E712" s="45"/>
      <c r="F712" s="45"/>
      <c r="G712" s="45"/>
      <c r="H712" s="44"/>
      <c r="I712" s="44"/>
      <c r="J712" s="45"/>
      <c r="K712" s="45"/>
      <c r="L712" s="44"/>
      <c r="M712" s="45"/>
      <c r="N712" s="45"/>
      <c r="O712" s="45"/>
      <c r="P712" s="45"/>
      <c r="Q712" s="45"/>
      <c r="R712" s="45"/>
      <c r="S712" s="45"/>
      <c r="T712" s="45"/>
      <c r="U712" s="45"/>
      <c r="V712" s="45"/>
      <c r="W712" s="173"/>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row>
    <row r="713" spans="1:46" x14ac:dyDescent="0.3">
      <c r="A713" s="173"/>
      <c r="B713" s="44"/>
      <c r="C713" s="45"/>
      <c r="D713" s="45"/>
      <c r="E713" s="45"/>
      <c r="F713" s="45"/>
      <c r="G713" s="45"/>
      <c r="H713" s="44"/>
      <c r="I713" s="44"/>
      <c r="J713" s="45"/>
      <c r="K713" s="45"/>
      <c r="L713" s="44"/>
      <c r="M713" s="45"/>
      <c r="N713" s="45"/>
      <c r="O713" s="45"/>
      <c r="P713" s="45"/>
      <c r="Q713" s="45"/>
      <c r="R713" s="45"/>
      <c r="S713" s="45"/>
      <c r="T713" s="45"/>
      <c r="U713" s="45"/>
      <c r="V713" s="45"/>
      <c r="W713" s="173"/>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row>
    <row r="714" spans="1:46" x14ac:dyDescent="0.3">
      <c r="A714" s="173"/>
      <c r="B714" s="44"/>
      <c r="C714" s="45"/>
      <c r="D714" s="45"/>
      <c r="E714" s="45"/>
      <c r="F714" s="45"/>
      <c r="G714" s="45"/>
      <c r="H714" s="44"/>
      <c r="I714" s="44"/>
      <c r="J714" s="45"/>
      <c r="K714" s="45"/>
      <c r="L714" s="44"/>
      <c r="M714" s="45"/>
      <c r="N714" s="45"/>
      <c r="O714" s="45"/>
      <c r="P714" s="45"/>
      <c r="Q714" s="45"/>
      <c r="R714" s="45"/>
      <c r="S714" s="45"/>
      <c r="T714" s="45"/>
      <c r="U714" s="45"/>
      <c r="V714" s="45"/>
      <c r="W714" s="173"/>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row>
    <row r="715" spans="1:46" x14ac:dyDescent="0.3">
      <c r="A715" s="173"/>
      <c r="B715" s="44"/>
      <c r="C715" s="45"/>
      <c r="D715" s="45"/>
      <c r="E715" s="45"/>
      <c r="F715" s="45"/>
      <c r="G715" s="45"/>
      <c r="H715" s="44"/>
      <c r="I715" s="44"/>
      <c r="J715" s="45"/>
      <c r="K715" s="45"/>
      <c r="L715" s="44"/>
      <c r="M715" s="45"/>
      <c r="N715" s="45"/>
      <c r="O715" s="45"/>
      <c r="P715" s="45"/>
      <c r="Q715" s="45"/>
      <c r="R715" s="45"/>
      <c r="S715" s="45"/>
      <c r="T715" s="45"/>
      <c r="U715" s="45"/>
      <c r="V715" s="45"/>
      <c r="W715" s="173"/>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row>
    <row r="716" spans="1:46" x14ac:dyDescent="0.3">
      <c r="A716" s="173"/>
      <c r="B716" s="44"/>
      <c r="C716" s="45"/>
      <c r="D716" s="45"/>
      <c r="E716" s="45"/>
      <c r="F716" s="45"/>
      <c r="G716" s="45"/>
      <c r="H716" s="44"/>
      <c r="I716" s="44"/>
      <c r="J716" s="45"/>
      <c r="K716" s="45"/>
      <c r="L716" s="44"/>
      <c r="M716" s="45"/>
      <c r="N716" s="45"/>
      <c r="O716" s="45"/>
      <c r="P716" s="45"/>
      <c r="Q716" s="45"/>
      <c r="R716" s="45"/>
      <c r="S716" s="45"/>
      <c r="T716" s="45"/>
      <c r="U716" s="45"/>
      <c r="V716" s="45"/>
      <c r="W716" s="173"/>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row>
    <row r="717" spans="1:46" x14ac:dyDescent="0.3">
      <c r="A717" s="173"/>
      <c r="B717" s="44"/>
      <c r="C717" s="45"/>
      <c r="D717" s="45"/>
      <c r="E717" s="45"/>
      <c r="F717" s="45"/>
      <c r="G717" s="45"/>
      <c r="H717" s="44"/>
      <c r="I717" s="44"/>
      <c r="J717" s="45"/>
      <c r="K717" s="45"/>
      <c r="L717" s="44"/>
      <c r="M717" s="45"/>
      <c r="N717" s="45"/>
      <c r="O717" s="45"/>
      <c r="P717" s="45"/>
      <c r="Q717" s="45"/>
      <c r="R717" s="45"/>
      <c r="S717" s="45"/>
      <c r="T717" s="45"/>
      <c r="U717" s="45"/>
      <c r="V717" s="45"/>
      <c r="W717" s="173"/>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row>
    <row r="718" spans="1:46" x14ac:dyDescent="0.3">
      <c r="A718" s="173"/>
      <c r="B718" s="44"/>
      <c r="C718" s="45"/>
      <c r="D718" s="45"/>
      <c r="E718" s="45"/>
      <c r="F718" s="45"/>
      <c r="G718" s="45"/>
      <c r="H718" s="44"/>
      <c r="I718" s="44"/>
      <c r="J718" s="45"/>
      <c r="K718" s="45"/>
      <c r="L718" s="44"/>
      <c r="M718" s="45"/>
      <c r="N718" s="45"/>
      <c r="O718" s="45"/>
      <c r="P718" s="45"/>
      <c r="Q718" s="45"/>
      <c r="R718" s="45"/>
      <c r="S718" s="45"/>
      <c r="T718" s="45"/>
      <c r="U718" s="45"/>
      <c r="V718" s="45"/>
      <c r="W718" s="173"/>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row>
    <row r="719" spans="1:46" x14ac:dyDescent="0.3">
      <c r="A719" s="173"/>
      <c r="B719" s="44"/>
      <c r="C719" s="45"/>
      <c r="D719" s="45"/>
      <c r="E719" s="45"/>
      <c r="F719" s="45"/>
      <c r="G719" s="45"/>
      <c r="H719" s="44"/>
      <c r="I719" s="44"/>
      <c r="J719" s="45"/>
      <c r="K719" s="45"/>
      <c r="L719" s="44"/>
      <c r="M719" s="45"/>
      <c r="N719" s="45"/>
      <c r="O719" s="45"/>
      <c r="P719" s="45"/>
      <c r="Q719" s="45"/>
      <c r="R719" s="45"/>
      <c r="S719" s="45"/>
      <c r="T719" s="45"/>
      <c r="U719" s="45"/>
      <c r="V719" s="45"/>
      <c r="W719" s="173"/>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row>
    <row r="720" spans="1:46" x14ac:dyDescent="0.3">
      <c r="A720" s="173"/>
      <c r="B720" s="44"/>
      <c r="C720" s="45"/>
      <c r="D720" s="45"/>
      <c r="E720" s="45"/>
      <c r="F720" s="45"/>
      <c r="G720" s="45"/>
      <c r="H720" s="44"/>
      <c r="I720" s="44"/>
      <c r="J720" s="45"/>
      <c r="K720" s="45"/>
      <c r="L720" s="44"/>
      <c r="M720" s="45"/>
      <c r="N720" s="45"/>
      <c r="O720" s="45"/>
      <c r="P720" s="45"/>
      <c r="Q720" s="45"/>
      <c r="R720" s="45"/>
      <c r="S720" s="45"/>
      <c r="T720" s="45"/>
      <c r="U720" s="45"/>
      <c r="V720" s="45"/>
      <c r="W720" s="173"/>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row>
    <row r="721" spans="1:46" x14ac:dyDescent="0.3">
      <c r="A721" s="173"/>
      <c r="B721" s="44"/>
      <c r="C721" s="45"/>
      <c r="D721" s="45"/>
      <c r="E721" s="45"/>
      <c r="F721" s="45"/>
      <c r="G721" s="45"/>
      <c r="H721" s="44"/>
      <c r="I721" s="44"/>
      <c r="J721" s="45"/>
      <c r="K721" s="45"/>
      <c r="L721" s="44"/>
      <c r="M721" s="45"/>
      <c r="N721" s="45"/>
      <c r="O721" s="45"/>
      <c r="P721" s="45"/>
      <c r="Q721" s="45"/>
      <c r="R721" s="45"/>
      <c r="S721" s="45"/>
      <c r="T721" s="45"/>
      <c r="U721" s="45"/>
      <c r="V721" s="45"/>
      <c r="W721" s="173"/>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row>
    <row r="722" spans="1:46" x14ac:dyDescent="0.3">
      <c r="A722" s="173"/>
      <c r="B722" s="44"/>
      <c r="C722" s="45"/>
      <c r="D722" s="45"/>
      <c r="E722" s="45"/>
      <c r="F722" s="45"/>
      <c r="G722" s="45"/>
      <c r="H722" s="44"/>
      <c r="I722" s="44"/>
      <c r="J722" s="45"/>
      <c r="K722" s="45"/>
      <c r="L722" s="44"/>
      <c r="M722" s="45"/>
      <c r="N722" s="45"/>
      <c r="O722" s="45"/>
      <c r="P722" s="45"/>
      <c r="Q722" s="45"/>
      <c r="R722" s="45"/>
      <c r="S722" s="45"/>
      <c r="T722" s="45"/>
      <c r="U722" s="45"/>
      <c r="V722" s="45"/>
      <c r="W722" s="173"/>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row>
    <row r="723" spans="1:46" x14ac:dyDescent="0.3">
      <c r="A723" s="173"/>
      <c r="B723" s="44"/>
      <c r="C723" s="45"/>
      <c r="D723" s="45"/>
      <c r="E723" s="45"/>
      <c r="F723" s="45"/>
      <c r="G723" s="45"/>
      <c r="H723" s="44"/>
      <c r="I723" s="44"/>
      <c r="J723" s="45"/>
      <c r="K723" s="45"/>
      <c r="L723" s="44"/>
      <c r="M723" s="45"/>
      <c r="N723" s="45"/>
      <c r="O723" s="45"/>
      <c r="P723" s="45"/>
      <c r="Q723" s="45"/>
      <c r="R723" s="45"/>
      <c r="S723" s="45"/>
      <c r="T723" s="45"/>
      <c r="U723" s="45"/>
      <c r="V723" s="45"/>
      <c r="W723" s="173"/>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row>
    <row r="724" spans="1:46" x14ac:dyDescent="0.3">
      <c r="A724" s="173"/>
      <c r="B724" s="44"/>
      <c r="C724" s="45"/>
      <c r="D724" s="45"/>
      <c r="E724" s="45"/>
      <c r="F724" s="45"/>
      <c r="G724" s="45"/>
      <c r="H724" s="44"/>
      <c r="I724" s="44"/>
      <c r="J724" s="45"/>
      <c r="K724" s="45"/>
      <c r="L724" s="44"/>
      <c r="M724" s="45"/>
      <c r="N724" s="45"/>
      <c r="O724" s="45"/>
      <c r="P724" s="45"/>
      <c r="Q724" s="45"/>
      <c r="R724" s="45"/>
      <c r="S724" s="45"/>
      <c r="T724" s="45"/>
      <c r="U724" s="45"/>
      <c r="V724" s="45"/>
      <c r="W724" s="173"/>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row>
    <row r="725" spans="1:46" x14ac:dyDescent="0.3">
      <c r="A725" s="173"/>
      <c r="B725" s="44"/>
      <c r="C725" s="45"/>
      <c r="D725" s="45"/>
      <c r="E725" s="45"/>
      <c r="F725" s="45"/>
      <c r="G725" s="45"/>
      <c r="H725" s="44"/>
      <c r="I725" s="44"/>
      <c r="J725" s="45"/>
      <c r="K725" s="45"/>
      <c r="L725" s="44"/>
      <c r="M725" s="45"/>
      <c r="N725" s="45"/>
      <c r="O725" s="45"/>
      <c r="P725" s="45"/>
      <c r="Q725" s="45"/>
      <c r="R725" s="45"/>
      <c r="S725" s="45"/>
      <c r="T725" s="45"/>
      <c r="U725" s="45"/>
      <c r="V725" s="45"/>
      <c r="W725" s="173"/>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row>
    <row r="726" spans="1:46" x14ac:dyDescent="0.3">
      <c r="A726" s="173"/>
      <c r="B726" s="44"/>
      <c r="C726" s="45"/>
      <c r="D726" s="45"/>
      <c r="E726" s="45"/>
      <c r="F726" s="45"/>
      <c r="G726" s="45"/>
      <c r="H726" s="44"/>
      <c r="I726" s="44"/>
      <c r="J726" s="45"/>
      <c r="K726" s="45"/>
      <c r="L726" s="44"/>
      <c r="M726" s="45"/>
      <c r="N726" s="45"/>
      <c r="O726" s="45"/>
      <c r="P726" s="45"/>
      <c r="Q726" s="45"/>
      <c r="R726" s="45"/>
      <c r="S726" s="45"/>
      <c r="T726" s="45"/>
      <c r="U726" s="45"/>
      <c r="V726" s="45"/>
      <c r="W726" s="173"/>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row>
    <row r="727" spans="1:46" x14ac:dyDescent="0.3">
      <c r="A727" s="173"/>
      <c r="B727" s="44"/>
      <c r="C727" s="45"/>
      <c r="D727" s="45"/>
      <c r="E727" s="45"/>
      <c r="F727" s="45"/>
      <c r="G727" s="45"/>
      <c r="H727" s="44"/>
      <c r="I727" s="44"/>
      <c r="J727" s="45"/>
      <c r="K727" s="45"/>
      <c r="L727" s="44"/>
      <c r="M727" s="45"/>
      <c r="N727" s="45"/>
      <c r="O727" s="45"/>
      <c r="P727" s="45"/>
      <c r="Q727" s="45"/>
      <c r="R727" s="45"/>
      <c r="S727" s="45"/>
      <c r="T727" s="45"/>
      <c r="U727" s="45"/>
      <c r="V727" s="45"/>
      <c r="W727" s="173"/>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row>
    <row r="728" spans="1:46" x14ac:dyDescent="0.3">
      <c r="A728" s="173"/>
      <c r="B728" s="44"/>
      <c r="C728" s="45"/>
      <c r="D728" s="45"/>
      <c r="E728" s="45"/>
      <c r="F728" s="45"/>
      <c r="G728" s="45"/>
      <c r="H728" s="44"/>
      <c r="I728" s="44"/>
      <c r="J728" s="45"/>
      <c r="K728" s="45"/>
      <c r="L728" s="44"/>
      <c r="M728" s="45"/>
      <c r="N728" s="45"/>
      <c r="O728" s="45"/>
      <c r="P728" s="45"/>
      <c r="Q728" s="45"/>
      <c r="R728" s="45"/>
      <c r="S728" s="45"/>
      <c r="T728" s="45"/>
      <c r="U728" s="45"/>
      <c r="V728" s="45"/>
      <c r="W728" s="173"/>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row>
    <row r="729" spans="1:46" x14ac:dyDescent="0.3">
      <c r="A729" s="173"/>
      <c r="B729" s="44"/>
      <c r="C729" s="45"/>
      <c r="D729" s="45"/>
      <c r="E729" s="45"/>
      <c r="F729" s="45"/>
      <c r="G729" s="45"/>
      <c r="H729" s="44"/>
      <c r="I729" s="44"/>
      <c r="J729" s="45"/>
      <c r="K729" s="45"/>
      <c r="L729" s="44"/>
      <c r="M729" s="45"/>
      <c r="N729" s="45"/>
      <c r="O729" s="45"/>
      <c r="P729" s="45"/>
      <c r="Q729" s="45"/>
      <c r="R729" s="45"/>
      <c r="S729" s="45"/>
      <c r="T729" s="45"/>
      <c r="U729" s="45"/>
      <c r="V729" s="45"/>
      <c r="W729" s="173"/>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row>
    <row r="730" spans="1:46" x14ac:dyDescent="0.3">
      <c r="A730" s="173"/>
      <c r="B730" s="44"/>
      <c r="C730" s="45"/>
      <c r="D730" s="45"/>
      <c r="E730" s="45"/>
      <c r="F730" s="45"/>
      <c r="G730" s="45"/>
      <c r="H730" s="44"/>
      <c r="I730" s="44"/>
      <c r="J730" s="45"/>
      <c r="K730" s="45"/>
      <c r="L730" s="44"/>
      <c r="M730" s="45"/>
      <c r="N730" s="45"/>
      <c r="O730" s="45"/>
      <c r="P730" s="45"/>
      <c r="Q730" s="45"/>
      <c r="R730" s="45"/>
      <c r="S730" s="45"/>
      <c r="T730" s="45"/>
      <c r="U730" s="45"/>
      <c r="V730" s="45"/>
      <c r="W730" s="173"/>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row>
    <row r="731" spans="1:46" x14ac:dyDescent="0.3">
      <c r="A731" s="173"/>
      <c r="B731" s="44"/>
      <c r="C731" s="45"/>
      <c r="D731" s="45"/>
      <c r="E731" s="45"/>
      <c r="F731" s="45"/>
      <c r="G731" s="45"/>
      <c r="H731" s="44"/>
      <c r="I731" s="44"/>
      <c r="J731" s="45"/>
      <c r="K731" s="45"/>
      <c r="L731" s="44"/>
      <c r="M731" s="45"/>
      <c r="N731" s="45"/>
      <c r="O731" s="45"/>
      <c r="P731" s="45"/>
      <c r="Q731" s="45"/>
      <c r="R731" s="45"/>
      <c r="S731" s="45"/>
      <c r="T731" s="45"/>
      <c r="U731" s="45"/>
      <c r="V731" s="45"/>
      <c r="W731" s="173"/>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row>
    <row r="732" spans="1:46" x14ac:dyDescent="0.3">
      <c r="A732" s="173"/>
      <c r="B732" s="44"/>
      <c r="C732" s="45"/>
      <c r="D732" s="45"/>
      <c r="E732" s="45"/>
      <c r="F732" s="45"/>
      <c r="G732" s="45"/>
      <c r="H732" s="44"/>
      <c r="I732" s="44"/>
      <c r="J732" s="45"/>
      <c r="K732" s="45"/>
      <c r="L732" s="44"/>
      <c r="M732" s="45"/>
      <c r="N732" s="45"/>
      <c r="O732" s="45"/>
      <c r="P732" s="45"/>
      <c r="Q732" s="45"/>
      <c r="R732" s="45"/>
      <c r="S732" s="45"/>
      <c r="T732" s="45"/>
      <c r="U732" s="45"/>
      <c r="V732" s="45"/>
      <c r="W732" s="173"/>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row>
    <row r="733" spans="1:46" x14ac:dyDescent="0.3">
      <c r="A733" s="173"/>
      <c r="B733" s="44"/>
      <c r="C733" s="45"/>
      <c r="D733" s="45"/>
      <c r="E733" s="45"/>
      <c r="F733" s="45"/>
      <c r="G733" s="45"/>
      <c r="H733" s="44"/>
      <c r="I733" s="44"/>
      <c r="J733" s="45"/>
      <c r="K733" s="45"/>
      <c r="L733" s="44"/>
      <c r="M733" s="45"/>
      <c r="N733" s="45"/>
      <c r="O733" s="45"/>
      <c r="P733" s="45"/>
      <c r="Q733" s="45"/>
      <c r="R733" s="45"/>
      <c r="S733" s="45"/>
      <c r="T733" s="45"/>
      <c r="U733" s="45"/>
      <c r="V733" s="45"/>
      <c r="W733" s="173"/>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row>
    <row r="734" spans="1:46" x14ac:dyDescent="0.3">
      <c r="A734" s="173"/>
      <c r="B734" s="44"/>
      <c r="C734" s="45"/>
      <c r="D734" s="45"/>
      <c r="E734" s="45"/>
      <c r="F734" s="45"/>
      <c r="G734" s="45"/>
      <c r="H734" s="44"/>
      <c r="I734" s="44"/>
      <c r="J734" s="45"/>
      <c r="K734" s="45"/>
      <c r="L734" s="44"/>
      <c r="M734" s="45"/>
      <c r="N734" s="45"/>
      <c r="O734" s="45"/>
      <c r="P734" s="45"/>
      <c r="Q734" s="45"/>
      <c r="R734" s="45"/>
      <c r="S734" s="45"/>
      <c r="T734" s="45"/>
      <c r="U734" s="45"/>
      <c r="V734" s="45"/>
      <c r="W734" s="173"/>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row>
    <row r="735" spans="1:46" x14ac:dyDescent="0.3">
      <c r="A735" s="173"/>
      <c r="B735" s="44"/>
      <c r="C735" s="45"/>
      <c r="D735" s="45"/>
      <c r="E735" s="45"/>
      <c r="F735" s="45"/>
      <c r="G735" s="45"/>
      <c r="H735" s="44"/>
      <c r="I735" s="44"/>
      <c r="J735" s="45"/>
      <c r="K735" s="45"/>
      <c r="L735" s="44"/>
      <c r="M735" s="45"/>
      <c r="N735" s="45"/>
      <c r="O735" s="45"/>
      <c r="P735" s="45"/>
      <c r="Q735" s="45"/>
      <c r="R735" s="45"/>
      <c r="S735" s="45"/>
      <c r="T735" s="45"/>
      <c r="U735" s="45"/>
      <c r="V735" s="45"/>
      <c r="W735" s="173"/>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row>
    <row r="736" spans="1:46" x14ac:dyDescent="0.3">
      <c r="A736" s="173"/>
      <c r="B736" s="44"/>
      <c r="C736" s="45"/>
      <c r="D736" s="45"/>
      <c r="E736" s="45"/>
      <c r="F736" s="45"/>
      <c r="G736" s="45"/>
      <c r="H736" s="44"/>
      <c r="I736" s="44"/>
      <c r="J736" s="45"/>
      <c r="K736" s="45"/>
      <c r="L736" s="44"/>
      <c r="M736" s="45"/>
      <c r="N736" s="45"/>
      <c r="O736" s="45"/>
      <c r="P736" s="45"/>
      <c r="Q736" s="45"/>
      <c r="R736" s="45"/>
      <c r="S736" s="45"/>
      <c r="T736" s="45"/>
      <c r="U736" s="45"/>
      <c r="V736" s="45"/>
      <c r="W736" s="173"/>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row>
    <row r="737" spans="1:46" x14ac:dyDescent="0.3">
      <c r="A737" s="173"/>
      <c r="B737" s="44"/>
      <c r="C737" s="45"/>
      <c r="D737" s="45"/>
      <c r="E737" s="45"/>
      <c r="F737" s="45"/>
      <c r="G737" s="45"/>
      <c r="H737" s="44"/>
      <c r="I737" s="44"/>
      <c r="J737" s="45"/>
      <c r="K737" s="45"/>
      <c r="L737" s="44"/>
      <c r="M737" s="45"/>
      <c r="N737" s="45"/>
      <c r="O737" s="45"/>
      <c r="P737" s="45"/>
      <c r="Q737" s="45"/>
      <c r="R737" s="45"/>
      <c r="S737" s="45"/>
      <c r="T737" s="45"/>
      <c r="U737" s="45"/>
      <c r="V737" s="45"/>
      <c r="W737" s="173"/>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row>
    <row r="738" spans="1:46" x14ac:dyDescent="0.3">
      <c r="A738" s="173"/>
      <c r="B738" s="44"/>
      <c r="C738" s="45"/>
      <c r="D738" s="45"/>
      <c r="E738" s="45"/>
      <c r="F738" s="45"/>
      <c r="G738" s="45"/>
      <c r="H738" s="44"/>
      <c r="I738" s="44"/>
      <c r="J738" s="45"/>
      <c r="K738" s="45"/>
      <c r="L738" s="44"/>
      <c r="M738" s="45"/>
      <c r="N738" s="45"/>
      <c r="O738" s="45"/>
      <c r="P738" s="45"/>
      <c r="Q738" s="45"/>
      <c r="R738" s="45"/>
      <c r="S738" s="45"/>
      <c r="T738" s="45"/>
      <c r="U738" s="45"/>
      <c r="V738" s="45"/>
      <c r="W738" s="173"/>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row>
    <row r="739" spans="1:46" x14ac:dyDescent="0.3">
      <c r="A739" s="173"/>
      <c r="B739" s="44"/>
      <c r="C739" s="45"/>
      <c r="D739" s="45"/>
      <c r="E739" s="45"/>
      <c r="F739" s="45"/>
      <c r="G739" s="45"/>
      <c r="H739" s="44"/>
      <c r="I739" s="44"/>
      <c r="J739" s="45"/>
      <c r="K739" s="45"/>
      <c r="L739" s="44"/>
      <c r="M739" s="45"/>
      <c r="N739" s="45"/>
      <c r="O739" s="45"/>
      <c r="P739" s="45"/>
      <c r="Q739" s="45"/>
      <c r="R739" s="45"/>
      <c r="S739" s="45"/>
      <c r="T739" s="45"/>
      <c r="U739" s="45"/>
      <c r="V739" s="45"/>
      <c r="W739" s="173"/>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row>
    <row r="740" spans="1:46" x14ac:dyDescent="0.3">
      <c r="A740" s="173"/>
      <c r="B740" s="44"/>
      <c r="C740" s="45"/>
      <c r="D740" s="45"/>
      <c r="E740" s="45"/>
      <c r="F740" s="45"/>
      <c r="G740" s="45"/>
      <c r="H740" s="44"/>
      <c r="I740" s="44"/>
      <c r="J740" s="45"/>
      <c r="K740" s="45"/>
      <c r="L740" s="44"/>
      <c r="M740" s="45"/>
      <c r="N740" s="45"/>
      <c r="O740" s="45"/>
      <c r="P740" s="45"/>
      <c r="Q740" s="45"/>
      <c r="R740" s="45"/>
      <c r="S740" s="45"/>
      <c r="T740" s="45"/>
      <c r="U740" s="45"/>
      <c r="V740" s="45"/>
      <c r="W740" s="173"/>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row>
    <row r="741" spans="1:46" x14ac:dyDescent="0.3">
      <c r="A741" s="173"/>
      <c r="B741" s="44"/>
      <c r="C741" s="45"/>
      <c r="D741" s="45"/>
      <c r="E741" s="45"/>
      <c r="F741" s="45"/>
      <c r="G741" s="45"/>
      <c r="H741" s="44"/>
      <c r="I741" s="44"/>
      <c r="J741" s="45"/>
      <c r="K741" s="45"/>
      <c r="L741" s="44"/>
      <c r="M741" s="45"/>
      <c r="N741" s="45"/>
      <c r="O741" s="45"/>
      <c r="P741" s="45"/>
      <c r="Q741" s="45"/>
      <c r="R741" s="45"/>
      <c r="S741" s="45"/>
      <c r="T741" s="45"/>
      <c r="U741" s="45"/>
      <c r="V741" s="45"/>
      <c r="W741" s="173"/>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row>
    <row r="742" spans="1:46" x14ac:dyDescent="0.3">
      <c r="A742" s="173"/>
      <c r="B742" s="44"/>
      <c r="C742" s="45"/>
      <c r="D742" s="45"/>
      <c r="E742" s="45"/>
      <c r="F742" s="45"/>
      <c r="G742" s="45"/>
      <c r="H742" s="44"/>
      <c r="I742" s="44"/>
      <c r="J742" s="45"/>
      <c r="K742" s="45"/>
      <c r="L742" s="44"/>
      <c r="M742" s="45"/>
      <c r="N742" s="45"/>
      <c r="O742" s="45"/>
      <c r="P742" s="45"/>
      <c r="Q742" s="45"/>
      <c r="R742" s="45"/>
      <c r="S742" s="45"/>
      <c r="T742" s="45"/>
      <c r="U742" s="45"/>
      <c r="V742" s="45"/>
      <c r="W742" s="173"/>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row>
    <row r="743" spans="1:46" x14ac:dyDescent="0.3">
      <c r="A743" s="173"/>
      <c r="B743" s="44"/>
      <c r="C743" s="45"/>
      <c r="D743" s="45"/>
      <c r="E743" s="45"/>
      <c r="F743" s="45"/>
      <c r="G743" s="45"/>
      <c r="H743" s="44"/>
      <c r="I743" s="44"/>
      <c r="J743" s="45"/>
      <c r="K743" s="45"/>
      <c r="L743" s="44"/>
      <c r="M743" s="45"/>
      <c r="N743" s="45"/>
      <c r="O743" s="45"/>
      <c r="P743" s="45"/>
      <c r="Q743" s="45"/>
      <c r="R743" s="45"/>
      <c r="S743" s="45"/>
      <c r="T743" s="45"/>
      <c r="U743" s="45"/>
      <c r="V743" s="45"/>
      <c r="W743" s="173"/>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row>
    <row r="744" spans="1:46" x14ac:dyDescent="0.3">
      <c r="A744" s="173"/>
      <c r="B744" s="44"/>
      <c r="C744" s="45"/>
      <c r="D744" s="45"/>
      <c r="E744" s="45"/>
      <c r="F744" s="45"/>
      <c r="G744" s="45"/>
      <c r="H744" s="44"/>
      <c r="I744" s="44"/>
      <c r="J744" s="45"/>
      <c r="K744" s="45"/>
      <c r="L744" s="44"/>
      <c r="M744" s="45"/>
      <c r="N744" s="45"/>
      <c r="O744" s="45"/>
      <c r="P744" s="45"/>
      <c r="Q744" s="45"/>
      <c r="R744" s="45"/>
      <c r="S744" s="45"/>
      <c r="T744" s="45"/>
      <c r="U744" s="45"/>
      <c r="V744" s="45"/>
      <c r="W744" s="173"/>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row>
    <row r="745" spans="1:46" x14ac:dyDescent="0.3">
      <c r="A745" s="173"/>
      <c r="B745" s="44"/>
      <c r="C745" s="45"/>
      <c r="D745" s="45"/>
      <c r="E745" s="45"/>
      <c r="F745" s="45"/>
      <c r="G745" s="45"/>
      <c r="H745" s="44"/>
      <c r="I745" s="44"/>
      <c r="J745" s="45"/>
      <c r="K745" s="45"/>
      <c r="L745" s="44"/>
      <c r="M745" s="45"/>
      <c r="N745" s="45"/>
      <c r="O745" s="45"/>
      <c r="P745" s="45"/>
      <c r="Q745" s="45"/>
      <c r="R745" s="45"/>
      <c r="S745" s="45"/>
      <c r="T745" s="45"/>
      <c r="U745" s="45"/>
      <c r="V745" s="45"/>
      <c r="W745" s="173"/>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row>
    <row r="746" spans="1:46" x14ac:dyDescent="0.3">
      <c r="A746" s="173"/>
      <c r="B746" s="44"/>
      <c r="C746" s="45"/>
      <c r="D746" s="45"/>
      <c r="E746" s="45"/>
      <c r="F746" s="45"/>
      <c r="G746" s="45"/>
      <c r="H746" s="44"/>
      <c r="I746" s="44"/>
      <c r="J746" s="45"/>
      <c r="K746" s="45"/>
      <c r="L746" s="44"/>
      <c r="M746" s="45"/>
      <c r="N746" s="45"/>
      <c r="O746" s="45"/>
      <c r="P746" s="45"/>
      <c r="Q746" s="45"/>
      <c r="R746" s="45"/>
      <c r="S746" s="45"/>
      <c r="T746" s="45"/>
      <c r="U746" s="45"/>
      <c r="V746" s="45"/>
      <c r="W746" s="173"/>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row>
    <row r="747" spans="1:46" x14ac:dyDescent="0.3">
      <c r="A747" s="173"/>
      <c r="B747" s="44"/>
      <c r="C747" s="45"/>
      <c r="D747" s="45"/>
      <c r="E747" s="45"/>
      <c r="F747" s="45"/>
      <c r="G747" s="45"/>
      <c r="H747" s="44"/>
      <c r="I747" s="44"/>
      <c r="J747" s="45"/>
      <c r="K747" s="45"/>
      <c r="L747" s="44"/>
      <c r="M747" s="45"/>
      <c r="N747" s="45"/>
      <c r="O747" s="45"/>
      <c r="P747" s="45"/>
      <c r="Q747" s="45"/>
      <c r="R747" s="45"/>
      <c r="S747" s="45"/>
      <c r="T747" s="45"/>
      <c r="U747" s="45"/>
      <c r="V747" s="45"/>
      <c r="W747" s="173"/>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row>
    <row r="748" spans="1:46" x14ac:dyDescent="0.3">
      <c r="A748" s="173"/>
      <c r="B748" s="44"/>
      <c r="C748" s="45"/>
      <c r="D748" s="45"/>
      <c r="E748" s="45"/>
      <c r="F748" s="45"/>
      <c r="G748" s="45"/>
      <c r="H748" s="44"/>
      <c r="I748" s="44"/>
      <c r="J748" s="45"/>
      <c r="K748" s="45"/>
      <c r="L748" s="44"/>
      <c r="M748" s="45"/>
      <c r="N748" s="45"/>
      <c r="O748" s="45"/>
      <c r="P748" s="45"/>
      <c r="Q748" s="45"/>
      <c r="R748" s="45"/>
      <c r="S748" s="45"/>
      <c r="T748" s="45"/>
      <c r="U748" s="45"/>
      <c r="V748" s="45"/>
      <c r="W748" s="173"/>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row>
    <row r="749" spans="1:46" x14ac:dyDescent="0.3">
      <c r="A749" s="173"/>
      <c r="B749" s="44"/>
      <c r="C749" s="45"/>
      <c r="D749" s="45"/>
      <c r="E749" s="45"/>
      <c r="F749" s="45"/>
      <c r="G749" s="45"/>
      <c r="H749" s="44"/>
      <c r="I749" s="44"/>
      <c r="J749" s="45"/>
      <c r="K749" s="45"/>
      <c r="L749" s="44"/>
      <c r="M749" s="45"/>
      <c r="N749" s="45"/>
      <c r="O749" s="45"/>
      <c r="P749" s="45"/>
      <c r="Q749" s="45"/>
      <c r="R749" s="45"/>
      <c r="S749" s="45"/>
      <c r="T749" s="45"/>
      <c r="U749" s="45"/>
      <c r="V749" s="45"/>
      <c r="W749" s="173"/>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row>
    <row r="750" spans="1:46" x14ac:dyDescent="0.3">
      <c r="A750" s="173"/>
      <c r="B750" s="44"/>
      <c r="C750" s="45"/>
      <c r="D750" s="45"/>
      <c r="E750" s="45"/>
      <c r="F750" s="45"/>
      <c r="G750" s="45"/>
      <c r="H750" s="44"/>
      <c r="I750" s="44"/>
      <c r="J750" s="45"/>
      <c r="K750" s="45"/>
      <c r="L750" s="44"/>
      <c r="M750" s="45"/>
      <c r="N750" s="45"/>
      <c r="O750" s="45"/>
      <c r="P750" s="45"/>
      <c r="Q750" s="45"/>
      <c r="R750" s="45"/>
      <c r="S750" s="45"/>
      <c r="T750" s="45"/>
      <c r="U750" s="45"/>
      <c r="V750" s="45"/>
      <c r="W750" s="173"/>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row>
    <row r="751" spans="1:46" x14ac:dyDescent="0.3">
      <c r="A751" s="173"/>
      <c r="B751" s="44"/>
      <c r="C751" s="45"/>
      <c r="D751" s="45"/>
      <c r="E751" s="45"/>
      <c r="F751" s="45"/>
      <c r="G751" s="45"/>
      <c r="H751" s="44"/>
      <c r="I751" s="44"/>
      <c r="J751" s="45"/>
      <c r="K751" s="45"/>
      <c r="L751" s="44"/>
      <c r="M751" s="45"/>
      <c r="N751" s="45"/>
      <c r="O751" s="45"/>
      <c r="P751" s="45"/>
      <c r="Q751" s="45"/>
      <c r="R751" s="45"/>
      <c r="S751" s="45"/>
      <c r="T751" s="45"/>
      <c r="U751" s="45"/>
      <c r="V751" s="45"/>
      <c r="W751" s="173"/>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row>
    <row r="752" spans="1:46" x14ac:dyDescent="0.3">
      <c r="A752" s="173"/>
      <c r="B752" s="44"/>
      <c r="C752" s="45"/>
      <c r="D752" s="45"/>
      <c r="E752" s="45"/>
      <c r="F752" s="45"/>
      <c r="G752" s="45"/>
      <c r="H752" s="44"/>
      <c r="I752" s="44"/>
      <c r="J752" s="45"/>
      <c r="K752" s="45"/>
      <c r="L752" s="44"/>
      <c r="M752" s="45"/>
      <c r="N752" s="45"/>
      <c r="O752" s="45"/>
      <c r="P752" s="45"/>
      <c r="Q752" s="45"/>
      <c r="R752" s="45"/>
      <c r="S752" s="45"/>
      <c r="T752" s="45"/>
      <c r="U752" s="45"/>
      <c r="V752" s="45"/>
      <c r="W752" s="173"/>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row>
    <row r="753" spans="1:46" x14ac:dyDescent="0.3">
      <c r="A753" s="173"/>
      <c r="B753" s="44"/>
      <c r="C753" s="45"/>
      <c r="D753" s="45"/>
      <c r="E753" s="45"/>
      <c r="F753" s="45"/>
      <c r="G753" s="45"/>
      <c r="H753" s="44"/>
      <c r="I753" s="44"/>
      <c r="J753" s="45"/>
      <c r="K753" s="45"/>
      <c r="L753" s="44"/>
      <c r="M753" s="45"/>
      <c r="N753" s="45"/>
      <c r="O753" s="45"/>
      <c r="P753" s="45"/>
      <c r="Q753" s="45"/>
      <c r="R753" s="45"/>
      <c r="S753" s="45"/>
      <c r="T753" s="45"/>
      <c r="U753" s="45"/>
      <c r="V753" s="45"/>
      <c r="W753" s="173"/>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row>
    <row r="754" spans="1:46" x14ac:dyDescent="0.3">
      <c r="A754" s="173"/>
      <c r="B754" s="44"/>
      <c r="C754" s="45"/>
      <c r="D754" s="45"/>
      <c r="E754" s="45"/>
      <c r="F754" s="45"/>
      <c r="G754" s="45"/>
      <c r="H754" s="44"/>
      <c r="I754" s="44"/>
      <c r="J754" s="45"/>
      <c r="K754" s="45"/>
      <c r="L754" s="44"/>
      <c r="M754" s="45"/>
      <c r="N754" s="45"/>
      <c r="O754" s="45"/>
      <c r="P754" s="45"/>
      <c r="Q754" s="45"/>
      <c r="R754" s="45"/>
      <c r="S754" s="45"/>
      <c r="T754" s="45"/>
      <c r="U754" s="45"/>
      <c r="V754" s="45"/>
      <c r="W754" s="173"/>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row>
    <row r="755" spans="1:46" x14ac:dyDescent="0.3">
      <c r="A755" s="173"/>
      <c r="B755" s="44"/>
      <c r="C755" s="45"/>
      <c r="D755" s="45"/>
      <c r="E755" s="45"/>
      <c r="F755" s="45"/>
      <c r="G755" s="45"/>
      <c r="H755" s="44"/>
      <c r="I755" s="44"/>
      <c r="J755" s="45"/>
      <c r="K755" s="45"/>
      <c r="L755" s="44"/>
      <c r="M755" s="45"/>
      <c r="N755" s="45"/>
      <c r="O755" s="45"/>
      <c r="P755" s="45"/>
      <c r="Q755" s="45"/>
      <c r="R755" s="45"/>
      <c r="S755" s="45"/>
      <c r="T755" s="45"/>
      <c r="U755" s="45"/>
      <c r="V755" s="45"/>
      <c r="W755" s="173"/>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row>
    <row r="756" spans="1:46" x14ac:dyDescent="0.3">
      <c r="A756" s="173"/>
      <c r="B756" s="44"/>
      <c r="C756" s="45"/>
      <c r="D756" s="45"/>
      <c r="E756" s="45"/>
      <c r="F756" s="45"/>
      <c r="G756" s="45"/>
      <c r="H756" s="44"/>
      <c r="I756" s="44"/>
      <c r="J756" s="45"/>
      <c r="K756" s="45"/>
      <c r="L756" s="44"/>
      <c r="M756" s="45"/>
      <c r="N756" s="45"/>
      <c r="O756" s="45"/>
      <c r="P756" s="45"/>
      <c r="Q756" s="45"/>
      <c r="R756" s="45"/>
      <c r="S756" s="45"/>
      <c r="T756" s="45"/>
      <c r="U756" s="45"/>
      <c r="V756" s="45"/>
      <c r="W756" s="173"/>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row>
    <row r="757" spans="1:46" x14ac:dyDescent="0.3">
      <c r="A757" s="173"/>
      <c r="B757" s="44"/>
      <c r="C757" s="45"/>
      <c r="D757" s="45"/>
      <c r="E757" s="45"/>
      <c r="F757" s="45"/>
      <c r="G757" s="45"/>
      <c r="H757" s="44"/>
      <c r="I757" s="44"/>
      <c r="J757" s="45"/>
      <c r="K757" s="45"/>
      <c r="L757" s="44"/>
      <c r="M757" s="45"/>
      <c r="N757" s="45"/>
      <c r="O757" s="45"/>
      <c r="P757" s="45"/>
      <c r="Q757" s="45"/>
      <c r="R757" s="45"/>
      <c r="S757" s="45"/>
      <c r="T757" s="45"/>
      <c r="U757" s="45"/>
      <c r="V757" s="45"/>
      <c r="W757" s="173"/>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row>
    <row r="758" spans="1:46" x14ac:dyDescent="0.3">
      <c r="A758" s="173"/>
      <c r="B758" s="44"/>
      <c r="C758" s="45"/>
      <c r="D758" s="45"/>
      <c r="E758" s="45"/>
      <c r="F758" s="45"/>
      <c r="G758" s="45"/>
      <c r="H758" s="44"/>
      <c r="I758" s="44"/>
      <c r="J758" s="45"/>
      <c r="K758" s="45"/>
      <c r="L758" s="44"/>
      <c r="M758" s="45"/>
      <c r="N758" s="45"/>
      <c r="O758" s="45"/>
      <c r="P758" s="45"/>
      <c r="Q758" s="45"/>
      <c r="R758" s="45"/>
      <c r="S758" s="45"/>
      <c r="T758" s="45"/>
      <c r="U758" s="45"/>
      <c r="V758" s="45"/>
      <c r="W758" s="173"/>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row>
    <row r="759" spans="1:46" x14ac:dyDescent="0.3">
      <c r="A759" s="173"/>
      <c r="B759" s="44"/>
      <c r="C759" s="45"/>
      <c r="D759" s="45"/>
      <c r="E759" s="45"/>
      <c r="F759" s="45"/>
      <c r="G759" s="45"/>
      <c r="H759" s="44"/>
      <c r="I759" s="44"/>
      <c r="J759" s="45"/>
      <c r="K759" s="45"/>
      <c r="L759" s="44"/>
      <c r="M759" s="45"/>
      <c r="N759" s="45"/>
      <c r="O759" s="45"/>
      <c r="P759" s="45"/>
      <c r="Q759" s="45"/>
      <c r="R759" s="45"/>
      <c r="S759" s="45"/>
      <c r="T759" s="45"/>
      <c r="U759" s="45"/>
      <c r="V759" s="45"/>
      <c r="W759" s="173"/>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row>
    <row r="760" spans="1:46" x14ac:dyDescent="0.3">
      <c r="A760" s="173"/>
      <c r="B760" s="44"/>
      <c r="C760" s="45"/>
      <c r="D760" s="45"/>
      <c r="E760" s="45"/>
      <c r="F760" s="45"/>
      <c r="G760" s="45"/>
      <c r="H760" s="44"/>
      <c r="I760" s="44"/>
      <c r="J760" s="45"/>
      <c r="K760" s="45"/>
      <c r="L760" s="44"/>
      <c r="M760" s="45"/>
      <c r="N760" s="45"/>
      <c r="O760" s="45"/>
      <c r="P760" s="45"/>
      <c r="Q760" s="45"/>
      <c r="R760" s="45"/>
      <c r="S760" s="45"/>
      <c r="T760" s="45"/>
      <c r="U760" s="45"/>
      <c r="V760" s="45"/>
      <c r="W760" s="173"/>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row>
    <row r="761" spans="1:46" x14ac:dyDescent="0.3">
      <c r="A761" s="173"/>
      <c r="B761" s="44"/>
      <c r="C761" s="45"/>
      <c r="D761" s="45"/>
      <c r="E761" s="45"/>
      <c r="F761" s="45"/>
      <c r="G761" s="45"/>
      <c r="H761" s="44"/>
      <c r="I761" s="44"/>
      <c r="J761" s="45"/>
      <c r="K761" s="45"/>
      <c r="L761" s="44"/>
      <c r="M761" s="45"/>
      <c r="N761" s="45"/>
      <c r="O761" s="45"/>
      <c r="P761" s="45"/>
      <c r="Q761" s="45"/>
      <c r="R761" s="45"/>
      <c r="S761" s="45"/>
      <c r="T761" s="45"/>
      <c r="U761" s="45"/>
      <c r="V761" s="45"/>
      <c r="W761" s="173"/>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row>
    <row r="762" spans="1:46" x14ac:dyDescent="0.3">
      <c r="A762" s="173"/>
      <c r="B762" s="44"/>
      <c r="C762" s="45"/>
      <c r="D762" s="45"/>
      <c r="E762" s="45"/>
      <c r="F762" s="45"/>
      <c r="G762" s="45"/>
      <c r="H762" s="44"/>
      <c r="I762" s="44"/>
      <c r="J762" s="45"/>
      <c r="K762" s="45"/>
      <c r="L762" s="44"/>
      <c r="M762" s="45"/>
      <c r="N762" s="45"/>
      <c r="O762" s="45"/>
      <c r="P762" s="45"/>
      <c r="Q762" s="45"/>
      <c r="R762" s="45"/>
      <c r="S762" s="45"/>
      <c r="T762" s="45"/>
      <c r="U762" s="45"/>
      <c r="V762" s="45"/>
      <c r="W762" s="173"/>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row>
    <row r="763" spans="1:46" x14ac:dyDescent="0.3">
      <c r="A763" s="173"/>
      <c r="B763" s="44"/>
      <c r="C763" s="45"/>
      <c r="D763" s="45"/>
      <c r="E763" s="45"/>
      <c r="F763" s="45"/>
      <c r="G763" s="45"/>
      <c r="H763" s="44"/>
      <c r="I763" s="44"/>
      <c r="J763" s="45"/>
      <c r="K763" s="45"/>
      <c r="L763" s="44"/>
      <c r="M763" s="45"/>
      <c r="N763" s="45"/>
      <c r="O763" s="45"/>
      <c r="P763" s="45"/>
      <c r="Q763" s="45"/>
      <c r="R763" s="45"/>
      <c r="S763" s="45"/>
      <c r="T763" s="45"/>
      <c r="U763" s="45"/>
      <c r="V763" s="45"/>
      <c r="W763" s="173"/>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row>
    <row r="764" spans="1:46" x14ac:dyDescent="0.3">
      <c r="A764" s="173"/>
      <c r="B764" s="44"/>
      <c r="C764" s="45"/>
      <c r="D764" s="45"/>
      <c r="E764" s="45"/>
      <c r="F764" s="45"/>
      <c r="G764" s="45"/>
      <c r="H764" s="44"/>
      <c r="I764" s="44"/>
      <c r="J764" s="45"/>
      <c r="K764" s="45"/>
      <c r="L764" s="44"/>
      <c r="M764" s="45"/>
      <c r="N764" s="45"/>
      <c r="O764" s="45"/>
      <c r="P764" s="45"/>
      <c r="Q764" s="45"/>
      <c r="R764" s="45"/>
      <c r="S764" s="45"/>
      <c r="T764" s="45"/>
      <c r="U764" s="45"/>
      <c r="V764" s="45"/>
      <c r="W764" s="173"/>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row>
    <row r="765" spans="1:46" x14ac:dyDescent="0.3">
      <c r="A765" s="173"/>
      <c r="B765" s="44"/>
      <c r="C765" s="45"/>
      <c r="D765" s="45"/>
      <c r="E765" s="45"/>
      <c r="F765" s="45"/>
      <c r="G765" s="45"/>
      <c r="H765" s="44"/>
      <c r="I765" s="44"/>
      <c r="J765" s="45"/>
      <c r="K765" s="45"/>
      <c r="L765" s="44"/>
      <c r="M765" s="45"/>
      <c r="N765" s="45"/>
      <c r="O765" s="45"/>
      <c r="P765" s="45"/>
      <c r="Q765" s="45"/>
      <c r="R765" s="45"/>
      <c r="S765" s="45"/>
      <c r="T765" s="45"/>
      <c r="U765" s="45"/>
      <c r="V765" s="45"/>
      <c r="W765" s="173"/>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row>
    <row r="766" spans="1:46" x14ac:dyDescent="0.3">
      <c r="A766" s="173"/>
      <c r="B766" s="44"/>
      <c r="C766" s="45"/>
      <c r="D766" s="45"/>
      <c r="E766" s="45"/>
      <c r="F766" s="45"/>
      <c r="G766" s="45"/>
      <c r="H766" s="44"/>
      <c r="I766" s="44"/>
      <c r="J766" s="45"/>
      <c r="K766" s="45"/>
      <c r="L766" s="44"/>
      <c r="M766" s="45"/>
      <c r="N766" s="45"/>
      <c r="O766" s="45"/>
      <c r="P766" s="45"/>
      <c r="Q766" s="45"/>
      <c r="R766" s="45"/>
      <c r="S766" s="45"/>
      <c r="T766" s="45"/>
      <c r="U766" s="45"/>
      <c r="V766" s="45"/>
      <c r="W766" s="173"/>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row>
    <row r="767" spans="1:46" x14ac:dyDescent="0.3">
      <c r="A767" s="173"/>
      <c r="B767" s="44"/>
      <c r="C767" s="45"/>
      <c r="D767" s="45"/>
      <c r="E767" s="45"/>
      <c r="F767" s="45"/>
      <c r="G767" s="45"/>
      <c r="H767" s="44"/>
      <c r="I767" s="44"/>
      <c r="J767" s="45"/>
      <c r="K767" s="45"/>
      <c r="L767" s="44"/>
      <c r="M767" s="45"/>
      <c r="N767" s="45"/>
      <c r="O767" s="45"/>
      <c r="P767" s="45"/>
      <c r="Q767" s="45"/>
      <c r="R767" s="45"/>
      <c r="S767" s="45"/>
      <c r="T767" s="45"/>
      <c r="U767" s="45"/>
      <c r="V767" s="45"/>
      <c r="W767" s="173"/>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row>
    <row r="768" spans="1:46" x14ac:dyDescent="0.3">
      <c r="A768" s="173"/>
      <c r="B768" s="44"/>
      <c r="C768" s="45"/>
      <c r="D768" s="45"/>
      <c r="E768" s="45"/>
      <c r="F768" s="45"/>
      <c r="G768" s="45"/>
      <c r="H768" s="44"/>
      <c r="I768" s="44"/>
      <c r="J768" s="45"/>
      <c r="K768" s="45"/>
      <c r="L768" s="44"/>
      <c r="M768" s="45"/>
      <c r="N768" s="45"/>
      <c r="O768" s="45"/>
      <c r="P768" s="45"/>
      <c r="Q768" s="45"/>
      <c r="R768" s="45"/>
      <c r="S768" s="45"/>
      <c r="T768" s="45"/>
      <c r="U768" s="45"/>
      <c r="V768" s="45"/>
      <c r="W768" s="173"/>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row>
    <row r="769" spans="1:46" x14ac:dyDescent="0.3">
      <c r="A769" s="173"/>
      <c r="B769" s="44"/>
      <c r="C769" s="45"/>
      <c r="D769" s="45"/>
      <c r="E769" s="45"/>
      <c r="F769" s="45"/>
      <c r="G769" s="45"/>
      <c r="H769" s="44"/>
      <c r="I769" s="44"/>
      <c r="J769" s="45"/>
      <c r="K769" s="45"/>
      <c r="L769" s="44"/>
      <c r="M769" s="45"/>
      <c r="N769" s="45"/>
      <c r="O769" s="45"/>
      <c r="P769" s="45"/>
      <c r="Q769" s="45"/>
      <c r="R769" s="45"/>
      <c r="S769" s="45"/>
      <c r="T769" s="45"/>
      <c r="U769" s="45"/>
      <c r="V769" s="45"/>
      <c r="W769" s="173"/>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row>
    <row r="770" spans="1:46" x14ac:dyDescent="0.3">
      <c r="A770" s="173"/>
      <c r="B770" s="44"/>
      <c r="C770" s="45"/>
      <c r="D770" s="45"/>
      <c r="E770" s="45"/>
      <c r="F770" s="45"/>
      <c r="G770" s="45"/>
      <c r="H770" s="44"/>
      <c r="I770" s="44"/>
      <c r="J770" s="45"/>
      <c r="K770" s="45"/>
      <c r="L770" s="44"/>
      <c r="M770" s="45"/>
      <c r="N770" s="45"/>
      <c r="O770" s="45"/>
      <c r="P770" s="45"/>
      <c r="Q770" s="45"/>
      <c r="R770" s="45"/>
      <c r="S770" s="45"/>
      <c r="T770" s="45"/>
      <c r="U770" s="45"/>
      <c r="V770" s="45"/>
      <c r="W770" s="173"/>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row>
    <row r="771" spans="1:46" x14ac:dyDescent="0.3">
      <c r="A771" s="173"/>
      <c r="B771" s="44"/>
      <c r="C771" s="45"/>
      <c r="D771" s="45"/>
      <c r="E771" s="45"/>
      <c r="F771" s="45"/>
      <c r="G771" s="45"/>
      <c r="H771" s="44"/>
      <c r="I771" s="44"/>
      <c r="J771" s="45"/>
      <c r="K771" s="45"/>
      <c r="L771" s="44"/>
      <c r="M771" s="45"/>
      <c r="N771" s="45"/>
      <c r="O771" s="45"/>
      <c r="P771" s="45"/>
      <c r="Q771" s="45"/>
      <c r="R771" s="45"/>
      <c r="S771" s="45"/>
      <c r="T771" s="45"/>
      <c r="U771" s="45"/>
      <c r="V771" s="45"/>
      <c r="W771" s="173"/>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row>
    <row r="772" spans="1:46" x14ac:dyDescent="0.3">
      <c r="A772" s="173"/>
      <c r="B772" s="44"/>
      <c r="C772" s="45"/>
      <c r="D772" s="45"/>
      <c r="E772" s="45"/>
      <c r="F772" s="45"/>
      <c r="G772" s="45"/>
      <c r="H772" s="44"/>
      <c r="I772" s="44"/>
      <c r="J772" s="45"/>
      <c r="K772" s="45"/>
      <c r="L772" s="44"/>
      <c r="M772" s="45"/>
      <c r="N772" s="45"/>
      <c r="O772" s="45"/>
      <c r="P772" s="45"/>
      <c r="Q772" s="45"/>
      <c r="R772" s="45"/>
      <c r="S772" s="45"/>
      <c r="T772" s="45"/>
      <c r="U772" s="45"/>
      <c r="V772" s="45"/>
      <c r="W772" s="173"/>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row>
    <row r="773" spans="1:46" x14ac:dyDescent="0.3">
      <c r="A773" s="173"/>
      <c r="B773" s="44"/>
      <c r="C773" s="45"/>
      <c r="D773" s="45"/>
      <c r="E773" s="45"/>
      <c r="F773" s="45"/>
      <c r="G773" s="45"/>
      <c r="H773" s="44"/>
      <c r="I773" s="44"/>
      <c r="J773" s="45"/>
      <c r="K773" s="45"/>
      <c r="L773" s="44"/>
      <c r="M773" s="45"/>
      <c r="N773" s="45"/>
      <c r="O773" s="45"/>
      <c r="P773" s="45"/>
      <c r="Q773" s="45"/>
      <c r="R773" s="45"/>
      <c r="S773" s="45"/>
      <c r="T773" s="45"/>
      <c r="U773" s="45"/>
      <c r="V773" s="45"/>
      <c r="W773" s="173"/>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row>
    <row r="774" spans="1:46" x14ac:dyDescent="0.3">
      <c r="A774" s="173"/>
      <c r="B774" s="44"/>
      <c r="C774" s="45"/>
      <c r="D774" s="45"/>
      <c r="E774" s="45"/>
      <c r="F774" s="45"/>
      <c r="G774" s="45"/>
      <c r="H774" s="44"/>
      <c r="I774" s="44"/>
      <c r="J774" s="45"/>
      <c r="K774" s="45"/>
      <c r="L774" s="44"/>
      <c r="M774" s="45"/>
      <c r="N774" s="45"/>
      <c r="O774" s="45"/>
      <c r="P774" s="45"/>
      <c r="Q774" s="45"/>
      <c r="R774" s="45"/>
      <c r="S774" s="45"/>
      <c r="T774" s="45"/>
      <c r="U774" s="45"/>
      <c r="V774" s="45"/>
      <c r="W774" s="173"/>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row>
    <row r="775" spans="1:46" x14ac:dyDescent="0.3">
      <c r="A775" s="173"/>
      <c r="B775" s="44"/>
      <c r="C775" s="45"/>
      <c r="D775" s="45"/>
      <c r="E775" s="45"/>
      <c r="F775" s="45"/>
      <c r="G775" s="45"/>
      <c r="H775" s="44"/>
      <c r="I775" s="44"/>
      <c r="J775" s="45"/>
      <c r="K775" s="45"/>
      <c r="L775" s="44"/>
      <c r="M775" s="45"/>
      <c r="N775" s="45"/>
      <c r="O775" s="45"/>
      <c r="P775" s="45"/>
      <c r="Q775" s="45"/>
      <c r="R775" s="45"/>
      <c r="S775" s="45"/>
      <c r="T775" s="45"/>
      <c r="U775" s="45"/>
      <c r="V775" s="45"/>
      <c r="W775" s="173"/>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row>
    <row r="776" spans="1:46" x14ac:dyDescent="0.3">
      <c r="A776" s="173"/>
      <c r="B776" s="44"/>
      <c r="C776" s="45"/>
      <c r="D776" s="45"/>
      <c r="E776" s="45"/>
      <c r="F776" s="45"/>
      <c r="G776" s="45"/>
      <c r="H776" s="44"/>
      <c r="I776" s="44"/>
      <c r="J776" s="45"/>
      <c r="K776" s="45"/>
      <c r="L776" s="44"/>
      <c r="M776" s="45"/>
      <c r="N776" s="45"/>
      <c r="O776" s="45"/>
      <c r="P776" s="45"/>
      <c r="Q776" s="45"/>
      <c r="R776" s="45"/>
      <c r="S776" s="45"/>
      <c r="T776" s="45"/>
      <c r="U776" s="45"/>
      <c r="V776" s="45"/>
      <c r="W776" s="173"/>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row>
    <row r="777" spans="1:46" x14ac:dyDescent="0.3">
      <c r="A777" s="173"/>
      <c r="B777" s="44"/>
      <c r="C777" s="45"/>
      <c r="D777" s="45"/>
      <c r="E777" s="45"/>
      <c r="F777" s="45"/>
      <c r="G777" s="45"/>
      <c r="H777" s="44"/>
      <c r="I777" s="44"/>
      <c r="J777" s="45"/>
      <c r="K777" s="45"/>
      <c r="L777" s="44"/>
      <c r="M777" s="45"/>
      <c r="N777" s="45"/>
      <c r="O777" s="45"/>
      <c r="P777" s="45"/>
      <c r="Q777" s="45"/>
      <c r="R777" s="45"/>
      <c r="S777" s="45"/>
      <c r="T777" s="45"/>
      <c r="U777" s="45"/>
      <c r="V777" s="45"/>
      <c r="W777" s="173"/>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row>
    <row r="778" spans="1:46" x14ac:dyDescent="0.3">
      <c r="A778" s="173"/>
      <c r="B778" s="44"/>
      <c r="C778" s="45"/>
      <c r="D778" s="45"/>
      <c r="E778" s="45"/>
      <c r="F778" s="45"/>
      <c r="G778" s="45"/>
      <c r="H778" s="44"/>
      <c r="I778" s="44"/>
      <c r="J778" s="45"/>
      <c r="K778" s="45"/>
      <c r="L778" s="44"/>
      <c r="M778" s="45"/>
      <c r="N778" s="45"/>
      <c r="O778" s="45"/>
      <c r="P778" s="45"/>
      <c r="Q778" s="45"/>
      <c r="R778" s="45"/>
      <c r="S778" s="45"/>
      <c r="T778" s="45"/>
      <c r="U778" s="45"/>
      <c r="V778" s="45"/>
      <c r="W778" s="173"/>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row>
    <row r="779" spans="1:46" x14ac:dyDescent="0.3">
      <c r="A779" s="173"/>
      <c r="B779" s="44"/>
      <c r="C779" s="45"/>
      <c r="D779" s="45"/>
      <c r="E779" s="45"/>
      <c r="F779" s="45"/>
      <c r="G779" s="45"/>
      <c r="H779" s="44"/>
      <c r="I779" s="44"/>
      <c r="J779" s="45"/>
      <c r="K779" s="45"/>
      <c r="L779" s="44"/>
      <c r="M779" s="45"/>
      <c r="N779" s="45"/>
      <c r="O779" s="45"/>
      <c r="P779" s="45"/>
      <c r="Q779" s="45"/>
      <c r="R779" s="45"/>
      <c r="S779" s="45"/>
      <c r="T779" s="45"/>
      <c r="U779" s="45"/>
      <c r="V779" s="45"/>
      <c r="W779" s="173"/>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row>
    <row r="780" spans="1:46" x14ac:dyDescent="0.3">
      <c r="A780" s="173"/>
      <c r="B780" s="44"/>
      <c r="C780" s="45"/>
      <c r="D780" s="45"/>
      <c r="E780" s="45"/>
      <c r="F780" s="45"/>
      <c r="G780" s="45"/>
      <c r="H780" s="44"/>
      <c r="I780" s="44"/>
      <c r="J780" s="45"/>
      <c r="K780" s="45"/>
      <c r="L780" s="44"/>
      <c r="M780" s="45"/>
      <c r="N780" s="45"/>
      <c r="O780" s="45"/>
      <c r="P780" s="45"/>
      <c r="Q780" s="45"/>
      <c r="R780" s="45"/>
      <c r="S780" s="45"/>
      <c r="T780" s="45"/>
      <c r="U780" s="45"/>
      <c r="V780" s="45"/>
      <c r="W780" s="173"/>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row>
    <row r="781" spans="1:46" x14ac:dyDescent="0.3">
      <c r="A781" s="173"/>
      <c r="B781" s="44"/>
      <c r="C781" s="45"/>
      <c r="D781" s="45"/>
      <c r="E781" s="45"/>
      <c r="F781" s="45"/>
      <c r="G781" s="45"/>
      <c r="H781" s="44"/>
      <c r="I781" s="44"/>
      <c r="J781" s="45"/>
      <c r="K781" s="45"/>
      <c r="L781" s="44"/>
      <c r="M781" s="45"/>
      <c r="N781" s="45"/>
      <c r="O781" s="45"/>
      <c r="P781" s="45"/>
      <c r="Q781" s="45"/>
      <c r="R781" s="45"/>
      <c r="S781" s="45"/>
      <c r="T781" s="45"/>
      <c r="U781" s="45"/>
      <c r="V781" s="45"/>
      <c r="W781" s="173"/>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row>
    <row r="782" spans="1:46" x14ac:dyDescent="0.3">
      <c r="A782" s="173"/>
      <c r="B782" s="44"/>
      <c r="C782" s="45"/>
      <c r="D782" s="45"/>
      <c r="E782" s="45"/>
      <c r="F782" s="45"/>
      <c r="G782" s="45"/>
      <c r="H782" s="44"/>
      <c r="I782" s="44"/>
      <c r="J782" s="45"/>
      <c r="K782" s="45"/>
      <c r="L782" s="44"/>
      <c r="M782" s="45"/>
      <c r="N782" s="45"/>
      <c r="O782" s="45"/>
      <c r="P782" s="45"/>
      <c r="Q782" s="45"/>
      <c r="R782" s="45"/>
      <c r="S782" s="45"/>
      <c r="T782" s="45"/>
      <c r="U782" s="45"/>
      <c r="V782" s="45"/>
      <c r="W782" s="173"/>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row>
    <row r="783" spans="1:46" x14ac:dyDescent="0.3">
      <c r="A783" s="173"/>
      <c r="B783" s="44"/>
      <c r="C783" s="45"/>
      <c r="D783" s="45"/>
      <c r="E783" s="45"/>
      <c r="F783" s="45"/>
      <c r="G783" s="45"/>
      <c r="H783" s="44"/>
      <c r="I783" s="44"/>
      <c r="J783" s="45"/>
      <c r="K783" s="45"/>
      <c r="L783" s="44"/>
      <c r="M783" s="45"/>
      <c r="N783" s="45"/>
      <c r="O783" s="45"/>
      <c r="P783" s="45"/>
      <c r="Q783" s="45"/>
      <c r="R783" s="45"/>
      <c r="S783" s="45"/>
      <c r="T783" s="45"/>
      <c r="U783" s="45"/>
      <c r="V783" s="45"/>
      <c r="W783" s="173"/>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row>
    <row r="784" spans="1:46" x14ac:dyDescent="0.3">
      <c r="A784" s="173"/>
      <c r="B784" s="44"/>
      <c r="C784" s="45"/>
      <c r="D784" s="45"/>
      <c r="E784" s="45"/>
      <c r="F784" s="45"/>
      <c r="G784" s="45"/>
      <c r="H784" s="44"/>
      <c r="I784" s="44"/>
      <c r="J784" s="45"/>
      <c r="K784" s="45"/>
      <c r="L784" s="44"/>
      <c r="M784" s="45"/>
      <c r="N784" s="45"/>
      <c r="O784" s="45"/>
      <c r="P784" s="45"/>
      <c r="Q784" s="45"/>
      <c r="R784" s="45"/>
      <c r="S784" s="45"/>
      <c r="T784" s="45"/>
      <c r="U784" s="45"/>
      <c r="V784" s="45"/>
      <c r="W784" s="173"/>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row>
    <row r="785" spans="1:46" x14ac:dyDescent="0.3">
      <c r="A785" s="173"/>
      <c r="B785" s="44"/>
      <c r="C785" s="45"/>
      <c r="D785" s="45"/>
      <c r="E785" s="45"/>
      <c r="F785" s="45"/>
      <c r="G785" s="45"/>
      <c r="H785" s="44"/>
      <c r="I785" s="44"/>
      <c r="J785" s="45"/>
      <c r="K785" s="45"/>
      <c r="L785" s="44"/>
      <c r="M785" s="45"/>
      <c r="N785" s="45"/>
      <c r="O785" s="45"/>
      <c r="P785" s="45"/>
      <c r="Q785" s="45"/>
      <c r="R785" s="45"/>
      <c r="S785" s="45"/>
      <c r="T785" s="45"/>
      <c r="U785" s="45"/>
      <c r="V785" s="45"/>
      <c r="W785" s="173"/>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row>
    <row r="786" spans="1:46" x14ac:dyDescent="0.3">
      <c r="A786" s="173"/>
      <c r="B786" s="44"/>
      <c r="C786" s="45"/>
      <c r="D786" s="45"/>
      <c r="E786" s="45"/>
      <c r="F786" s="45"/>
      <c r="G786" s="45"/>
      <c r="H786" s="44"/>
      <c r="I786" s="44"/>
      <c r="J786" s="45"/>
      <c r="K786" s="45"/>
      <c r="L786" s="44"/>
      <c r="M786" s="45"/>
      <c r="N786" s="45"/>
      <c r="O786" s="45"/>
      <c r="P786" s="45"/>
      <c r="Q786" s="45"/>
      <c r="R786" s="45"/>
      <c r="S786" s="45"/>
      <c r="T786" s="45"/>
      <c r="U786" s="45"/>
      <c r="V786" s="45"/>
      <c r="W786" s="173"/>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row>
    <row r="787" spans="1:46" x14ac:dyDescent="0.3">
      <c r="A787" s="173"/>
      <c r="B787" s="44"/>
      <c r="C787" s="45"/>
      <c r="D787" s="45"/>
      <c r="E787" s="45"/>
      <c r="F787" s="45"/>
      <c r="G787" s="45"/>
      <c r="H787" s="44"/>
      <c r="I787" s="44"/>
      <c r="J787" s="45"/>
      <c r="K787" s="45"/>
      <c r="L787" s="44"/>
      <c r="M787" s="45"/>
      <c r="N787" s="45"/>
      <c r="O787" s="45"/>
      <c r="P787" s="45"/>
      <c r="Q787" s="45"/>
      <c r="R787" s="45"/>
      <c r="S787" s="45"/>
      <c r="T787" s="45"/>
      <c r="U787" s="45"/>
      <c r="V787" s="45"/>
      <c r="W787" s="173"/>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row>
    <row r="788" spans="1:46" x14ac:dyDescent="0.3">
      <c r="A788" s="173"/>
      <c r="B788" s="44"/>
      <c r="C788" s="45"/>
      <c r="D788" s="45"/>
      <c r="E788" s="45"/>
      <c r="F788" s="45"/>
      <c r="G788" s="45"/>
      <c r="H788" s="44"/>
      <c r="I788" s="44"/>
      <c r="J788" s="45"/>
      <c r="K788" s="45"/>
      <c r="L788" s="44"/>
      <c r="M788" s="45"/>
      <c r="N788" s="45"/>
      <c r="O788" s="45"/>
      <c r="P788" s="45"/>
      <c r="Q788" s="45"/>
      <c r="R788" s="45"/>
      <c r="S788" s="45"/>
      <c r="T788" s="45"/>
      <c r="U788" s="45"/>
      <c r="V788" s="45"/>
      <c r="W788" s="173"/>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row>
    <row r="789" spans="1:46" x14ac:dyDescent="0.3">
      <c r="A789" s="173"/>
      <c r="B789" s="44"/>
      <c r="C789" s="45"/>
      <c r="D789" s="45"/>
      <c r="E789" s="45"/>
      <c r="F789" s="45"/>
      <c r="G789" s="45"/>
      <c r="H789" s="44"/>
      <c r="I789" s="44"/>
      <c r="J789" s="45"/>
      <c r="K789" s="45"/>
      <c r="L789" s="44"/>
      <c r="M789" s="45"/>
      <c r="N789" s="45"/>
      <c r="O789" s="45"/>
      <c r="P789" s="45"/>
      <c r="Q789" s="45"/>
      <c r="R789" s="45"/>
      <c r="S789" s="45"/>
      <c r="T789" s="45"/>
      <c r="U789" s="45"/>
      <c r="V789" s="45"/>
      <c r="W789" s="173"/>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row>
    <row r="790" spans="1:46" x14ac:dyDescent="0.3">
      <c r="A790" s="173"/>
      <c r="B790" s="44"/>
      <c r="C790" s="45"/>
      <c r="D790" s="45"/>
      <c r="E790" s="45"/>
      <c r="F790" s="45"/>
      <c r="G790" s="45"/>
      <c r="H790" s="44"/>
      <c r="I790" s="44"/>
      <c r="J790" s="45"/>
      <c r="K790" s="45"/>
      <c r="L790" s="44"/>
      <c r="M790" s="45"/>
      <c r="N790" s="45"/>
      <c r="O790" s="45"/>
      <c r="P790" s="45"/>
      <c r="Q790" s="45"/>
      <c r="R790" s="45"/>
      <c r="S790" s="45"/>
      <c r="T790" s="45"/>
      <c r="U790" s="45"/>
      <c r="V790" s="45"/>
      <c r="W790" s="173"/>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row>
    <row r="791" spans="1:46" x14ac:dyDescent="0.3">
      <c r="A791" s="173"/>
      <c r="B791" s="44"/>
      <c r="C791" s="45"/>
      <c r="D791" s="45"/>
      <c r="E791" s="45"/>
      <c r="F791" s="45"/>
      <c r="G791" s="45"/>
      <c r="H791" s="44"/>
      <c r="I791" s="44"/>
      <c r="J791" s="45"/>
      <c r="K791" s="45"/>
      <c r="L791" s="44"/>
      <c r="M791" s="45"/>
      <c r="N791" s="45"/>
      <c r="O791" s="45"/>
      <c r="P791" s="45"/>
      <c r="Q791" s="45"/>
      <c r="R791" s="45"/>
      <c r="S791" s="45"/>
      <c r="T791" s="45"/>
      <c r="U791" s="45"/>
      <c r="V791" s="45"/>
      <c r="W791" s="173"/>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row>
    <row r="792" spans="1:46" x14ac:dyDescent="0.3">
      <c r="A792" s="173"/>
      <c r="B792" s="44"/>
      <c r="C792" s="45"/>
      <c r="D792" s="45"/>
      <c r="E792" s="45"/>
      <c r="F792" s="45"/>
      <c r="G792" s="45"/>
      <c r="H792" s="44"/>
      <c r="I792" s="44"/>
      <c r="J792" s="45"/>
      <c r="K792" s="45"/>
      <c r="L792" s="44"/>
      <c r="M792" s="45"/>
      <c r="N792" s="45"/>
      <c r="O792" s="45"/>
      <c r="P792" s="45"/>
      <c r="Q792" s="45"/>
      <c r="R792" s="45"/>
      <c r="S792" s="45"/>
      <c r="T792" s="45"/>
      <c r="U792" s="45"/>
      <c r="V792" s="45"/>
      <c r="W792" s="173"/>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row>
    <row r="793" spans="1:46" x14ac:dyDescent="0.3">
      <c r="A793" s="173"/>
      <c r="B793" s="44"/>
      <c r="C793" s="45"/>
      <c r="D793" s="45"/>
      <c r="E793" s="45"/>
      <c r="F793" s="45"/>
      <c r="G793" s="45"/>
      <c r="H793" s="44"/>
      <c r="I793" s="44"/>
      <c r="J793" s="45"/>
      <c r="K793" s="45"/>
      <c r="L793" s="44"/>
      <c r="M793" s="45"/>
      <c r="N793" s="45"/>
      <c r="O793" s="45"/>
      <c r="P793" s="45"/>
      <c r="Q793" s="45"/>
      <c r="R793" s="45"/>
      <c r="S793" s="45"/>
      <c r="T793" s="45"/>
      <c r="U793" s="45"/>
      <c r="V793" s="45"/>
      <c r="W793" s="173"/>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row>
    <row r="794" spans="1:46" x14ac:dyDescent="0.3">
      <c r="A794" s="173"/>
      <c r="B794" s="44"/>
      <c r="C794" s="45"/>
      <c r="D794" s="45"/>
      <c r="E794" s="45"/>
      <c r="F794" s="45"/>
      <c r="G794" s="45"/>
      <c r="H794" s="44"/>
      <c r="I794" s="44"/>
      <c r="J794" s="45"/>
      <c r="K794" s="45"/>
      <c r="L794" s="44"/>
      <c r="M794" s="45"/>
      <c r="N794" s="45"/>
      <c r="O794" s="45"/>
      <c r="P794" s="45"/>
      <c r="Q794" s="45"/>
      <c r="R794" s="45"/>
      <c r="S794" s="45"/>
      <c r="T794" s="45"/>
      <c r="U794" s="45"/>
      <c r="V794" s="45"/>
      <c r="W794" s="173"/>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row>
    <row r="795" spans="1:46" x14ac:dyDescent="0.3">
      <c r="A795" s="173"/>
      <c r="B795" s="44"/>
      <c r="C795" s="45"/>
      <c r="D795" s="45"/>
      <c r="E795" s="45"/>
      <c r="F795" s="45"/>
      <c r="G795" s="45"/>
      <c r="H795" s="44"/>
      <c r="I795" s="44"/>
      <c r="J795" s="45"/>
      <c r="K795" s="45"/>
      <c r="L795" s="44"/>
      <c r="M795" s="45"/>
      <c r="N795" s="45"/>
      <c r="O795" s="45"/>
      <c r="P795" s="45"/>
      <c r="Q795" s="45"/>
      <c r="R795" s="45"/>
      <c r="S795" s="45"/>
      <c r="T795" s="45"/>
      <c r="U795" s="45"/>
      <c r="V795" s="45"/>
      <c r="W795" s="173"/>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row>
    <row r="796" spans="1:46" x14ac:dyDescent="0.3">
      <c r="A796" s="173"/>
      <c r="B796" s="44"/>
      <c r="C796" s="45"/>
      <c r="D796" s="45"/>
      <c r="E796" s="45"/>
      <c r="F796" s="45"/>
      <c r="G796" s="45"/>
      <c r="H796" s="44"/>
      <c r="I796" s="44"/>
      <c r="J796" s="45"/>
      <c r="K796" s="45"/>
      <c r="L796" s="44"/>
      <c r="M796" s="45"/>
      <c r="N796" s="45"/>
      <c r="O796" s="45"/>
      <c r="P796" s="45"/>
      <c r="Q796" s="45"/>
      <c r="R796" s="45"/>
      <c r="S796" s="45"/>
      <c r="T796" s="45"/>
      <c r="U796" s="45"/>
      <c r="V796" s="45"/>
      <c r="W796" s="173"/>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row>
    <row r="797" spans="1:46" x14ac:dyDescent="0.3">
      <c r="A797" s="173"/>
      <c r="B797" s="44"/>
      <c r="C797" s="45"/>
      <c r="D797" s="45"/>
      <c r="E797" s="45"/>
      <c r="F797" s="45"/>
      <c r="G797" s="45"/>
      <c r="H797" s="44"/>
      <c r="I797" s="44"/>
      <c r="J797" s="45"/>
      <c r="K797" s="45"/>
      <c r="L797" s="44"/>
      <c r="M797" s="45"/>
      <c r="N797" s="45"/>
      <c r="O797" s="45"/>
      <c r="P797" s="45"/>
      <c r="Q797" s="45"/>
      <c r="R797" s="45"/>
      <c r="S797" s="45"/>
      <c r="T797" s="45"/>
      <c r="U797" s="45"/>
      <c r="V797" s="45"/>
      <c r="W797" s="173"/>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row>
    <row r="798" spans="1:46" x14ac:dyDescent="0.3">
      <c r="A798" s="173"/>
      <c r="B798" s="44"/>
      <c r="C798" s="45"/>
      <c r="D798" s="45"/>
      <c r="E798" s="45"/>
      <c r="F798" s="45"/>
      <c r="G798" s="45"/>
      <c r="H798" s="44"/>
      <c r="I798" s="44"/>
      <c r="J798" s="45"/>
      <c r="K798" s="45"/>
      <c r="L798" s="44"/>
      <c r="M798" s="45"/>
      <c r="N798" s="45"/>
      <c r="O798" s="45"/>
      <c r="P798" s="45"/>
      <c r="Q798" s="45"/>
      <c r="R798" s="45"/>
      <c r="S798" s="45"/>
      <c r="T798" s="45"/>
      <c r="U798" s="45"/>
      <c r="V798" s="45"/>
      <c r="W798" s="173"/>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row>
    <row r="799" spans="1:46" x14ac:dyDescent="0.3">
      <c r="A799" s="173"/>
      <c r="B799" s="44"/>
      <c r="C799" s="45"/>
      <c r="D799" s="45"/>
      <c r="E799" s="45"/>
      <c r="F799" s="45"/>
      <c r="G799" s="45"/>
      <c r="H799" s="44"/>
      <c r="I799" s="44"/>
      <c r="J799" s="45"/>
      <c r="K799" s="45"/>
      <c r="L799" s="44"/>
      <c r="M799" s="45"/>
      <c r="N799" s="45"/>
      <c r="O799" s="45"/>
      <c r="P799" s="45"/>
      <c r="Q799" s="45"/>
      <c r="R799" s="45"/>
      <c r="S799" s="45"/>
      <c r="T799" s="45"/>
      <c r="U799" s="45"/>
      <c r="V799" s="45"/>
      <c r="W799" s="173"/>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row>
    <row r="800" spans="1:46" x14ac:dyDescent="0.3">
      <c r="A800" s="173"/>
      <c r="B800" s="44"/>
      <c r="C800" s="45"/>
      <c r="D800" s="45"/>
      <c r="E800" s="45"/>
      <c r="F800" s="45"/>
      <c r="G800" s="45"/>
      <c r="H800" s="44"/>
      <c r="I800" s="44"/>
      <c r="J800" s="45"/>
      <c r="K800" s="45"/>
      <c r="L800" s="44"/>
      <c r="M800" s="45"/>
      <c r="N800" s="45"/>
      <c r="O800" s="45"/>
      <c r="P800" s="45"/>
      <c r="Q800" s="45"/>
      <c r="R800" s="45"/>
      <c r="S800" s="45"/>
      <c r="T800" s="45"/>
      <c r="U800" s="45"/>
      <c r="V800" s="45"/>
      <c r="W800" s="173"/>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row>
    <row r="801" spans="1:46" x14ac:dyDescent="0.3">
      <c r="A801" s="173"/>
      <c r="B801" s="44"/>
      <c r="C801" s="45"/>
      <c r="D801" s="45"/>
      <c r="E801" s="45"/>
      <c r="F801" s="45"/>
      <c r="G801" s="45"/>
      <c r="H801" s="44"/>
      <c r="I801" s="44"/>
      <c r="J801" s="45"/>
      <c r="K801" s="45"/>
      <c r="L801" s="44"/>
      <c r="M801" s="45"/>
      <c r="N801" s="45"/>
      <c r="O801" s="45"/>
      <c r="P801" s="45"/>
      <c r="Q801" s="45"/>
      <c r="R801" s="45"/>
      <c r="S801" s="45"/>
      <c r="T801" s="45"/>
      <c r="U801" s="45"/>
      <c r="V801" s="45"/>
      <c r="W801" s="173"/>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row>
    <row r="802" spans="1:46" x14ac:dyDescent="0.3">
      <c r="A802" s="173"/>
      <c r="B802" s="44"/>
      <c r="C802" s="45"/>
      <c r="D802" s="45"/>
      <c r="E802" s="45"/>
      <c r="F802" s="45"/>
      <c r="G802" s="45"/>
      <c r="H802" s="44"/>
      <c r="I802" s="44"/>
      <c r="J802" s="45"/>
      <c r="K802" s="45"/>
      <c r="L802" s="44"/>
      <c r="M802" s="45"/>
      <c r="N802" s="45"/>
      <c r="O802" s="45"/>
      <c r="P802" s="45"/>
      <c r="Q802" s="45"/>
      <c r="R802" s="45"/>
      <c r="S802" s="45"/>
      <c r="T802" s="45"/>
      <c r="U802" s="45"/>
      <c r="V802" s="45"/>
      <c r="W802" s="173"/>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row>
    <row r="803" spans="1:46" x14ac:dyDescent="0.3">
      <c r="A803" s="173"/>
      <c r="B803" s="44"/>
      <c r="C803" s="45"/>
      <c r="D803" s="45"/>
      <c r="E803" s="45"/>
      <c r="F803" s="45"/>
      <c r="G803" s="45"/>
      <c r="H803" s="44"/>
      <c r="I803" s="44"/>
      <c r="J803" s="45"/>
      <c r="K803" s="45"/>
      <c r="L803" s="44"/>
      <c r="M803" s="45"/>
      <c r="N803" s="45"/>
      <c r="O803" s="45"/>
      <c r="P803" s="45"/>
      <c r="Q803" s="45"/>
      <c r="R803" s="45"/>
      <c r="S803" s="45"/>
      <c r="T803" s="45"/>
      <c r="U803" s="45"/>
      <c r="V803" s="45"/>
      <c r="W803" s="173"/>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row>
    <row r="804" spans="1:46" x14ac:dyDescent="0.3">
      <c r="A804" s="173"/>
      <c r="B804" s="44"/>
      <c r="C804" s="45"/>
      <c r="D804" s="45"/>
      <c r="E804" s="45"/>
      <c r="F804" s="45"/>
      <c r="G804" s="45"/>
      <c r="H804" s="44"/>
      <c r="I804" s="44"/>
      <c r="J804" s="45"/>
      <c r="K804" s="45"/>
      <c r="L804" s="44"/>
      <c r="M804" s="45"/>
      <c r="N804" s="45"/>
      <c r="O804" s="45"/>
      <c r="P804" s="45"/>
      <c r="Q804" s="45"/>
      <c r="R804" s="45"/>
      <c r="S804" s="45"/>
      <c r="T804" s="45"/>
      <c r="U804" s="45"/>
      <c r="V804" s="45"/>
      <c r="W804" s="173"/>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row>
    <row r="805" spans="1:46" x14ac:dyDescent="0.3">
      <c r="A805" s="173"/>
      <c r="B805" s="44"/>
      <c r="C805" s="45"/>
      <c r="D805" s="45"/>
      <c r="E805" s="45"/>
      <c r="F805" s="45"/>
      <c r="G805" s="45"/>
      <c r="H805" s="44"/>
      <c r="I805" s="44"/>
      <c r="J805" s="45"/>
      <c r="K805" s="45"/>
      <c r="L805" s="44"/>
      <c r="M805" s="45"/>
      <c r="N805" s="45"/>
      <c r="O805" s="45"/>
      <c r="P805" s="45"/>
      <c r="Q805" s="45"/>
      <c r="R805" s="45"/>
      <c r="S805" s="45"/>
      <c r="T805" s="45"/>
      <c r="U805" s="45"/>
      <c r="V805" s="45"/>
      <c r="W805" s="173"/>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row>
    <row r="806" spans="1:46" x14ac:dyDescent="0.3">
      <c r="A806" s="173"/>
      <c r="B806" s="44"/>
      <c r="C806" s="45"/>
      <c r="D806" s="45"/>
      <c r="E806" s="45"/>
      <c r="F806" s="45"/>
      <c r="G806" s="45"/>
      <c r="H806" s="44"/>
      <c r="I806" s="44"/>
      <c r="J806" s="45"/>
      <c r="K806" s="45"/>
      <c r="L806" s="44"/>
      <c r="M806" s="45"/>
      <c r="N806" s="45"/>
      <c r="O806" s="45"/>
      <c r="P806" s="45"/>
      <c r="Q806" s="45"/>
      <c r="R806" s="45"/>
      <c r="S806" s="45"/>
      <c r="T806" s="45"/>
      <c r="U806" s="45"/>
      <c r="V806" s="45"/>
      <c r="W806" s="173"/>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row>
    <row r="807" spans="1:46" x14ac:dyDescent="0.3">
      <c r="A807" s="173"/>
      <c r="B807" s="44"/>
      <c r="C807" s="45"/>
      <c r="D807" s="45"/>
      <c r="E807" s="45"/>
      <c r="F807" s="45"/>
      <c r="G807" s="45"/>
      <c r="H807" s="44"/>
      <c r="I807" s="44"/>
      <c r="J807" s="45"/>
      <c r="K807" s="45"/>
      <c r="L807" s="44"/>
      <c r="M807" s="45"/>
      <c r="N807" s="45"/>
      <c r="O807" s="45"/>
      <c r="P807" s="45"/>
      <c r="Q807" s="45"/>
      <c r="R807" s="45"/>
      <c r="S807" s="45"/>
      <c r="T807" s="45"/>
      <c r="U807" s="45"/>
      <c r="V807" s="45"/>
      <c r="W807" s="173"/>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row>
    <row r="808" spans="1:46" x14ac:dyDescent="0.3">
      <c r="A808" s="173"/>
      <c r="B808" s="44"/>
      <c r="C808" s="45"/>
      <c r="D808" s="45"/>
      <c r="E808" s="45"/>
      <c r="F808" s="45"/>
      <c r="G808" s="45"/>
      <c r="H808" s="44"/>
      <c r="I808" s="44"/>
      <c r="J808" s="45"/>
      <c r="K808" s="45"/>
      <c r="L808" s="44"/>
      <c r="M808" s="45"/>
      <c r="N808" s="45"/>
      <c r="O808" s="45"/>
      <c r="P808" s="45"/>
      <c r="Q808" s="45"/>
      <c r="R808" s="45"/>
      <c r="S808" s="45"/>
      <c r="T808" s="45"/>
      <c r="U808" s="45"/>
      <c r="V808" s="45"/>
      <c r="W808" s="173"/>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row>
    <row r="809" spans="1:46" x14ac:dyDescent="0.3">
      <c r="A809" s="173"/>
      <c r="B809" s="44"/>
      <c r="C809" s="45"/>
      <c r="D809" s="45"/>
      <c r="E809" s="45"/>
      <c r="F809" s="45"/>
      <c r="G809" s="45"/>
      <c r="H809" s="44"/>
      <c r="I809" s="44"/>
      <c r="J809" s="45"/>
      <c r="K809" s="45"/>
      <c r="L809" s="44"/>
      <c r="M809" s="45"/>
      <c r="N809" s="45"/>
      <c r="O809" s="45"/>
      <c r="P809" s="45"/>
      <c r="Q809" s="45"/>
      <c r="R809" s="45"/>
      <c r="S809" s="45"/>
      <c r="T809" s="45"/>
      <c r="U809" s="45"/>
      <c r="V809" s="45"/>
      <c r="W809" s="173"/>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row>
    <row r="810" spans="1:46" x14ac:dyDescent="0.3">
      <c r="A810" s="173"/>
      <c r="B810" s="44"/>
      <c r="C810" s="45"/>
      <c r="D810" s="45"/>
      <c r="E810" s="45"/>
      <c r="F810" s="45"/>
      <c r="G810" s="45"/>
      <c r="H810" s="44"/>
      <c r="I810" s="44"/>
      <c r="J810" s="45"/>
      <c r="K810" s="45"/>
      <c r="L810" s="44"/>
      <c r="M810" s="45"/>
      <c r="N810" s="45"/>
      <c r="O810" s="45"/>
      <c r="P810" s="45"/>
      <c r="Q810" s="45"/>
      <c r="R810" s="45"/>
      <c r="S810" s="45"/>
      <c r="T810" s="45"/>
      <c r="U810" s="45"/>
      <c r="V810" s="45"/>
      <c r="W810" s="173"/>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row>
    <row r="811" spans="1:46" x14ac:dyDescent="0.3">
      <c r="A811" s="173"/>
      <c r="B811" s="44"/>
      <c r="C811" s="45"/>
      <c r="D811" s="45"/>
      <c r="E811" s="45"/>
      <c r="F811" s="45"/>
      <c r="G811" s="45"/>
      <c r="H811" s="44"/>
      <c r="I811" s="44"/>
      <c r="J811" s="45"/>
      <c r="K811" s="45"/>
      <c r="L811" s="44"/>
      <c r="M811" s="45"/>
      <c r="N811" s="45"/>
      <c r="O811" s="45"/>
      <c r="P811" s="45"/>
      <c r="Q811" s="45"/>
      <c r="R811" s="45"/>
      <c r="S811" s="45"/>
      <c r="T811" s="45"/>
      <c r="U811" s="45"/>
      <c r="V811" s="45"/>
      <c r="W811" s="173"/>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row>
    <row r="812" spans="1:46" x14ac:dyDescent="0.3">
      <c r="A812" s="173"/>
      <c r="B812" s="44"/>
      <c r="C812" s="45"/>
      <c r="D812" s="45"/>
      <c r="E812" s="45"/>
      <c r="F812" s="45"/>
      <c r="G812" s="45"/>
      <c r="H812" s="44"/>
      <c r="I812" s="44"/>
      <c r="J812" s="45"/>
      <c r="K812" s="45"/>
      <c r="L812" s="44"/>
      <c r="M812" s="45"/>
      <c r="N812" s="45"/>
      <c r="O812" s="45"/>
      <c r="P812" s="45"/>
      <c r="Q812" s="45"/>
      <c r="R812" s="45"/>
      <c r="S812" s="45"/>
      <c r="T812" s="45"/>
      <c r="U812" s="45"/>
      <c r="V812" s="45"/>
      <c r="W812" s="173"/>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row>
    <row r="813" spans="1:46" x14ac:dyDescent="0.3">
      <c r="A813" s="173"/>
      <c r="B813" s="44"/>
      <c r="C813" s="45"/>
      <c r="D813" s="45"/>
      <c r="E813" s="45"/>
      <c r="F813" s="45"/>
      <c r="G813" s="45"/>
      <c r="H813" s="44"/>
      <c r="I813" s="44"/>
      <c r="J813" s="45"/>
      <c r="K813" s="45"/>
      <c r="L813" s="44"/>
      <c r="M813" s="45"/>
      <c r="N813" s="45"/>
      <c r="O813" s="45"/>
      <c r="P813" s="45"/>
      <c r="Q813" s="45"/>
      <c r="R813" s="45"/>
      <c r="S813" s="45"/>
      <c r="T813" s="45"/>
      <c r="U813" s="45"/>
      <c r="V813" s="45"/>
      <c r="W813" s="173"/>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row>
    <row r="814" spans="1:46" x14ac:dyDescent="0.3">
      <c r="A814" s="173"/>
      <c r="B814" s="44"/>
      <c r="C814" s="45"/>
      <c r="D814" s="45"/>
      <c r="E814" s="45"/>
      <c r="F814" s="45"/>
      <c r="G814" s="45"/>
      <c r="H814" s="44"/>
      <c r="I814" s="44"/>
      <c r="J814" s="45"/>
      <c r="K814" s="45"/>
      <c r="L814" s="44"/>
      <c r="M814" s="45"/>
      <c r="N814" s="45"/>
      <c r="O814" s="45"/>
      <c r="P814" s="45"/>
      <c r="Q814" s="45"/>
      <c r="R814" s="45"/>
      <c r="S814" s="45"/>
      <c r="T814" s="45"/>
      <c r="U814" s="45"/>
      <c r="V814" s="45"/>
      <c r="W814" s="173"/>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row>
    <row r="815" spans="1:46" x14ac:dyDescent="0.3">
      <c r="A815" s="173"/>
      <c r="B815" s="44"/>
      <c r="C815" s="45"/>
      <c r="D815" s="45"/>
      <c r="E815" s="45"/>
      <c r="F815" s="45"/>
      <c r="G815" s="45"/>
      <c r="H815" s="44"/>
      <c r="I815" s="44"/>
      <c r="J815" s="45"/>
      <c r="K815" s="45"/>
      <c r="L815" s="44"/>
      <c r="M815" s="45"/>
      <c r="N815" s="45"/>
      <c r="O815" s="45"/>
      <c r="P815" s="45"/>
      <c r="Q815" s="45"/>
      <c r="R815" s="45"/>
      <c r="S815" s="45"/>
      <c r="T815" s="45"/>
      <c r="U815" s="45"/>
      <c r="V815" s="45"/>
      <c r="W815" s="173"/>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row>
    <row r="816" spans="1:46" x14ac:dyDescent="0.3">
      <c r="A816" s="173"/>
      <c r="B816" s="44"/>
      <c r="C816" s="45"/>
      <c r="D816" s="45"/>
      <c r="E816" s="45"/>
      <c r="F816" s="45"/>
      <c r="G816" s="45"/>
      <c r="H816" s="44"/>
      <c r="I816" s="44"/>
      <c r="J816" s="45"/>
      <c r="K816" s="45"/>
      <c r="L816" s="44"/>
      <c r="M816" s="45"/>
      <c r="N816" s="45"/>
      <c r="O816" s="45"/>
      <c r="P816" s="45"/>
      <c r="Q816" s="45"/>
      <c r="R816" s="45"/>
      <c r="S816" s="45"/>
      <c r="T816" s="45"/>
      <c r="U816" s="45"/>
      <c r="V816" s="45"/>
      <c r="W816" s="173"/>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row>
    <row r="817" spans="1:46" x14ac:dyDescent="0.3">
      <c r="A817" s="173"/>
      <c r="B817" s="44"/>
      <c r="C817" s="45"/>
      <c r="D817" s="45"/>
      <c r="E817" s="45"/>
      <c r="F817" s="45"/>
      <c r="G817" s="45"/>
      <c r="H817" s="44"/>
      <c r="I817" s="44"/>
      <c r="J817" s="45"/>
      <c r="K817" s="45"/>
      <c r="L817" s="44"/>
      <c r="M817" s="45"/>
      <c r="N817" s="45"/>
      <c r="O817" s="45"/>
      <c r="P817" s="45"/>
      <c r="Q817" s="45"/>
      <c r="R817" s="45"/>
      <c r="S817" s="45"/>
      <c r="T817" s="45"/>
      <c r="U817" s="45"/>
      <c r="V817" s="45"/>
      <c r="W817" s="173"/>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row>
    <row r="818" spans="1:46" x14ac:dyDescent="0.3">
      <c r="A818" s="173"/>
      <c r="B818" s="44"/>
      <c r="C818" s="45"/>
      <c r="D818" s="45"/>
      <c r="E818" s="45"/>
      <c r="F818" s="45"/>
      <c r="G818" s="45"/>
      <c r="H818" s="44"/>
      <c r="I818" s="44"/>
      <c r="J818" s="45"/>
      <c r="K818" s="45"/>
      <c r="L818" s="44"/>
      <c r="M818" s="45"/>
      <c r="N818" s="45"/>
      <c r="O818" s="45"/>
      <c r="P818" s="45"/>
      <c r="Q818" s="45"/>
      <c r="R818" s="45"/>
      <c r="S818" s="45"/>
      <c r="T818" s="45"/>
      <c r="U818" s="45"/>
      <c r="V818" s="45"/>
      <c r="W818" s="173"/>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row>
    <row r="819" spans="1:46" x14ac:dyDescent="0.3">
      <c r="A819" s="173"/>
      <c r="B819" s="44"/>
      <c r="C819" s="45"/>
      <c r="D819" s="45"/>
      <c r="E819" s="45"/>
      <c r="F819" s="45"/>
      <c r="G819" s="45"/>
      <c r="H819" s="44"/>
      <c r="I819" s="44"/>
      <c r="J819" s="45"/>
      <c r="K819" s="45"/>
      <c r="L819" s="44"/>
      <c r="M819" s="45"/>
      <c r="N819" s="45"/>
      <c r="O819" s="45"/>
      <c r="P819" s="45"/>
      <c r="Q819" s="45"/>
      <c r="R819" s="45"/>
      <c r="S819" s="45"/>
      <c r="T819" s="45"/>
      <c r="U819" s="45"/>
      <c r="V819" s="45"/>
      <c r="W819" s="173"/>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row>
    <row r="820" spans="1:46" x14ac:dyDescent="0.3">
      <c r="A820" s="173"/>
      <c r="B820" s="44"/>
      <c r="C820" s="45"/>
      <c r="D820" s="45"/>
      <c r="E820" s="45"/>
      <c r="F820" s="45"/>
      <c r="G820" s="45"/>
      <c r="H820" s="44"/>
      <c r="I820" s="44"/>
      <c r="J820" s="45"/>
      <c r="K820" s="45"/>
      <c r="L820" s="44"/>
      <c r="M820" s="45"/>
      <c r="N820" s="45"/>
      <c r="O820" s="45"/>
      <c r="P820" s="45"/>
      <c r="Q820" s="45"/>
      <c r="R820" s="45"/>
      <c r="S820" s="45"/>
      <c r="T820" s="45"/>
      <c r="U820" s="45"/>
      <c r="V820" s="45"/>
      <c r="W820" s="173"/>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row>
    <row r="821" spans="1:46" x14ac:dyDescent="0.3">
      <c r="A821" s="173"/>
      <c r="B821" s="44"/>
      <c r="C821" s="45"/>
      <c r="D821" s="45"/>
      <c r="E821" s="45"/>
      <c r="F821" s="45"/>
      <c r="G821" s="45"/>
      <c r="H821" s="44"/>
      <c r="I821" s="44"/>
      <c r="J821" s="45"/>
      <c r="K821" s="45"/>
      <c r="L821" s="44"/>
      <c r="M821" s="45"/>
      <c r="N821" s="45"/>
      <c r="O821" s="45"/>
      <c r="P821" s="45"/>
      <c r="Q821" s="45"/>
      <c r="R821" s="45"/>
      <c r="S821" s="45"/>
      <c r="T821" s="45"/>
      <c r="U821" s="45"/>
      <c r="V821" s="45"/>
      <c r="W821" s="173"/>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row>
    <row r="822" spans="1:46" x14ac:dyDescent="0.3">
      <c r="A822" s="173"/>
      <c r="B822" s="44"/>
      <c r="C822" s="45"/>
      <c r="D822" s="45"/>
      <c r="E822" s="45"/>
      <c r="F822" s="45"/>
      <c r="G822" s="45"/>
      <c r="H822" s="44"/>
      <c r="I822" s="44"/>
      <c r="J822" s="45"/>
      <c r="K822" s="45"/>
      <c r="L822" s="44"/>
      <c r="M822" s="45"/>
      <c r="N822" s="45"/>
      <c r="O822" s="45"/>
      <c r="P822" s="45"/>
      <c r="Q822" s="45"/>
      <c r="R822" s="45"/>
      <c r="S822" s="45"/>
      <c r="T822" s="45"/>
      <c r="U822" s="45"/>
      <c r="V822" s="45"/>
      <c r="W822" s="173"/>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row>
    <row r="823" spans="1:46" x14ac:dyDescent="0.3">
      <c r="A823" s="173"/>
      <c r="B823" s="44"/>
      <c r="C823" s="45"/>
      <c r="D823" s="45"/>
      <c r="E823" s="45"/>
      <c r="F823" s="45"/>
      <c r="G823" s="45"/>
      <c r="H823" s="44"/>
      <c r="I823" s="44"/>
      <c r="J823" s="45"/>
      <c r="K823" s="45"/>
      <c r="L823" s="44"/>
      <c r="M823" s="45"/>
      <c r="N823" s="45"/>
      <c r="O823" s="45"/>
      <c r="P823" s="45"/>
      <c r="Q823" s="45"/>
      <c r="R823" s="45"/>
      <c r="S823" s="45"/>
      <c r="T823" s="45"/>
      <c r="U823" s="45"/>
      <c r="V823" s="45"/>
      <c r="W823" s="173"/>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row>
    <row r="824" spans="1:46" x14ac:dyDescent="0.3">
      <c r="A824" s="173"/>
      <c r="B824" s="44"/>
      <c r="C824" s="45"/>
      <c r="D824" s="45"/>
      <c r="E824" s="45"/>
      <c r="F824" s="45"/>
      <c r="G824" s="45"/>
      <c r="H824" s="44"/>
      <c r="I824" s="44"/>
      <c r="J824" s="45"/>
      <c r="K824" s="45"/>
      <c r="L824" s="44"/>
      <c r="M824" s="45"/>
      <c r="N824" s="45"/>
      <c r="O824" s="45"/>
      <c r="P824" s="45"/>
      <c r="Q824" s="45"/>
      <c r="R824" s="45"/>
      <c r="S824" s="45"/>
      <c r="T824" s="45"/>
      <c r="U824" s="45"/>
      <c r="V824" s="45"/>
      <c r="W824" s="173"/>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row>
    <row r="825" spans="1:46" x14ac:dyDescent="0.3">
      <c r="A825" s="173"/>
      <c r="B825" s="44"/>
      <c r="C825" s="45"/>
      <c r="D825" s="45"/>
      <c r="E825" s="45"/>
      <c r="F825" s="45"/>
      <c r="G825" s="45"/>
      <c r="H825" s="44"/>
      <c r="I825" s="44"/>
      <c r="J825" s="45"/>
      <c r="K825" s="45"/>
      <c r="L825" s="44"/>
      <c r="M825" s="45"/>
      <c r="N825" s="45"/>
      <c r="O825" s="45"/>
      <c r="P825" s="45"/>
      <c r="Q825" s="45"/>
      <c r="R825" s="45"/>
      <c r="S825" s="45"/>
      <c r="T825" s="45"/>
      <c r="U825" s="45"/>
      <c r="V825" s="45"/>
      <c r="W825" s="173"/>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row>
    <row r="826" spans="1:46" x14ac:dyDescent="0.3">
      <c r="A826" s="173"/>
      <c r="B826" s="44"/>
      <c r="C826" s="45"/>
      <c r="D826" s="45"/>
      <c r="E826" s="45"/>
      <c r="F826" s="45"/>
      <c r="G826" s="45"/>
      <c r="H826" s="44"/>
      <c r="I826" s="44"/>
      <c r="J826" s="45"/>
      <c r="K826" s="45"/>
      <c r="L826" s="44"/>
      <c r="M826" s="45"/>
      <c r="N826" s="45"/>
      <c r="O826" s="45"/>
      <c r="P826" s="45"/>
      <c r="Q826" s="45"/>
      <c r="R826" s="45"/>
      <c r="S826" s="45"/>
      <c r="T826" s="45"/>
      <c r="U826" s="45"/>
      <c r="V826" s="45"/>
      <c r="W826" s="173"/>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row>
    <row r="827" spans="1:46" x14ac:dyDescent="0.3">
      <c r="A827" s="173"/>
      <c r="B827" s="44"/>
      <c r="C827" s="45"/>
      <c r="D827" s="45"/>
      <c r="E827" s="45"/>
      <c r="F827" s="45"/>
      <c r="G827" s="45"/>
      <c r="H827" s="44"/>
      <c r="I827" s="44"/>
      <c r="J827" s="45"/>
      <c r="K827" s="45"/>
      <c r="L827" s="44"/>
      <c r="M827" s="45"/>
      <c r="N827" s="45"/>
      <c r="O827" s="45"/>
      <c r="P827" s="45"/>
      <c r="Q827" s="45"/>
      <c r="R827" s="45"/>
      <c r="S827" s="45"/>
      <c r="T827" s="45"/>
      <c r="U827" s="45"/>
      <c r="V827" s="45"/>
      <c r="W827" s="173"/>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row>
    <row r="828" spans="1:46" x14ac:dyDescent="0.3">
      <c r="A828" s="173"/>
      <c r="B828" s="44"/>
      <c r="C828" s="45"/>
      <c r="D828" s="45"/>
      <c r="E828" s="45"/>
      <c r="F828" s="45"/>
      <c r="G828" s="45"/>
      <c r="H828" s="44"/>
      <c r="I828" s="44"/>
      <c r="J828" s="45"/>
      <c r="K828" s="45"/>
      <c r="L828" s="44"/>
      <c r="M828" s="45"/>
      <c r="N828" s="45"/>
      <c r="O828" s="45"/>
      <c r="P828" s="45"/>
      <c r="Q828" s="45"/>
      <c r="R828" s="45"/>
      <c r="S828" s="45"/>
      <c r="T828" s="45"/>
      <c r="U828" s="45"/>
      <c r="V828" s="45"/>
      <c r="W828" s="173"/>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row>
    <row r="829" spans="1:46" x14ac:dyDescent="0.3">
      <c r="A829" s="173"/>
      <c r="B829" s="44"/>
      <c r="C829" s="45"/>
      <c r="D829" s="45"/>
      <c r="E829" s="45"/>
      <c r="F829" s="45"/>
      <c r="G829" s="45"/>
      <c r="H829" s="44"/>
      <c r="I829" s="44"/>
      <c r="J829" s="45"/>
      <c r="K829" s="45"/>
      <c r="L829" s="44"/>
      <c r="M829" s="45"/>
      <c r="N829" s="45"/>
      <c r="O829" s="45"/>
      <c r="P829" s="45"/>
      <c r="Q829" s="45"/>
      <c r="R829" s="45"/>
      <c r="S829" s="45"/>
      <c r="T829" s="45"/>
      <c r="U829" s="45"/>
      <c r="V829" s="45"/>
      <c r="W829" s="173"/>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row>
    <row r="830" spans="1:46" x14ac:dyDescent="0.3">
      <c r="A830" s="173"/>
      <c r="B830" s="44"/>
      <c r="C830" s="45"/>
      <c r="D830" s="45"/>
      <c r="E830" s="45"/>
      <c r="F830" s="45"/>
      <c r="G830" s="45"/>
      <c r="H830" s="44"/>
      <c r="I830" s="44"/>
      <c r="J830" s="45"/>
      <c r="K830" s="45"/>
      <c r="L830" s="44"/>
      <c r="M830" s="45"/>
      <c r="N830" s="45"/>
      <c r="O830" s="45"/>
      <c r="P830" s="45"/>
      <c r="Q830" s="45"/>
      <c r="R830" s="45"/>
      <c r="S830" s="45"/>
      <c r="T830" s="45"/>
      <c r="U830" s="45"/>
      <c r="V830" s="45"/>
      <c r="W830" s="173"/>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row>
    <row r="831" spans="1:46" x14ac:dyDescent="0.3">
      <c r="A831" s="173"/>
      <c r="B831" s="44"/>
      <c r="C831" s="45"/>
      <c r="D831" s="45"/>
      <c r="E831" s="45"/>
      <c r="F831" s="45"/>
      <c r="G831" s="45"/>
      <c r="H831" s="44"/>
      <c r="I831" s="44"/>
      <c r="J831" s="45"/>
      <c r="K831" s="45"/>
      <c r="L831" s="44"/>
      <c r="M831" s="45"/>
      <c r="N831" s="45"/>
      <c r="O831" s="45"/>
      <c r="P831" s="45"/>
      <c r="Q831" s="45"/>
      <c r="R831" s="45"/>
      <c r="S831" s="45"/>
      <c r="T831" s="45"/>
      <c r="U831" s="45"/>
      <c r="V831" s="45"/>
      <c r="W831" s="173"/>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row>
    <row r="832" spans="1:46" x14ac:dyDescent="0.3">
      <c r="A832" s="173"/>
      <c r="B832" s="44"/>
      <c r="C832" s="45"/>
      <c r="D832" s="45"/>
      <c r="E832" s="45"/>
      <c r="F832" s="45"/>
      <c r="G832" s="45"/>
      <c r="H832" s="44"/>
      <c r="I832" s="44"/>
      <c r="J832" s="45"/>
      <c r="K832" s="45"/>
      <c r="L832" s="44"/>
      <c r="M832" s="45"/>
      <c r="N832" s="45"/>
      <c r="O832" s="45"/>
      <c r="P832" s="45"/>
      <c r="Q832" s="45"/>
      <c r="R832" s="45"/>
      <c r="S832" s="45"/>
      <c r="T832" s="45"/>
      <c r="U832" s="45"/>
      <c r="V832" s="45"/>
      <c r="W832" s="173"/>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row>
    <row r="833" spans="1:46" x14ac:dyDescent="0.3">
      <c r="A833" s="173"/>
      <c r="B833" s="44"/>
      <c r="C833" s="45"/>
      <c r="D833" s="45"/>
      <c r="E833" s="45"/>
      <c r="F833" s="45"/>
      <c r="G833" s="45"/>
      <c r="H833" s="44"/>
      <c r="I833" s="44"/>
      <c r="J833" s="45"/>
      <c r="K833" s="45"/>
      <c r="L833" s="44"/>
      <c r="M833" s="45"/>
      <c r="N833" s="45"/>
      <c r="O833" s="45"/>
      <c r="P833" s="45"/>
      <c r="Q833" s="45"/>
      <c r="R833" s="45"/>
      <c r="S833" s="45"/>
      <c r="T833" s="45"/>
      <c r="U833" s="45"/>
      <c r="V833" s="45"/>
      <c r="W833" s="173"/>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row>
    <row r="834" spans="1:46" x14ac:dyDescent="0.3">
      <c r="A834" s="173"/>
      <c r="B834" s="44"/>
      <c r="C834" s="45"/>
      <c r="D834" s="45"/>
      <c r="E834" s="45"/>
      <c r="F834" s="45"/>
      <c r="G834" s="45"/>
      <c r="H834" s="44"/>
      <c r="I834" s="44"/>
      <c r="J834" s="45"/>
      <c r="K834" s="45"/>
      <c r="L834" s="44"/>
      <c r="M834" s="45"/>
      <c r="N834" s="45"/>
      <c r="O834" s="45"/>
      <c r="P834" s="45"/>
      <c r="Q834" s="45"/>
      <c r="R834" s="45"/>
      <c r="S834" s="45"/>
      <c r="T834" s="45"/>
      <c r="U834" s="45"/>
      <c r="V834" s="45"/>
      <c r="W834" s="173"/>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row>
    <row r="835" spans="1:46" x14ac:dyDescent="0.3">
      <c r="A835" s="173"/>
      <c r="B835" s="44"/>
      <c r="C835" s="45"/>
      <c r="D835" s="45"/>
      <c r="E835" s="45"/>
      <c r="F835" s="45"/>
      <c r="G835" s="45"/>
      <c r="H835" s="44"/>
      <c r="I835" s="44"/>
      <c r="J835" s="45"/>
      <c r="K835" s="45"/>
      <c r="L835" s="44"/>
      <c r="M835" s="45"/>
      <c r="N835" s="45"/>
      <c r="O835" s="45"/>
      <c r="P835" s="45"/>
      <c r="Q835" s="45"/>
      <c r="R835" s="45"/>
      <c r="S835" s="45"/>
      <c r="T835" s="45"/>
      <c r="U835" s="45"/>
      <c r="V835" s="45"/>
      <c r="W835" s="173"/>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row>
    <row r="836" spans="1:46" x14ac:dyDescent="0.3">
      <c r="A836" s="173"/>
      <c r="B836" s="44"/>
      <c r="C836" s="45"/>
      <c r="D836" s="45"/>
      <c r="E836" s="45"/>
      <c r="F836" s="45"/>
      <c r="G836" s="45"/>
      <c r="H836" s="44"/>
      <c r="I836" s="44"/>
      <c r="J836" s="45"/>
      <c r="K836" s="45"/>
      <c r="L836" s="44"/>
      <c r="M836" s="45"/>
      <c r="N836" s="45"/>
      <c r="O836" s="45"/>
      <c r="P836" s="45"/>
      <c r="Q836" s="45"/>
      <c r="R836" s="45"/>
      <c r="S836" s="45"/>
      <c r="T836" s="45"/>
      <c r="U836" s="45"/>
      <c r="V836" s="45"/>
      <c r="W836" s="173"/>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row>
    <row r="837" spans="1:46" x14ac:dyDescent="0.3">
      <c r="A837" s="173"/>
      <c r="B837" s="44"/>
      <c r="C837" s="45"/>
      <c r="D837" s="45"/>
      <c r="E837" s="45"/>
      <c r="F837" s="45"/>
      <c r="G837" s="45"/>
      <c r="H837" s="44"/>
      <c r="I837" s="44"/>
      <c r="J837" s="45"/>
      <c r="K837" s="45"/>
      <c r="L837" s="44"/>
      <c r="M837" s="45"/>
      <c r="N837" s="45"/>
      <c r="O837" s="45"/>
      <c r="P837" s="45"/>
      <c r="Q837" s="45"/>
      <c r="R837" s="45"/>
      <c r="S837" s="45"/>
      <c r="T837" s="45"/>
      <c r="U837" s="45"/>
      <c r="V837" s="45"/>
      <c r="W837" s="173"/>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row>
    <row r="838" spans="1:46" x14ac:dyDescent="0.3">
      <c r="A838" s="173"/>
      <c r="B838" s="44"/>
      <c r="C838" s="45"/>
      <c r="D838" s="45"/>
      <c r="E838" s="45"/>
      <c r="F838" s="45"/>
      <c r="G838" s="45"/>
      <c r="H838" s="44"/>
      <c r="I838" s="44"/>
      <c r="J838" s="45"/>
      <c r="K838" s="45"/>
      <c r="L838" s="44"/>
      <c r="M838" s="45"/>
      <c r="N838" s="45"/>
      <c r="O838" s="45"/>
      <c r="P838" s="45"/>
      <c r="Q838" s="45"/>
      <c r="R838" s="45"/>
      <c r="S838" s="45"/>
      <c r="T838" s="45"/>
      <c r="U838" s="45"/>
      <c r="V838" s="45"/>
      <c r="W838" s="173"/>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row>
    <row r="839" spans="1:46" x14ac:dyDescent="0.3">
      <c r="A839" s="173"/>
      <c r="B839" s="44"/>
      <c r="C839" s="45"/>
      <c r="D839" s="45"/>
      <c r="E839" s="45"/>
      <c r="F839" s="45"/>
      <c r="G839" s="45"/>
      <c r="H839" s="44"/>
      <c r="I839" s="44"/>
      <c r="J839" s="45"/>
      <c r="K839" s="45"/>
      <c r="L839" s="44"/>
      <c r="M839" s="45"/>
      <c r="N839" s="45"/>
      <c r="O839" s="45"/>
      <c r="P839" s="45"/>
      <c r="Q839" s="45"/>
      <c r="R839" s="45"/>
      <c r="S839" s="45"/>
      <c r="T839" s="45"/>
      <c r="U839" s="45"/>
      <c r="V839" s="45"/>
      <c r="W839" s="173"/>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row>
    <row r="840" spans="1:46" x14ac:dyDescent="0.3">
      <c r="A840" s="173"/>
      <c r="B840" s="44"/>
      <c r="C840" s="45"/>
      <c r="D840" s="45"/>
      <c r="E840" s="45"/>
      <c r="F840" s="45"/>
      <c r="G840" s="45"/>
      <c r="H840" s="44"/>
      <c r="I840" s="44"/>
      <c r="J840" s="45"/>
      <c r="K840" s="45"/>
      <c r="L840" s="44"/>
      <c r="M840" s="45"/>
      <c r="N840" s="45"/>
      <c r="O840" s="45"/>
      <c r="P840" s="45"/>
      <c r="Q840" s="45"/>
      <c r="R840" s="45"/>
      <c r="S840" s="45"/>
      <c r="T840" s="45"/>
      <c r="U840" s="45"/>
      <c r="V840" s="45"/>
      <c r="W840" s="173"/>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row>
    <row r="841" spans="1:46" x14ac:dyDescent="0.3">
      <c r="A841" s="173"/>
      <c r="B841" s="44"/>
      <c r="C841" s="45"/>
      <c r="D841" s="45"/>
      <c r="E841" s="45"/>
      <c r="F841" s="45"/>
      <c r="G841" s="45"/>
      <c r="H841" s="44"/>
      <c r="I841" s="44"/>
      <c r="J841" s="45"/>
      <c r="K841" s="45"/>
      <c r="L841" s="44"/>
      <c r="M841" s="45"/>
      <c r="N841" s="45"/>
      <c r="O841" s="45"/>
      <c r="P841" s="45"/>
      <c r="Q841" s="45"/>
      <c r="R841" s="45"/>
      <c r="S841" s="45"/>
      <c r="T841" s="45"/>
      <c r="U841" s="45"/>
      <c r="V841" s="45"/>
      <c r="W841" s="173"/>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row>
    <row r="842" spans="1:46" x14ac:dyDescent="0.3">
      <c r="A842" s="173"/>
      <c r="B842" s="44"/>
      <c r="C842" s="45"/>
      <c r="D842" s="45"/>
      <c r="E842" s="45"/>
      <c r="F842" s="45"/>
      <c r="G842" s="45"/>
      <c r="H842" s="44"/>
      <c r="I842" s="44"/>
      <c r="J842" s="45"/>
      <c r="K842" s="45"/>
      <c r="L842" s="44"/>
      <c r="M842" s="45"/>
      <c r="N842" s="45"/>
      <c r="O842" s="45"/>
      <c r="P842" s="45"/>
      <c r="Q842" s="45"/>
      <c r="R842" s="45"/>
      <c r="S842" s="45"/>
      <c r="T842" s="45"/>
      <c r="U842" s="45"/>
      <c r="V842" s="45"/>
      <c r="W842" s="173"/>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row>
    <row r="843" spans="1:46" x14ac:dyDescent="0.3">
      <c r="A843" s="173"/>
      <c r="B843" s="44"/>
      <c r="C843" s="45"/>
      <c r="D843" s="45"/>
      <c r="E843" s="45"/>
      <c r="F843" s="45"/>
      <c r="G843" s="45"/>
      <c r="H843" s="44"/>
      <c r="I843" s="44"/>
      <c r="J843" s="45"/>
      <c r="K843" s="45"/>
      <c r="L843" s="44"/>
      <c r="M843" s="45"/>
      <c r="N843" s="45"/>
      <c r="O843" s="45"/>
      <c r="P843" s="45"/>
      <c r="Q843" s="45"/>
      <c r="R843" s="45"/>
      <c r="S843" s="45"/>
      <c r="T843" s="45"/>
      <c r="U843" s="45"/>
      <c r="V843" s="45"/>
      <c r="W843" s="173"/>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row>
    <row r="844" spans="1:46" x14ac:dyDescent="0.3">
      <c r="A844" s="173"/>
      <c r="B844" s="44"/>
      <c r="C844" s="45"/>
      <c r="D844" s="45"/>
      <c r="E844" s="45"/>
      <c r="F844" s="45"/>
      <c r="G844" s="45"/>
      <c r="H844" s="44"/>
      <c r="I844" s="44"/>
      <c r="J844" s="45"/>
      <c r="K844" s="45"/>
      <c r="L844" s="44"/>
      <c r="M844" s="45"/>
      <c r="N844" s="45"/>
      <c r="O844" s="45"/>
      <c r="P844" s="45"/>
      <c r="Q844" s="45"/>
      <c r="R844" s="45"/>
      <c r="S844" s="45"/>
      <c r="T844" s="45"/>
      <c r="U844" s="45"/>
      <c r="V844" s="45"/>
      <c r="W844" s="173"/>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row>
    <row r="845" spans="1:46" x14ac:dyDescent="0.3">
      <c r="A845" s="173"/>
      <c r="B845" s="44"/>
      <c r="C845" s="45"/>
      <c r="D845" s="45"/>
      <c r="E845" s="45"/>
      <c r="F845" s="45"/>
      <c r="G845" s="45"/>
      <c r="H845" s="44"/>
      <c r="I845" s="44"/>
      <c r="J845" s="45"/>
      <c r="K845" s="45"/>
      <c r="L845" s="44"/>
      <c r="M845" s="45"/>
      <c r="N845" s="45"/>
      <c r="O845" s="45"/>
      <c r="P845" s="45"/>
      <c r="Q845" s="45"/>
      <c r="R845" s="45"/>
      <c r="S845" s="45"/>
      <c r="T845" s="45"/>
      <c r="U845" s="45"/>
      <c r="V845" s="45"/>
      <c r="W845" s="173"/>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row>
    <row r="846" spans="1:46" x14ac:dyDescent="0.3">
      <c r="A846" s="173"/>
      <c r="B846" s="44"/>
      <c r="C846" s="45"/>
      <c r="D846" s="45"/>
      <c r="E846" s="45"/>
      <c r="F846" s="45"/>
      <c r="G846" s="45"/>
      <c r="H846" s="44"/>
      <c r="I846" s="44"/>
      <c r="J846" s="45"/>
      <c r="K846" s="45"/>
      <c r="L846" s="44"/>
      <c r="M846" s="45"/>
      <c r="N846" s="45"/>
      <c r="O846" s="45"/>
      <c r="P846" s="45"/>
      <c r="Q846" s="45"/>
      <c r="R846" s="45"/>
      <c r="S846" s="45"/>
      <c r="T846" s="45"/>
      <c r="U846" s="45"/>
      <c r="V846" s="45"/>
      <c r="W846" s="173"/>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row>
    <row r="847" spans="1:46" x14ac:dyDescent="0.3">
      <c r="A847" s="173"/>
      <c r="B847" s="44"/>
      <c r="C847" s="45"/>
      <c r="D847" s="45"/>
      <c r="E847" s="45"/>
      <c r="F847" s="45"/>
      <c r="G847" s="45"/>
      <c r="H847" s="44"/>
      <c r="I847" s="44"/>
      <c r="J847" s="45"/>
      <c r="K847" s="45"/>
      <c r="L847" s="44"/>
      <c r="M847" s="45"/>
      <c r="N847" s="45"/>
      <c r="O847" s="45"/>
      <c r="P847" s="45"/>
      <c r="Q847" s="45"/>
      <c r="R847" s="45"/>
      <c r="S847" s="45"/>
      <c r="T847" s="45"/>
      <c r="U847" s="45"/>
      <c r="V847" s="45"/>
      <c r="W847" s="173"/>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row>
    <row r="848" spans="1:46" x14ac:dyDescent="0.3">
      <c r="A848" s="173"/>
      <c r="B848" s="44"/>
      <c r="C848" s="45"/>
      <c r="D848" s="45"/>
      <c r="E848" s="45"/>
      <c r="F848" s="45"/>
      <c r="G848" s="45"/>
      <c r="H848" s="44"/>
      <c r="I848" s="44"/>
      <c r="J848" s="45"/>
      <c r="K848" s="45"/>
      <c r="L848" s="44"/>
      <c r="M848" s="45"/>
      <c r="N848" s="45"/>
      <c r="O848" s="45"/>
      <c r="P848" s="45"/>
      <c r="Q848" s="45"/>
      <c r="R848" s="45"/>
      <c r="S848" s="45"/>
      <c r="T848" s="45"/>
      <c r="U848" s="45"/>
      <c r="V848" s="45"/>
      <c r="W848" s="173"/>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row>
    <row r="849" spans="1:46" x14ac:dyDescent="0.3">
      <c r="A849" s="173"/>
      <c r="B849" s="44"/>
      <c r="C849" s="45"/>
      <c r="D849" s="45"/>
      <c r="E849" s="45"/>
      <c r="F849" s="45"/>
      <c r="G849" s="45"/>
      <c r="H849" s="44"/>
      <c r="I849" s="44"/>
      <c r="J849" s="45"/>
      <c r="K849" s="45"/>
      <c r="L849" s="44"/>
      <c r="M849" s="45"/>
      <c r="N849" s="45"/>
      <c r="O849" s="45"/>
      <c r="P849" s="45"/>
      <c r="Q849" s="45"/>
      <c r="R849" s="45"/>
      <c r="S849" s="45"/>
      <c r="T849" s="45"/>
      <c r="U849" s="45"/>
      <c r="V849" s="45"/>
      <c r="W849" s="173"/>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row>
    <row r="850" spans="1:46" x14ac:dyDescent="0.3">
      <c r="A850" s="173"/>
      <c r="B850" s="44"/>
      <c r="C850" s="45"/>
      <c r="D850" s="45"/>
      <c r="E850" s="45"/>
      <c r="F850" s="45"/>
      <c r="G850" s="45"/>
      <c r="H850" s="44"/>
      <c r="I850" s="44"/>
      <c r="J850" s="45"/>
      <c r="K850" s="45"/>
      <c r="L850" s="44"/>
      <c r="M850" s="45"/>
      <c r="N850" s="45"/>
      <c r="O850" s="45"/>
      <c r="P850" s="45"/>
      <c r="Q850" s="45"/>
      <c r="R850" s="45"/>
      <c r="S850" s="45"/>
      <c r="T850" s="45"/>
      <c r="U850" s="45"/>
      <c r="V850" s="45"/>
      <c r="W850" s="173"/>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row>
    <row r="851" spans="1:46" x14ac:dyDescent="0.3">
      <c r="A851" s="173"/>
      <c r="B851" s="44"/>
      <c r="C851" s="45"/>
      <c r="D851" s="45"/>
      <c r="E851" s="45"/>
      <c r="F851" s="45"/>
      <c r="G851" s="45"/>
      <c r="H851" s="44"/>
      <c r="I851" s="44"/>
      <c r="J851" s="45"/>
      <c r="K851" s="45"/>
      <c r="L851" s="44"/>
      <c r="M851" s="45"/>
      <c r="N851" s="45"/>
      <c r="O851" s="45"/>
      <c r="P851" s="45"/>
      <c r="Q851" s="45"/>
      <c r="R851" s="45"/>
      <c r="S851" s="45"/>
      <c r="T851" s="45"/>
      <c r="U851" s="45"/>
      <c r="V851" s="45"/>
      <c r="W851" s="173"/>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row>
    <row r="852" spans="1:46" x14ac:dyDescent="0.3">
      <c r="A852" s="173"/>
      <c r="B852" s="44"/>
      <c r="C852" s="45"/>
      <c r="D852" s="45"/>
      <c r="E852" s="45"/>
      <c r="F852" s="45"/>
      <c r="G852" s="45"/>
      <c r="H852" s="44"/>
      <c r="I852" s="44"/>
      <c r="J852" s="45"/>
      <c r="K852" s="45"/>
      <c r="L852" s="44"/>
      <c r="M852" s="45"/>
      <c r="N852" s="45"/>
      <c r="O852" s="45"/>
      <c r="P852" s="45"/>
      <c r="Q852" s="45"/>
      <c r="R852" s="45"/>
      <c r="S852" s="45"/>
      <c r="T852" s="45"/>
      <c r="U852" s="45"/>
      <c r="V852" s="45"/>
      <c r="W852" s="173"/>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row>
    <row r="853" spans="1:46" x14ac:dyDescent="0.3">
      <c r="A853" s="173"/>
      <c r="B853" s="44"/>
      <c r="C853" s="45"/>
      <c r="D853" s="45"/>
      <c r="E853" s="45"/>
      <c r="F853" s="45"/>
      <c r="G853" s="45"/>
      <c r="H853" s="44"/>
      <c r="I853" s="44"/>
      <c r="J853" s="45"/>
      <c r="K853" s="45"/>
      <c r="L853" s="44"/>
      <c r="M853" s="45"/>
      <c r="N853" s="45"/>
      <c r="O853" s="45"/>
      <c r="P853" s="45"/>
      <c r="Q853" s="45"/>
      <c r="R853" s="45"/>
      <c r="S853" s="45"/>
      <c r="T853" s="45"/>
      <c r="U853" s="45"/>
      <c r="V853" s="45"/>
      <c r="W853" s="173"/>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row>
    <row r="854" spans="1:46" x14ac:dyDescent="0.3">
      <c r="A854" s="173"/>
      <c r="B854" s="44"/>
      <c r="C854" s="45"/>
      <c r="D854" s="45"/>
      <c r="E854" s="45"/>
      <c r="F854" s="45"/>
      <c r="G854" s="45"/>
      <c r="H854" s="44"/>
      <c r="I854" s="44"/>
      <c r="J854" s="45"/>
      <c r="K854" s="45"/>
      <c r="L854" s="44"/>
      <c r="M854" s="45"/>
      <c r="N854" s="45"/>
      <c r="O854" s="45"/>
      <c r="P854" s="45"/>
      <c r="Q854" s="45"/>
      <c r="R854" s="45"/>
      <c r="S854" s="45"/>
      <c r="T854" s="45"/>
      <c r="U854" s="45"/>
      <c r="V854" s="45"/>
      <c r="W854" s="173"/>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row>
    <row r="855" spans="1:46" x14ac:dyDescent="0.3">
      <c r="A855" s="173"/>
      <c r="B855" s="44"/>
      <c r="C855" s="45"/>
      <c r="D855" s="45"/>
      <c r="E855" s="45"/>
      <c r="F855" s="45"/>
      <c r="G855" s="45"/>
      <c r="H855" s="44"/>
      <c r="I855" s="44"/>
      <c r="J855" s="45"/>
      <c r="K855" s="45"/>
      <c r="L855" s="44"/>
      <c r="M855" s="45"/>
      <c r="N855" s="45"/>
      <c r="O855" s="45"/>
      <c r="P855" s="45"/>
      <c r="Q855" s="45"/>
      <c r="R855" s="45"/>
      <c r="S855" s="45"/>
      <c r="T855" s="45"/>
      <c r="U855" s="45"/>
      <c r="V855" s="45"/>
      <c r="W855" s="173"/>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row>
    <row r="856" spans="1:46" x14ac:dyDescent="0.3">
      <c r="A856" s="173"/>
      <c r="B856" s="44"/>
      <c r="C856" s="45"/>
      <c r="D856" s="45"/>
      <c r="E856" s="45"/>
      <c r="F856" s="45"/>
      <c r="G856" s="45"/>
      <c r="H856" s="44"/>
      <c r="I856" s="44"/>
      <c r="J856" s="45"/>
      <c r="K856" s="45"/>
      <c r="L856" s="44"/>
      <c r="M856" s="45"/>
      <c r="N856" s="45"/>
      <c r="O856" s="45"/>
      <c r="P856" s="45"/>
      <c r="Q856" s="45"/>
      <c r="R856" s="45"/>
      <c r="S856" s="45"/>
      <c r="T856" s="45"/>
      <c r="U856" s="45"/>
      <c r="V856" s="45"/>
      <c r="W856" s="173"/>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row>
    <row r="857" spans="1:46" x14ac:dyDescent="0.3">
      <c r="A857" s="173"/>
      <c r="B857" s="44"/>
      <c r="C857" s="45"/>
      <c r="D857" s="45"/>
      <c r="E857" s="45"/>
      <c r="F857" s="45"/>
      <c r="G857" s="45"/>
      <c r="H857" s="44"/>
      <c r="I857" s="44"/>
      <c r="J857" s="45"/>
      <c r="K857" s="45"/>
      <c r="L857" s="44"/>
      <c r="M857" s="45"/>
      <c r="N857" s="45"/>
      <c r="O857" s="45"/>
      <c r="P857" s="45"/>
      <c r="Q857" s="45"/>
      <c r="R857" s="45"/>
      <c r="S857" s="45"/>
      <c r="T857" s="45"/>
      <c r="U857" s="45"/>
      <c r="V857" s="45"/>
      <c r="W857" s="173"/>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row>
    <row r="858" spans="1:46" x14ac:dyDescent="0.3">
      <c r="A858" s="173"/>
      <c r="B858" s="44"/>
      <c r="C858" s="45"/>
      <c r="D858" s="45"/>
      <c r="E858" s="45"/>
      <c r="F858" s="45"/>
      <c r="G858" s="45"/>
      <c r="H858" s="44"/>
      <c r="I858" s="44"/>
      <c r="J858" s="45"/>
      <c r="K858" s="45"/>
      <c r="L858" s="44"/>
      <c r="M858" s="45"/>
      <c r="N858" s="45"/>
      <c r="O858" s="45"/>
      <c r="P858" s="45"/>
      <c r="Q858" s="45"/>
      <c r="R858" s="45"/>
      <c r="S858" s="45"/>
      <c r="T858" s="45"/>
      <c r="U858" s="45"/>
      <c r="V858" s="45"/>
      <c r="W858" s="173"/>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row>
    <row r="859" spans="1:46" x14ac:dyDescent="0.3">
      <c r="A859" s="173"/>
      <c r="B859" s="44"/>
      <c r="C859" s="45"/>
      <c r="D859" s="45"/>
      <c r="E859" s="45"/>
      <c r="F859" s="45"/>
      <c r="G859" s="45"/>
      <c r="H859" s="44"/>
      <c r="I859" s="44"/>
      <c r="J859" s="45"/>
      <c r="K859" s="45"/>
      <c r="L859" s="44"/>
      <c r="M859" s="45"/>
      <c r="N859" s="45"/>
      <c r="O859" s="45"/>
      <c r="P859" s="45"/>
      <c r="Q859" s="45"/>
      <c r="R859" s="45"/>
      <c r="S859" s="45"/>
      <c r="T859" s="45"/>
      <c r="U859" s="45"/>
      <c r="V859" s="45"/>
      <c r="W859" s="173"/>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row>
    <row r="860" spans="1:46" x14ac:dyDescent="0.3">
      <c r="A860" s="173"/>
      <c r="B860" s="44"/>
      <c r="C860" s="45"/>
      <c r="D860" s="45"/>
      <c r="E860" s="45"/>
      <c r="F860" s="45"/>
      <c r="G860" s="45"/>
      <c r="H860" s="44"/>
      <c r="I860" s="44"/>
      <c r="J860" s="45"/>
      <c r="K860" s="45"/>
      <c r="L860" s="44"/>
      <c r="M860" s="45"/>
      <c r="N860" s="45"/>
      <c r="O860" s="45"/>
      <c r="P860" s="45"/>
      <c r="Q860" s="45"/>
      <c r="R860" s="45"/>
      <c r="S860" s="45"/>
      <c r="T860" s="45"/>
      <c r="U860" s="45"/>
      <c r="V860" s="45"/>
      <c r="W860" s="173"/>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row>
    <row r="861" spans="1:46" x14ac:dyDescent="0.3">
      <c r="A861" s="173"/>
      <c r="B861" s="44"/>
      <c r="C861" s="45"/>
      <c r="D861" s="45"/>
      <c r="E861" s="45"/>
      <c r="F861" s="45"/>
      <c r="G861" s="45"/>
      <c r="H861" s="44"/>
      <c r="I861" s="44"/>
      <c r="J861" s="45"/>
      <c r="K861" s="45"/>
      <c r="L861" s="44"/>
      <c r="M861" s="45"/>
      <c r="N861" s="45"/>
      <c r="O861" s="45"/>
      <c r="P861" s="45"/>
      <c r="Q861" s="45"/>
      <c r="R861" s="45"/>
      <c r="S861" s="45"/>
      <c r="T861" s="45"/>
      <c r="U861" s="45"/>
      <c r="V861" s="45"/>
      <c r="W861" s="173"/>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row>
    <row r="862" spans="1:46" x14ac:dyDescent="0.3">
      <c r="A862" s="173"/>
      <c r="B862" s="44"/>
      <c r="C862" s="45"/>
      <c r="D862" s="45"/>
      <c r="E862" s="45"/>
      <c r="F862" s="45"/>
      <c r="G862" s="45"/>
      <c r="H862" s="44"/>
      <c r="I862" s="44"/>
      <c r="J862" s="45"/>
      <c r="K862" s="45"/>
      <c r="L862" s="44"/>
      <c r="M862" s="45"/>
      <c r="N862" s="45"/>
      <c r="O862" s="45"/>
      <c r="P862" s="45"/>
      <c r="Q862" s="45"/>
      <c r="R862" s="45"/>
      <c r="S862" s="45"/>
      <c r="T862" s="45"/>
      <c r="U862" s="45"/>
      <c r="V862" s="45"/>
      <c r="W862" s="173"/>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row>
    <row r="863" spans="1:46" x14ac:dyDescent="0.3">
      <c r="A863" s="173"/>
      <c r="B863" s="44"/>
      <c r="C863" s="45"/>
      <c r="D863" s="45"/>
      <c r="E863" s="45"/>
      <c r="F863" s="45"/>
      <c r="G863" s="45"/>
      <c r="H863" s="44"/>
      <c r="I863" s="44"/>
      <c r="J863" s="45"/>
      <c r="K863" s="45"/>
      <c r="L863" s="44"/>
      <c r="M863" s="45"/>
      <c r="N863" s="45"/>
      <c r="O863" s="45"/>
      <c r="P863" s="45"/>
      <c r="Q863" s="45"/>
      <c r="R863" s="45"/>
      <c r="S863" s="45"/>
      <c r="T863" s="45"/>
      <c r="U863" s="45"/>
      <c r="V863" s="45"/>
      <c r="W863" s="173"/>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row>
    <row r="864" spans="1:46" x14ac:dyDescent="0.3">
      <c r="A864" s="173"/>
      <c r="B864" s="44"/>
      <c r="C864" s="45"/>
      <c r="D864" s="45"/>
      <c r="E864" s="45"/>
      <c r="F864" s="45"/>
      <c r="G864" s="45"/>
      <c r="H864" s="44"/>
      <c r="I864" s="44"/>
      <c r="J864" s="45"/>
      <c r="K864" s="45"/>
      <c r="L864" s="44"/>
      <c r="M864" s="45"/>
      <c r="N864" s="45"/>
      <c r="O864" s="45"/>
      <c r="P864" s="45"/>
      <c r="Q864" s="45"/>
      <c r="R864" s="45"/>
      <c r="S864" s="45"/>
      <c r="T864" s="45"/>
      <c r="U864" s="45"/>
      <c r="V864" s="45"/>
      <c r="W864" s="173"/>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row>
    <row r="865" spans="1:46" x14ac:dyDescent="0.3">
      <c r="A865" s="173"/>
      <c r="B865" s="44"/>
      <c r="C865" s="45"/>
      <c r="D865" s="45"/>
      <c r="E865" s="45"/>
      <c r="F865" s="45"/>
      <c r="G865" s="45"/>
      <c r="H865" s="44"/>
      <c r="I865" s="44"/>
      <c r="J865" s="45"/>
      <c r="K865" s="45"/>
      <c r="L865" s="44"/>
      <c r="M865" s="45"/>
      <c r="N865" s="45"/>
      <c r="O865" s="45"/>
      <c r="P865" s="45"/>
      <c r="Q865" s="45"/>
      <c r="R865" s="45"/>
      <c r="S865" s="45"/>
      <c r="T865" s="45"/>
      <c r="U865" s="45"/>
      <c r="V865" s="45"/>
      <c r="W865" s="173"/>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row>
    <row r="866" spans="1:46" x14ac:dyDescent="0.3">
      <c r="A866" s="173"/>
      <c r="B866" s="44"/>
      <c r="C866" s="45"/>
      <c r="D866" s="45"/>
      <c r="E866" s="45"/>
      <c r="F866" s="45"/>
      <c r="G866" s="45"/>
      <c r="H866" s="44"/>
      <c r="I866" s="44"/>
      <c r="J866" s="45"/>
      <c r="K866" s="45"/>
      <c r="L866" s="44"/>
      <c r="M866" s="45"/>
      <c r="N866" s="45"/>
      <c r="O866" s="45"/>
      <c r="P866" s="45"/>
      <c r="Q866" s="45"/>
      <c r="R866" s="45"/>
      <c r="S866" s="45"/>
      <c r="T866" s="45"/>
      <c r="U866" s="45"/>
      <c r="V866" s="45"/>
      <c r="W866" s="173"/>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row>
    <row r="867" spans="1:46" x14ac:dyDescent="0.3">
      <c r="A867" s="173"/>
      <c r="B867" s="44"/>
      <c r="C867" s="45"/>
      <c r="D867" s="45"/>
      <c r="E867" s="45"/>
      <c r="F867" s="45"/>
      <c r="G867" s="45"/>
      <c r="H867" s="44"/>
      <c r="I867" s="44"/>
      <c r="J867" s="45"/>
      <c r="K867" s="45"/>
      <c r="L867" s="44"/>
      <c r="M867" s="45"/>
      <c r="N867" s="45"/>
      <c r="O867" s="45"/>
      <c r="P867" s="45"/>
      <c r="Q867" s="45"/>
      <c r="R867" s="45"/>
      <c r="S867" s="45"/>
      <c r="T867" s="45"/>
      <c r="U867" s="45"/>
      <c r="V867" s="45"/>
      <c r="W867" s="173"/>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row>
    <row r="868" spans="1:46" x14ac:dyDescent="0.3">
      <c r="A868" s="173"/>
      <c r="B868" s="44"/>
      <c r="C868" s="45"/>
      <c r="D868" s="45"/>
      <c r="E868" s="45"/>
      <c r="F868" s="45"/>
      <c r="G868" s="45"/>
      <c r="H868" s="44"/>
      <c r="I868" s="44"/>
      <c r="J868" s="45"/>
      <c r="K868" s="45"/>
      <c r="L868" s="44"/>
      <c r="M868" s="45"/>
      <c r="N868" s="45"/>
      <c r="O868" s="45"/>
      <c r="P868" s="45"/>
      <c r="Q868" s="45"/>
      <c r="R868" s="45"/>
      <c r="S868" s="45"/>
      <c r="T868" s="45"/>
      <c r="U868" s="45"/>
      <c r="V868" s="45"/>
      <c r="W868" s="173"/>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row>
    <row r="869" spans="1:46" x14ac:dyDescent="0.3">
      <c r="A869" s="173"/>
      <c r="B869" s="44"/>
      <c r="C869" s="45"/>
      <c r="D869" s="45"/>
      <c r="E869" s="45"/>
      <c r="F869" s="45"/>
      <c r="G869" s="45"/>
      <c r="H869" s="44"/>
      <c r="I869" s="44"/>
      <c r="J869" s="45"/>
      <c r="K869" s="45"/>
      <c r="L869" s="44"/>
      <c r="M869" s="45"/>
      <c r="N869" s="45"/>
      <c r="O869" s="45"/>
      <c r="P869" s="45"/>
      <c r="Q869" s="45"/>
      <c r="R869" s="45"/>
      <c r="S869" s="45"/>
      <c r="T869" s="45"/>
      <c r="U869" s="45"/>
      <c r="V869" s="45"/>
      <c r="W869" s="173"/>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row>
    <row r="870" spans="1:46" x14ac:dyDescent="0.3">
      <c r="A870" s="173"/>
      <c r="B870" s="44"/>
      <c r="C870" s="45"/>
      <c r="D870" s="45"/>
      <c r="E870" s="45"/>
      <c r="F870" s="45"/>
      <c r="G870" s="45"/>
      <c r="H870" s="44"/>
      <c r="I870" s="44"/>
      <c r="J870" s="45"/>
      <c r="K870" s="45"/>
      <c r="L870" s="44"/>
      <c r="M870" s="45"/>
      <c r="N870" s="45"/>
      <c r="O870" s="45"/>
      <c r="P870" s="45"/>
      <c r="Q870" s="45"/>
      <c r="R870" s="45"/>
      <c r="S870" s="45"/>
      <c r="T870" s="45"/>
      <c r="U870" s="45"/>
      <c r="V870" s="45"/>
      <c r="W870" s="173"/>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row>
    <row r="871" spans="1:46" x14ac:dyDescent="0.3">
      <c r="A871" s="173"/>
      <c r="B871" s="44"/>
      <c r="C871" s="45"/>
      <c r="D871" s="45"/>
      <c r="E871" s="45"/>
      <c r="F871" s="45"/>
      <c r="G871" s="45"/>
      <c r="H871" s="44"/>
      <c r="I871" s="44"/>
      <c r="J871" s="45"/>
      <c r="K871" s="45"/>
      <c r="L871" s="44"/>
      <c r="M871" s="45"/>
      <c r="N871" s="45"/>
      <c r="O871" s="45"/>
      <c r="P871" s="45"/>
      <c r="Q871" s="45"/>
      <c r="R871" s="45"/>
      <c r="S871" s="45"/>
      <c r="T871" s="45"/>
      <c r="U871" s="45"/>
      <c r="V871" s="45"/>
      <c r="W871" s="173"/>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row>
    <row r="872" spans="1:46" x14ac:dyDescent="0.3">
      <c r="A872" s="173"/>
      <c r="B872" s="44"/>
      <c r="C872" s="45"/>
      <c r="D872" s="45"/>
      <c r="E872" s="45"/>
      <c r="F872" s="45"/>
      <c r="G872" s="45"/>
      <c r="H872" s="44"/>
      <c r="I872" s="44"/>
      <c r="J872" s="45"/>
      <c r="K872" s="45"/>
      <c r="L872" s="44"/>
      <c r="M872" s="45"/>
      <c r="N872" s="45"/>
      <c r="O872" s="45"/>
      <c r="P872" s="45"/>
      <c r="Q872" s="45"/>
      <c r="R872" s="45"/>
      <c r="S872" s="45"/>
      <c r="T872" s="45"/>
      <c r="U872" s="45"/>
      <c r="V872" s="45"/>
      <c r="W872" s="173"/>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row>
    <row r="873" spans="1:46" x14ac:dyDescent="0.3">
      <c r="A873" s="173"/>
      <c r="B873" s="44"/>
      <c r="C873" s="45"/>
      <c r="D873" s="45"/>
      <c r="E873" s="45"/>
      <c r="F873" s="45"/>
      <c r="G873" s="45"/>
      <c r="H873" s="44"/>
      <c r="I873" s="44"/>
      <c r="J873" s="45"/>
      <c r="K873" s="45"/>
      <c r="L873" s="44"/>
      <c r="M873" s="45"/>
      <c r="N873" s="45"/>
      <c r="O873" s="45"/>
      <c r="P873" s="45"/>
      <c r="Q873" s="45"/>
      <c r="R873" s="45"/>
      <c r="S873" s="45"/>
      <c r="T873" s="45"/>
      <c r="U873" s="45"/>
      <c r="V873" s="45"/>
      <c r="W873" s="173"/>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row>
    <row r="874" spans="1:46" x14ac:dyDescent="0.3">
      <c r="A874" s="173"/>
      <c r="B874" s="44"/>
      <c r="C874" s="45"/>
      <c r="D874" s="45"/>
      <c r="E874" s="45"/>
      <c r="F874" s="45"/>
      <c r="G874" s="45"/>
      <c r="H874" s="44"/>
      <c r="I874" s="44"/>
      <c r="J874" s="45"/>
      <c r="K874" s="45"/>
      <c r="L874" s="44"/>
      <c r="M874" s="45"/>
      <c r="N874" s="45"/>
      <c r="O874" s="45"/>
      <c r="P874" s="45"/>
      <c r="Q874" s="45"/>
      <c r="R874" s="45"/>
      <c r="S874" s="45"/>
      <c r="T874" s="45"/>
      <c r="U874" s="45"/>
      <c r="V874" s="45"/>
      <c r="W874" s="173"/>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row>
    <row r="875" spans="1:46" x14ac:dyDescent="0.3">
      <c r="A875" s="173"/>
      <c r="B875" s="44"/>
      <c r="C875" s="45"/>
      <c r="D875" s="45"/>
      <c r="E875" s="45"/>
      <c r="F875" s="45"/>
      <c r="G875" s="45"/>
      <c r="H875" s="44"/>
      <c r="I875" s="44"/>
      <c r="J875" s="45"/>
      <c r="K875" s="45"/>
      <c r="L875" s="44"/>
      <c r="M875" s="45"/>
      <c r="N875" s="45"/>
      <c r="O875" s="45"/>
      <c r="P875" s="45"/>
      <c r="Q875" s="45"/>
      <c r="R875" s="45"/>
      <c r="S875" s="45"/>
      <c r="T875" s="45"/>
      <c r="U875" s="45"/>
      <c r="V875" s="45"/>
      <c r="W875" s="173"/>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row>
    <row r="876" spans="1:46" x14ac:dyDescent="0.3">
      <c r="A876" s="173"/>
      <c r="B876" s="44"/>
      <c r="C876" s="45"/>
      <c r="D876" s="45"/>
      <c r="E876" s="45"/>
      <c r="F876" s="45"/>
      <c r="G876" s="45"/>
      <c r="H876" s="44"/>
      <c r="I876" s="44"/>
      <c r="J876" s="45"/>
      <c r="K876" s="45"/>
      <c r="L876" s="44"/>
      <c r="M876" s="45"/>
      <c r="N876" s="45"/>
      <c r="O876" s="45"/>
      <c r="P876" s="45"/>
      <c r="Q876" s="45"/>
      <c r="R876" s="45"/>
      <c r="S876" s="45"/>
      <c r="T876" s="45"/>
      <c r="U876" s="45"/>
      <c r="V876" s="45"/>
      <c r="W876" s="173"/>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row>
    <row r="877" spans="1:46" x14ac:dyDescent="0.3">
      <c r="A877" s="173"/>
      <c r="B877" s="44"/>
      <c r="C877" s="45"/>
      <c r="D877" s="45"/>
      <c r="E877" s="45"/>
      <c r="F877" s="45"/>
      <c r="G877" s="45"/>
      <c r="H877" s="44"/>
      <c r="I877" s="44"/>
      <c r="J877" s="45"/>
      <c r="K877" s="45"/>
      <c r="L877" s="44"/>
      <c r="M877" s="45"/>
      <c r="N877" s="45"/>
      <c r="O877" s="45"/>
      <c r="P877" s="45"/>
      <c r="Q877" s="45"/>
      <c r="R877" s="45"/>
      <c r="S877" s="45"/>
      <c r="T877" s="45"/>
      <c r="U877" s="45"/>
      <c r="V877" s="45"/>
      <c r="W877" s="173"/>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row>
    <row r="878" spans="1:46" x14ac:dyDescent="0.3">
      <c r="A878" s="173"/>
      <c r="B878" s="44"/>
      <c r="C878" s="45"/>
      <c r="D878" s="45"/>
      <c r="E878" s="45"/>
      <c r="F878" s="45"/>
      <c r="G878" s="45"/>
      <c r="H878" s="44"/>
      <c r="I878" s="44"/>
      <c r="J878" s="45"/>
      <c r="K878" s="45"/>
      <c r="L878" s="44"/>
      <c r="M878" s="45"/>
      <c r="N878" s="45"/>
      <c r="O878" s="45"/>
      <c r="P878" s="45"/>
      <c r="Q878" s="45"/>
      <c r="R878" s="45"/>
      <c r="S878" s="45"/>
      <c r="T878" s="45"/>
      <c r="U878" s="45"/>
      <c r="V878" s="45"/>
      <c r="W878" s="173"/>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row>
    <row r="879" spans="1:46" x14ac:dyDescent="0.3">
      <c r="A879" s="173"/>
      <c r="B879" s="44"/>
      <c r="C879" s="45"/>
      <c r="D879" s="45"/>
      <c r="E879" s="45"/>
      <c r="F879" s="45"/>
      <c r="G879" s="45"/>
      <c r="H879" s="44"/>
      <c r="I879" s="44"/>
      <c r="J879" s="45"/>
      <c r="K879" s="45"/>
      <c r="L879" s="44"/>
      <c r="M879" s="45"/>
      <c r="N879" s="45"/>
      <c r="O879" s="45"/>
      <c r="P879" s="45"/>
      <c r="Q879" s="45"/>
      <c r="R879" s="45"/>
      <c r="S879" s="45"/>
      <c r="T879" s="45"/>
      <c r="U879" s="45"/>
      <c r="V879" s="45"/>
      <c r="W879" s="173"/>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row>
    <row r="880" spans="1:46" x14ac:dyDescent="0.3">
      <c r="A880" s="173"/>
      <c r="B880" s="44"/>
      <c r="C880" s="45"/>
      <c r="D880" s="45"/>
      <c r="E880" s="45"/>
      <c r="F880" s="45"/>
      <c r="G880" s="45"/>
      <c r="H880" s="44"/>
      <c r="I880" s="44"/>
      <c r="J880" s="45"/>
      <c r="K880" s="45"/>
      <c r="L880" s="44"/>
      <c r="M880" s="45"/>
      <c r="N880" s="45"/>
      <c r="O880" s="45"/>
      <c r="P880" s="45"/>
      <c r="Q880" s="45"/>
      <c r="R880" s="45"/>
      <c r="S880" s="45"/>
      <c r="T880" s="45"/>
      <c r="U880" s="45"/>
      <c r="V880" s="45"/>
      <c r="W880" s="173"/>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row>
    <row r="881" spans="1:46" x14ac:dyDescent="0.3">
      <c r="A881" s="173"/>
      <c r="B881" s="44"/>
      <c r="C881" s="45"/>
      <c r="D881" s="45"/>
      <c r="E881" s="45"/>
      <c r="F881" s="45"/>
      <c r="G881" s="45"/>
      <c r="H881" s="44"/>
      <c r="I881" s="44"/>
      <c r="J881" s="45"/>
      <c r="K881" s="45"/>
      <c r="L881" s="44"/>
      <c r="M881" s="45"/>
      <c r="N881" s="45"/>
      <c r="O881" s="45"/>
      <c r="P881" s="45"/>
      <c r="Q881" s="45"/>
      <c r="R881" s="45"/>
      <c r="S881" s="45"/>
      <c r="T881" s="45"/>
      <c r="U881" s="45"/>
      <c r="V881" s="45"/>
      <c r="W881" s="173"/>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row>
    <row r="882" spans="1:46" x14ac:dyDescent="0.3">
      <c r="A882" s="173"/>
      <c r="B882" s="44"/>
      <c r="C882" s="45"/>
      <c r="D882" s="45"/>
      <c r="E882" s="45"/>
      <c r="F882" s="45"/>
      <c r="G882" s="45"/>
      <c r="H882" s="44"/>
      <c r="I882" s="44"/>
      <c r="J882" s="45"/>
      <c r="K882" s="45"/>
      <c r="L882" s="44"/>
      <c r="M882" s="45"/>
      <c r="N882" s="45"/>
      <c r="O882" s="45"/>
      <c r="P882" s="45"/>
      <c r="Q882" s="45"/>
      <c r="R882" s="45"/>
      <c r="S882" s="45"/>
      <c r="T882" s="45"/>
      <c r="U882" s="45"/>
      <c r="V882" s="45"/>
      <c r="W882" s="173"/>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row>
    <row r="883" spans="1:46" x14ac:dyDescent="0.3">
      <c r="A883" s="173"/>
      <c r="B883" s="44"/>
      <c r="C883" s="45"/>
      <c r="D883" s="45"/>
      <c r="E883" s="45"/>
      <c r="F883" s="45"/>
      <c r="G883" s="45"/>
      <c r="H883" s="44"/>
      <c r="I883" s="44"/>
      <c r="J883" s="45"/>
      <c r="K883" s="45"/>
      <c r="L883" s="44"/>
      <c r="M883" s="45"/>
      <c r="N883" s="45"/>
      <c r="O883" s="45"/>
      <c r="P883" s="45"/>
      <c r="Q883" s="45"/>
      <c r="R883" s="45"/>
      <c r="S883" s="45"/>
      <c r="T883" s="45"/>
      <c r="U883" s="45"/>
      <c r="V883" s="45"/>
      <c r="W883" s="173"/>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row>
    <row r="884" spans="1:46" x14ac:dyDescent="0.3">
      <c r="A884" s="173"/>
      <c r="B884" s="44"/>
      <c r="C884" s="45"/>
      <c r="D884" s="45"/>
      <c r="E884" s="45"/>
      <c r="F884" s="45"/>
      <c r="G884" s="45"/>
      <c r="H884" s="44"/>
      <c r="I884" s="44"/>
      <c r="J884" s="45"/>
      <c r="K884" s="45"/>
      <c r="L884" s="44"/>
      <c r="M884" s="45"/>
      <c r="N884" s="45"/>
      <c r="O884" s="45"/>
      <c r="P884" s="45"/>
      <c r="Q884" s="45"/>
      <c r="R884" s="45"/>
      <c r="S884" s="45"/>
      <c r="T884" s="45"/>
      <c r="U884" s="45"/>
      <c r="V884" s="45"/>
      <c r="W884" s="173"/>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row>
    <row r="885" spans="1:46" x14ac:dyDescent="0.3">
      <c r="A885" s="173"/>
      <c r="B885" s="44"/>
      <c r="C885" s="45"/>
      <c r="D885" s="45"/>
      <c r="E885" s="45"/>
      <c r="F885" s="45"/>
      <c r="G885" s="45"/>
      <c r="H885" s="44"/>
      <c r="I885" s="44"/>
      <c r="J885" s="45"/>
      <c r="K885" s="45"/>
      <c r="L885" s="44"/>
      <c r="M885" s="45"/>
      <c r="N885" s="45"/>
      <c r="O885" s="45"/>
      <c r="P885" s="45"/>
      <c r="Q885" s="45"/>
      <c r="R885" s="45"/>
      <c r="S885" s="45"/>
      <c r="T885" s="45"/>
      <c r="U885" s="45"/>
      <c r="V885" s="45"/>
      <c r="W885" s="173"/>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row>
    <row r="886" spans="1:46" x14ac:dyDescent="0.3">
      <c r="A886" s="173"/>
      <c r="B886" s="44"/>
      <c r="C886" s="45"/>
      <c r="D886" s="45"/>
      <c r="E886" s="45"/>
      <c r="F886" s="45"/>
      <c r="G886" s="45"/>
      <c r="H886" s="44"/>
      <c r="I886" s="44"/>
      <c r="J886" s="45"/>
      <c r="K886" s="45"/>
      <c r="L886" s="44"/>
      <c r="M886" s="45"/>
      <c r="N886" s="45"/>
      <c r="O886" s="45"/>
      <c r="P886" s="45"/>
      <c r="Q886" s="45"/>
      <c r="R886" s="45"/>
      <c r="S886" s="45"/>
      <c r="T886" s="45"/>
      <c r="U886" s="45"/>
      <c r="V886" s="45"/>
      <c r="W886" s="173"/>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row>
    <row r="887" spans="1:46" x14ac:dyDescent="0.3">
      <c r="A887" s="173"/>
      <c r="B887" s="44"/>
      <c r="C887" s="45"/>
      <c r="D887" s="45"/>
      <c r="E887" s="45"/>
      <c r="F887" s="45"/>
      <c r="G887" s="45"/>
      <c r="H887" s="44"/>
      <c r="I887" s="44"/>
      <c r="J887" s="45"/>
      <c r="K887" s="45"/>
      <c r="L887" s="44"/>
      <c r="M887" s="45"/>
      <c r="N887" s="45"/>
      <c r="O887" s="45"/>
      <c r="P887" s="45"/>
      <c r="Q887" s="45"/>
      <c r="R887" s="45"/>
      <c r="S887" s="45"/>
      <c r="T887" s="45"/>
      <c r="U887" s="45"/>
      <c r="V887" s="45"/>
      <c r="W887" s="173"/>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row>
    <row r="888" spans="1:46" x14ac:dyDescent="0.3">
      <c r="A888" s="173"/>
      <c r="B888" s="44"/>
      <c r="C888" s="45"/>
      <c r="D888" s="45"/>
      <c r="E888" s="45"/>
      <c r="F888" s="45"/>
      <c r="G888" s="45"/>
      <c r="H888" s="44"/>
      <c r="I888" s="44"/>
      <c r="J888" s="45"/>
      <c r="K888" s="45"/>
      <c r="L888" s="44"/>
      <c r="M888" s="45"/>
      <c r="N888" s="45"/>
      <c r="O888" s="45"/>
      <c r="P888" s="45"/>
      <c r="Q888" s="45"/>
      <c r="R888" s="45"/>
      <c r="S888" s="45"/>
      <c r="T888" s="45"/>
      <c r="U888" s="45"/>
      <c r="V888" s="45"/>
      <c r="W888" s="173"/>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row>
    <row r="889" spans="1:46" x14ac:dyDescent="0.3">
      <c r="A889" s="173"/>
      <c r="B889" s="44"/>
      <c r="C889" s="45"/>
      <c r="D889" s="45"/>
      <c r="E889" s="45"/>
      <c r="F889" s="45"/>
      <c r="G889" s="45"/>
      <c r="H889" s="44"/>
      <c r="I889" s="44"/>
      <c r="J889" s="45"/>
      <c r="K889" s="45"/>
      <c r="L889" s="44"/>
      <c r="M889" s="45"/>
      <c r="N889" s="45"/>
      <c r="O889" s="45"/>
      <c r="P889" s="45"/>
      <c r="Q889" s="45"/>
      <c r="R889" s="45"/>
      <c r="S889" s="45"/>
      <c r="T889" s="45"/>
      <c r="U889" s="45"/>
      <c r="V889" s="45"/>
      <c r="W889" s="173"/>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row>
    <row r="890" spans="1:46" x14ac:dyDescent="0.3">
      <c r="A890" s="173"/>
      <c r="B890" s="44"/>
      <c r="C890" s="45"/>
      <c r="D890" s="45"/>
      <c r="E890" s="45"/>
      <c r="F890" s="45"/>
      <c r="G890" s="45"/>
      <c r="H890" s="44"/>
      <c r="I890" s="44"/>
      <c r="J890" s="45"/>
      <c r="K890" s="45"/>
      <c r="L890" s="44"/>
      <c r="M890" s="45"/>
      <c r="N890" s="45"/>
      <c r="O890" s="45"/>
      <c r="P890" s="45"/>
      <c r="Q890" s="45"/>
      <c r="R890" s="45"/>
      <c r="S890" s="45"/>
      <c r="T890" s="45"/>
      <c r="U890" s="45"/>
      <c r="V890" s="45"/>
      <c r="W890" s="173"/>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row>
    <row r="891" spans="1:46" x14ac:dyDescent="0.3">
      <c r="A891" s="173"/>
      <c r="B891" s="44"/>
      <c r="C891" s="45"/>
      <c r="D891" s="45"/>
      <c r="E891" s="45"/>
      <c r="F891" s="45"/>
      <c r="G891" s="45"/>
      <c r="H891" s="44"/>
      <c r="I891" s="44"/>
      <c r="J891" s="45"/>
      <c r="K891" s="45"/>
      <c r="L891" s="44"/>
      <c r="M891" s="45"/>
      <c r="N891" s="45"/>
      <c r="O891" s="45"/>
      <c r="P891" s="45"/>
      <c r="Q891" s="45"/>
      <c r="R891" s="45"/>
      <c r="S891" s="45"/>
      <c r="T891" s="45"/>
      <c r="U891" s="45"/>
      <c r="V891" s="45"/>
      <c r="W891" s="173"/>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row>
    <row r="892" spans="1:46" x14ac:dyDescent="0.3">
      <c r="A892" s="173"/>
      <c r="B892" s="44"/>
      <c r="C892" s="45"/>
      <c r="D892" s="45"/>
      <c r="E892" s="45"/>
      <c r="F892" s="45"/>
      <c r="G892" s="45"/>
      <c r="H892" s="44"/>
      <c r="I892" s="44"/>
      <c r="J892" s="45"/>
      <c r="K892" s="45"/>
      <c r="L892" s="44"/>
      <c r="M892" s="45"/>
      <c r="N892" s="45"/>
      <c r="O892" s="45"/>
      <c r="P892" s="45"/>
      <c r="Q892" s="45"/>
      <c r="R892" s="45"/>
      <c r="S892" s="45"/>
      <c r="T892" s="45"/>
      <c r="U892" s="45"/>
      <c r="V892" s="45"/>
      <c r="W892" s="173"/>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row>
    <row r="893" spans="1:46" x14ac:dyDescent="0.3">
      <c r="A893" s="173"/>
      <c r="B893" s="44"/>
      <c r="C893" s="45"/>
      <c r="D893" s="45"/>
      <c r="E893" s="45"/>
      <c r="F893" s="45"/>
      <c r="G893" s="45"/>
      <c r="H893" s="44"/>
      <c r="I893" s="44"/>
      <c r="J893" s="45"/>
      <c r="K893" s="45"/>
      <c r="L893" s="44"/>
      <c r="M893" s="45"/>
      <c r="N893" s="45"/>
      <c r="O893" s="45"/>
      <c r="P893" s="45"/>
      <c r="Q893" s="45"/>
      <c r="R893" s="45"/>
      <c r="S893" s="45"/>
      <c r="T893" s="45"/>
      <c r="U893" s="45"/>
      <c r="V893" s="45"/>
      <c r="W893" s="173"/>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row>
    <row r="894" spans="1:46" x14ac:dyDescent="0.3">
      <c r="A894" s="173"/>
      <c r="B894" s="44"/>
      <c r="C894" s="45"/>
      <c r="D894" s="45"/>
      <c r="E894" s="45"/>
      <c r="F894" s="45"/>
      <c r="G894" s="45"/>
      <c r="H894" s="44"/>
      <c r="I894" s="44"/>
      <c r="J894" s="45"/>
      <c r="K894" s="45"/>
      <c r="L894" s="44"/>
      <c r="M894" s="45"/>
      <c r="N894" s="45"/>
      <c r="O894" s="45"/>
      <c r="P894" s="45"/>
      <c r="Q894" s="45"/>
      <c r="R894" s="45"/>
      <c r="S894" s="45"/>
      <c r="T894" s="45"/>
      <c r="U894" s="45"/>
      <c r="V894" s="45"/>
      <c r="W894" s="173"/>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row>
    <row r="895" spans="1:46" x14ac:dyDescent="0.3">
      <c r="A895" s="173"/>
      <c r="B895" s="44"/>
      <c r="C895" s="45"/>
      <c r="D895" s="45"/>
      <c r="E895" s="45"/>
      <c r="F895" s="45"/>
      <c r="G895" s="45"/>
      <c r="H895" s="44"/>
      <c r="I895" s="44"/>
      <c r="J895" s="45"/>
      <c r="K895" s="45"/>
      <c r="L895" s="44"/>
      <c r="M895" s="45"/>
      <c r="N895" s="45"/>
      <c r="O895" s="45"/>
      <c r="P895" s="45"/>
      <c r="Q895" s="45"/>
      <c r="R895" s="45"/>
      <c r="S895" s="45"/>
      <c r="T895" s="45"/>
      <c r="U895" s="45"/>
      <c r="V895" s="45"/>
      <c r="W895" s="173"/>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row>
    <row r="896" spans="1:46" x14ac:dyDescent="0.3">
      <c r="A896" s="173"/>
      <c r="B896" s="44"/>
      <c r="C896" s="45"/>
      <c r="D896" s="45"/>
      <c r="E896" s="45"/>
      <c r="F896" s="45"/>
      <c r="G896" s="45"/>
      <c r="H896" s="44"/>
      <c r="I896" s="44"/>
      <c r="J896" s="45"/>
      <c r="K896" s="45"/>
      <c r="L896" s="44"/>
      <c r="M896" s="45"/>
      <c r="N896" s="45"/>
      <c r="O896" s="45"/>
      <c r="P896" s="45"/>
      <c r="Q896" s="45"/>
      <c r="R896" s="45"/>
      <c r="S896" s="45"/>
      <c r="T896" s="45"/>
      <c r="U896" s="45"/>
      <c r="V896" s="45"/>
      <c r="W896" s="173"/>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row>
    <row r="897" spans="1:46" x14ac:dyDescent="0.3">
      <c r="A897" s="173"/>
      <c r="B897" s="44"/>
      <c r="C897" s="45"/>
      <c r="D897" s="45"/>
      <c r="E897" s="45"/>
      <c r="F897" s="45"/>
      <c r="G897" s="45"/>
      <c r="H897" s="44"/>
      <c r="I897" s="44"/>
      <c r="J897" s="45"/>
      <c r="K897" s="45"/>
      <c r="L897" s="44"/>
      <c r="M897" s="45"/>
      <c r="N897" s="45"/>
      <c r="O897" s="45"/>
      <c r="P897" s="45"/>
      <c r="Q897" s="45"/>
      <c r="R897" s="45"/>
      <c r="S897" s="45"/>
      <c r="T897" s="45"/>
      <c r="U897" s="45"/>
      <c r="V897" s="45"/>
      <c r="W897" s="173"/>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row>
    <row r="898" spans="1:46" x14ac:dyDescent="0.3">
      <c r="A898" s="173"/>
      <c r="B898" s="44"/>
      <c r="C898" s="45"/>
      <c r="D898" s="45"/>
      <c r="E898" s="45"/>
      <c r="F898" s="45"/>
      <c r="G898" s="45"/>
      <c r="H898" s="44"/>
      <c r="I898" s="44"/>
      <c r="J898" s="45"/>
      <c r="K898" s="45"/>
      <c r="L898" s="44"/>
      <c r="M898" s="45"/>
      <c r="N898" s="45"/>
      <c r="O898" s="45"/>
      <c r="P898" s="45"/>
      <c r="Q898" s="45"/>
      <c r="R898" s="45"/>
      <c r="S898" s="45"/>
      <c r="T898" s="45"/>
      <c r="U898" s="45"/>
      <c r="V898" s="45"/>
      <c r="W898" s="173"/>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row>
    <row r="899" spans="1:46" x14ac:dyDescent="0.3">
      <c r="A899" s="173"/>
      <c r="B899" s="44"/>
      <c r="C899" s="45"/>
      <c r="D899" s="45"/>
      <c r="E899" s="45"/>
      <c r="F899" s="45"/>
      <c r="G899" s="45"/>
      <c r="H899" s="44"/>
      <c r="I899" s="44"/>
      <c r="J899" s="45"/>
      <c r="K899" s="45"/>
      <c r="L899" s="44"/>
      <c r="M899" s="45"/>
      <c r="N899" s="45"/>
      <c r="O899" s="45"/>
      <c r="P899" s="45"/>
      <c r="Q899" s="45"/>
      <c r="R899" s="45"/>
      <c r="S899" s="45"/>
      <c r="T899" s="45"/>
      <c r="U899" s="45"/>
      <c r="V899" s="45"/>
      <c r="W899" s="173"/>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row>
    <row r="900" spans="1:46" x14ac:dyDescent="0.3">
      <c r="A900" s="173"/>
      <c r="B900" s="44"/>
      <c r="C900" s="45"/>
      <c r="D900" s="45"/>
      <c r="E900" s="45"/>
      <c r="F900" s="45"/>
      <c r="G900" s="45"/>
      <c r="H900" s="44"/>
      <c r="I900" s="44"/>
      <c r="J900" s="45"/>
      <c r="K900" s="45"/>
      <c r="L900" s="44"/>
      <c r="M900" s="45"/>
      <c r="N900" s="45"/>
      <c r="O900" s="45"/>
      <c r="P900" s="45"/>
      <c r="Q900" s="45"/>
      <c r="R900" s="45"/>
      <c r="S900" s="45"/>
      <c r="T900" s="45"/>
      <c r="U900" s="45"/>
      <c r="V900" s="45"/>
      <c r="W900" s="173"/>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row>
    <row r="901" spans="1:46" x14ac:dyDescent="0.3">
      <c r="A901" s="173"/>
      <c r="B901" s="44"/>
      <c r="C901" s="45"/>
      <c r="D901" s="45"/>
      <c r="E901" s="45"/>
      <c r="F901" s="45"/>
      <c r="G901" s="45"/>
      <c r="H901" s="44"/>
      <c r="I901" s="44"/>
      <c r="J901" s="45"/>
      <c r="K901" s="45"/>
      <c r="L901" s="44"/>
      <c r="M901" s="45"/>
      <c r="N901" s="45"/>
      <c r="O901" s="45"/>
      <c r="P901" s="45"/>
      <c r="Q901" s="45"/>
      <c r="R901" s="45"/>
      <c r="S901" s="45"/>
      <c r="T901" s="45"/>
      <c r="U901" s="45"/>
      <c r="V901" s="45"/>
      <c r="W901" s="173"/>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row>
    <row r="902" spans="1:46" x14ac:dyDescent="0.3">
      <c r="A902" s="173"/>
      <c r="B902" s="44"/>
      <c r="C902" s="45"/>
      <c r="D902" s="45"/>
      <c r="E902" s="45"/>
      <c r="F902" s="45"/>
      <c r="G902" s="45"/>
      <c r="H902" s="44"/>
      <c r="I902" s="44"/>
      <c r="J902" s="45"/>
      <c r="K902" s="45"/>
      <c r="L902" s="44"/>
      <c r="M902" s="45"/>
      <c r="N902" s="45"/>
      <c r="O902" s="45"/>
      <c r="P902" s="45"/>
      <c r="Q902" s="45"/>
      <c r="R902" s="45"/>
      <c r="S902" s="45"/>
      <c r="T902" s="45"/>
      <c r="U902" s="45"/>
      <c r="V902" s="45"/>
      <c r="W902" s="173"/>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row>
    <row r="903" spans="1:46" x14ac:dyDescent="0.3">
      <c r="A903" s="173"/>
      <c r="B903" s="44"/>
      <c r="C903" s="45"/>
      <c r="D903" s="45"/>
      <c r="E903" s="45"/>
      <c r="F903" s="45"/>
      <c r="G903" s="45"/>
      <c r="H903" s="44"/>
      <c r="I903" s="44"/>
      <c r="J903" s="45"/>
      <c r="K903" s="45"/>
      <c r="L903" s="44"/>
      <c r="M903" s="45"/>
      <c r="N903" s="45"/>
      <c r="O903" s="45"/>
      <c r="P903" s="45"/>
      <c r="Q903" s="45"/>
      <c r="R903" s="45"/>
      <c r="S903" s="45"/>
      <c r="T903" s="45"/>
      <c r="U903" s="45"/>
      <c r="V903" s="45"/>
      <c r="W903" s="173"/>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row>
    <row r="904" spans="1:46" x14ac:dyDescent="0.3">
      <c r="A904" s="173"/>
      <c r="B904" s="44"/>
      <c r="C904" s="45"/>
      <c r="D904" s="45"/>
      <c r="E904" s="45"/>
      <c r="F904" s="45"/>
      <c r="G904" s="45"/>
      <c r="H904" s="44"/>
      <c r="I904" s="44"/>
      <c r="J904" s="45"/>
      <c r="K904" s="45"/>
      <c r="L904" s="44"/>
      <c r="M904" s="45"/>
      <c r="N904" s="45"/>
      <c r="O904" s="45"/>
      <c r="P904" s="45"/>
      <c r="Q904" s="45"/>
      <c r="R904" s="45"/>
      <c r="S904" s="45"/>
      <c r="T904" s="45"/>
      <c r="U904" s="45"/>
      <c r="V904" s="45"/>
      <c r="W904" s="173"/>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row>
    <row r="905" spans="1:46" x14ac:dyDescent="0.3">
      <c r="A905" s="173"/>
      <c r="B905" s="44"/>
      <c r="C905" s="45"/>
      <c r="D905" s="45"/>
      <c r="E905" s="45"/>
      <c r="F905" s="45"/>
      <c r="G905" s="45"/>
      <c r="H905" s="44"/>
      <c r="I905" s="44"/>
      <c r="J905" s="45"/>
      <c r="K905" s="45"/>
      <c r="L905" s="44"/>
      <c r="M905" s="45"/>
      <c r="N905" s="45"/>
      <c r="O905" s="45"/>
      <c r="P905" s="45"/>
      <c r="Q905" s="45"/>
      <c r="R905" s="45"/>
      <c r="S905" s="45"/>
      <c r="T905" s="45"/>
      <c r="U905" s="45"/>
      <c r="V905" s="45"/>
      <c r="W905" s="173"/>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row>
    <row r="906" spans="1:46" x14ac:dyDescent="0.3">
      <c r="A906" s="173"/>
      <c r="B906" s="44"/>
      <c r="C906" s="45"/>
      <c r="D906" s="45"/>
      <c r="E906" s="45"/>
      <c r="F906" s="45"/>
      <c r="G906" s="45"/>
      <c r="H906" s="44"/>
      <c r="I906" s="44"/>
      <c r="J906" s="45"/>
      <c r="K906" s="45"/>
      <c r="L906" s="44"/>
      <c r="M906" s="45"/>
      <c r="N906" s="45"/>
      <c r="O906" s="45"/>
      <c r="P906" s="45"/>
      <c r="Q906" s="45"/>
      <c r="R906" s="45"/>
      <c r="S906" s="45"/>
      <c r="T906" s="45"/>
      <c r="U906" s="45"/>
      <c r="V906" s="45"/>
      <c r="W906" s="173"/>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row>
    <row r="907" spans="1:46" x14ac:dyDescent="0.3">
      <c r="A907" s="173"/>
      <c r="B907" s="44"/>
      <c r="C907" s="45"/>
      <c r="D907" s="45"/>
      <c r="E907" s="45"/>
      <c r="F907" s="45"/>
      <c r="G907" s="45"/>
      <c r="H907" s="44"/>
      <c r="I907" s="44"/>
      <c r="J907" s="45"/>
      <c r="K907" s="45"/>
      <c r="L907" s="44"/>
      <c r="M907" s="45"/>
      <c r="N907" s="45"/>
      <c r="O907" s="45"/>
      <c r="P907" s="45"/>
      <c r="Q907" s="45"/>
      <c r="R907" s="45"/>
      <c r="S907" s="45"/>
      <c r="T907" s="45"/>
      <c r="U907" s="45"/>
      <c r="V907" s="45"/>
      <c r="W907" s="173"/>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row>
    <row r="908" spans="1:46" x14ac:dyDescent="0.3">
      <c r="A908" s="173"/>
      <c r="B908" s="44"/>
      <c r="C908" s="45"/>
      <c r="D908" s="45"/>
      <c r="E908" s="45"/>
      <c r="F908" s="45"/>
      <c r="G908" s="45"/>
      <c r="H908" s="44"/>
      <c r="I908" s="44"/>
      <c r="J908" s="45"/>
      <c r="K908" s="45"/>
      <c r="L908" s="44"/>
      <c r="M908" s="45"/>
      <c r="N908" s="45"/>
      <c r="O908" s="45"/>
      <c r="P908" s="45"/>
      <c r="Q908" s="45"/>
      <c r="R908" s="45"/>
      <c r="S908" s="45"/>
      <c r="T908" s="45"/>
      <c r="U908" s="45"/>
      <c r="V908" s="45"/>
      <c r="W908" s="173"/>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row>
    <row r="909" spans="1:46" x14ac:dyDescent="0.3">
      <c r="A909" s="173"/>
      <c r="B909" s="44"/>
      <c r="C909" s="45"/>
      <c r="D909" s="45"/>
      <c r="E909" s="45"/>
      <c r="F909" s="45"/>
      <c r="G909" s="45"/>
      <c r="H909" s="44"/>
      <c r="I909" s="44"/>
      <c r="J909" s="45"/>
      <c r="K909" s="45"/>
      <c r="L909" s="44"/>
      <c r="M909" s="45"/>
      <c r="N909" s="45"/>
      <c r="O909" s="45"/>
      <c r="P909" s="45"/>
      <c r="Q909" s="45"/>
      <c r="R909" s="45"/>
      <c r="S909" s="45"/>
      <c r="T909" s="45"/>
      <c r="U909" s="45"/>
      <c r="V909" s="45"/>
      <c r="W909" s="173"/>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row>
    <row r="910" spans="1:46" x14ac:dyDescent="0.3">
      <c r="A910" s="173"/>
      <c r="B910" s="44"/>
      <c r="C910" s="45"/>
      <c r="D910" s="45"/>
      <c r="E910" s="45"/>
      <c r="F910" s="45"/>
      <c r="G910" s="45"/>
      <c r="H910" s="44"/>
      <c r="I910" s="44"/>
      <c r="J910" s="45"/>
      <c r="K910" s="45"/>
      <c r="L910" s="44"/>
      <c r="M910" s="45"/>
      <c r="N910" s="45"/>
      <c r="O910" s="45"/>
      <c r="P910" s="45"/>
      <c r="Q910" s="45"/>
      <c r="R910" s="45"/>
      <c r="S910" s="45"/>
      <c r="T910" s="45"/>
      <c r="U910" s="45"/>
      <c r="V910" s="45"/>
      <c r="W910" s="173"/>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row>
    <row r="911" spans="1:46" x14ac:dyDescent="0.3">
      <c r="A911" s="173"/>
      <c r="B911" s="44"/>
      <c r="C911" s="45"/>
      <c r="D911" s="45"/>
      <c r="E911" s="45"/>
      <c r="F911" s="45"/>
      <c r="G911" s="45"/>
      <c r="H911" s="44"/>
      <c r="I911" s="44"/>
      <c r="J911" s="45"/>
      <c r="K911" s="45"/>
      <c r="L911" s="44"/>
      <c r="M911" s="45"/>
      <c r="N911" s="45"/>
      <c r="O911" s="45"/>
      <c r="P911" s="45"/>
      <c r="Q911" s="45"/>
      <c r="R911" s="45"/>
      <c r="S911" s="45"/>
      <c r="T911" s="45"/>
      <c r="U911" s="45"/>
      <c r="V911" s="45"/>
      <c r="W911" s="173"/>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row>
    <row r="912" spans="1:46" x14ac:dyDescent="0.3">
      <c r="A912" s="173"/>
      <c r="B912" s="44"/>
      <c r="C912" s="45"/>
      <c r="D912" s="45"/>
      <c r="E912" s="45"/>
      <c r="F912" s="45"/>
      <c r="G912" s="45"/>
      <c r="H912" s="44"/>
      <c r="I912" s="44"/>
      <c r="J912" s="45"/>
      <c r="K912" s="45"/>
      <c r="L912" s="44"/>
      <c r="M912" s="45"/>
      <c r="N912" s="45"/>
      <c r="O912" s="45"/>
      <c r="P912" s="45"/>
      <c r="Q912" s="45"/>
      <c r="R912" s="45"/>
      <c r="S912" s="45"/>
      <c r="T912" s="45"/>
      <c r="U912" s="45"/>
      <c r="V912" s="45"/>
      <c r="W912" s="173"/>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row>
    <row r="913" spans="1:46" x14ac:dyDescent="0.3">
      <c r="A913" s="173"/>
      <c r="B913" s="44"/>
      <c r="C913" s="45"/>
      <c r="D913" s="45"/>
      <c r="E913" s="45"/>
      <c r="F913" s="45"/>
      <c r="G913" s="45"/>
      <c r="H913" s="44"/>
      <c r="I913" s="44"/>
      <c r="J913" s="45"/>
      <c r="K913" s="45"/>
      <c r="L913" s="44"/>
      <c r="M913" s="45"/>
      <c r="N913" s="45"/>
      <c r="O913" s="45"/>
      <c r="P913" s="45"/>
      <c r="Q913" s="45"/>
      <c r="R913" s="45"/>
      <c r="S913" s="45"/>
      <c r="T913" s="45"/>
      <c r="U913" s="45"/>
      <c r="V913" s="45"/>
      <c r="W913" s="173"/>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row>
    <row r="914" spans="1:46" x14ac:dyDescent="0.3">
      <c r="A914" s="173"/>
      <c r="B914" s="44"/>
      <c r="C914" s="45"/>
      <c r="D914" s="45"/>
      <c r="E914" s="45"/>
      <c r="F914" s="45"/>
      <c r="G914" s="45"/>
      <c r="H914" s="44"/>
      <c r="I914" s="44"/>
      <c r="J914" s="45"/>
      <c r="K914" s="45"/>
      <c r="L914" s="44"/>
      <c r="M914" s="45"/>
      <c r="N914" s="45"/>
      <c r="O914" s="45"/>
      <c r="P914" s="45"/>
      <c r="Q914" s="45"/>
      <c r="R914" s="45"/>
      <c r="S914" s="45"/>
      <c r="T914" s="45"/>
      <c r="U914" s="45"/>
      <c r="V914" s="45"/>
      <c r="W914" s="173"/>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row>
    <row r="915" spans="1:46" x14ac:dyDescent="0.3">
      <c r="A915" s="173"/>
      <c r="B915" s="44"/>
      <c r="C915" s="45"/>
      <c r="D915" s="45"/>
      <c r="E915" s="45"/>
      <c r="F915" s="45"/>
      <c r="G915" s="45"/>
      <c r="H915" s="44"/>
      <c r="I915" s="44"/>
      <c r="J915" s="45"/>
      <c r="K915" s="45"/>
      <c r="L915" s="44"/>
      <c r="M915" s="45"/>
      <c r="N915" s="45"/>
      <c r="O915" s="45"/>
      <c r="P915" s="45"/>
      <c r="Q915" s="45"/>
      <c r="R915" s="45"/>
      <c r="S915" s="45"/>
      <c r="T915" s="45"/>
      <c r="U915" s="45"/>
      <c r="V915" s="45"/>
      <c r="W915" s="173"/>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row>
    <row r="916" spans="1:46" x14ac:dyDescent="0.3">
      <c r="A916" s="173"/>
      <c r="B916" s="44"/>
      <c r="C916" s="45"/>
      <c r="D916" s="45"/>
      <c r="E916" s="45"/>
      <c r="F916" s="45"/>
      <c r="G916" s="45"/>
      <c r="H916" s="44"/>
      <c r="I916" s="44"/>
      <c r="J916" s="45"/>
      <c r="K916" s="45"/>
      <c r="L916" s="44"/>
      <c r="M916" s="45"/>
      <c r="N916" s="45"/>
      <c r="O916" s="45"/>
      <c r="P916" s="45"/>
      <c r="Q916" s="45"/>
      <c r="R916" s="45"/>
      <c r="S916" s="45"/>
      <c r="T916" s="45"/>
      <c r="U916" s="45"/>
      <c r="V916" s="45"/>
      <c r="W916" s="173"/>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row>
    <row r="917" spans="1:46" x14ac:dyDescent="0.3">
      <c r="A917" s="173"/>
      <c r="B917" s="44"/>
      <c r="C917" s="45"/>
      <c r="D917" s="45"/>
      <c r="E917" s="45"/>
      <c r="F917" s="45"/>
      <c r="G917" s="45"/>
      <c r="H917" s="44"/>
      <c r="I917" s="44"/>
      <c r="J917" s="45"/>
      <c r="K917" s="45"/>
      <c r="L917" s="44"/>
      <c r="M917" s="45"/>
      <c r="N917" s="45"/>
      <c r="O917" s="45"/>
      <c r="P917" s="45"/>
      <c r="Q917" s="45"/>
      <c r="R917" s="45"/>
      <c r="S917" s="45"/>
      <c r="T917" s="45"/>
      <c r="U917" s="45"/>
      <c r="V917" s="45"/>
      <c r="W917" s="173"/>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row>
    <row r="918" spans="1:46" x14ac:dyDescent="0.3">
      <c r="A918" s="173"/>
      <c r="B918" s="44"/>
      <c r="C918" s="45"/>
      <c r="D918" s="45"/>
      <c r="E918" s="45"/>
      <c r="F918" s="45"/>
      <c r="G918" s="45"/>
      <c r="H918" s="44"/>
      <c r="I918" s="44"/>
      <c r="J918" s="45"/>
      <c r="K918" s="45"/>
      <c r="L918" s="44"/>
      <c r="M918" s="45"/>
      <c r="N918" s="45"/>
      <c r="O918" s="45"/>
      <c r="P918" s="45"/>
      <c r="Q918" s="45"/>
      <c r="R918" s="45"/>
      <c r="S918" s="45"/>
      <c r="T918" s="45"/>
      <c r="U918" s="45"/>
      <c r="V918" s="45"/>
      <c r="W918" s="173"/>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row>
    <row r="919" spans="1:46" x14ac:dyDescent="0.3">
      <c r="A919" s="173"/>
      <c r="B919" s="44"/>
      <c r="C919" s="45"/>
      <c r="D919" s="45"/>
      <c r="E919" s="45"/>
      <c r="F919" s="45"/>
      <c r="G919" s="45"/>
      <c r="H919" s="44"/>
      <c r="I919" s="44"/>
      <c r="J919" s="45"/>
      <c r="K919" s="45"/>
      <c r="L919" s="44"/>
      <c r="M919" s="45"/>
      <c r="N919" s="45"/>
      <c r="O919" s="45"/>
      <c r="P919" s="45"/>
      <c r="Q919" s="45"/>
      <c r="R919" s="45"/>
      <c r="S919" s="45"/>
      <c r="T919" s="45"/>
      <c r="U919" s="45"/>
      <c r="V919" s="45"/>
      <c r="W919" s="173"/>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row>
    <row r="920" spans="1:46" x14ac:dyDescent="0.3">
      <c r="A920" s="173"/>
      <c r="B920" s="44"/>
      <c r="C920" s="45"/>
      <c r="D920" s="45"/>
      <c r="E920" s="45"/>
      <c r="F920" s="45"/>
      <c r="G920" s="45"/>
      <c r="H920" s="44"/>
      <c r="I920" s="44"/>
      <c r="J920" s="45"/>
      <c r="K920" s="45"/>
      <c r="L920" s="44"/>
      <c r="M920" s="45"/>
      <c r="N920" s="45"/>
      <c r="O920" s="45"/>
      <c r="P920" s="45"/>
      <c r="Q920" s="45"/>
      <c r="R920" s="45"/>
      <c r="S920" s="45"/>
      <c r="T920" s="45"/>
      <c r="U920" s="45"/>
      <c r="V920" s="45"/>
      <c r="W920" s="173"/>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row>
    <row r="921" spans="1:46" x14ac:dyDescent="0.3">
      <c r="A921" s="173"/>
      <c r="B921" s="44"/>
      <c r="C921" s="45"/>
      <c r="D921" s="45"/>
      <c r="E921" s="45"/>
      <c r="F921" s="45"/>
      <c r="G921" s="45"/>
      <c r="H921" s="44"/>
      <c r="I921" s="44"/>
      <c r="J921" s="45"/>
      <c r="K921" s="45"/>
      <c r="L921" s="44"/>
      <c r="M921" s="45"/>
      <c r="N921" s="45"/>
      <c r="O921" s="45"/>
      <c r="P921" s="45"/>
      <c r="Q921" s="45"/>
      <c r="R921" s="45"/>
      <c r="S921" s="45"/>
      <c r="T921" s="45"/>
      <c r="U921" s="45"/>
      <c r="V921" s="45"/>
      <c r="W921" s="173"/>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row>
    <row r="922" spans="1:46" x14ac:dyDescent="0.3">
      <c r="A922" s="173"/>
      <c r="B922" s="44"/>
      <c r="C922" s="45"/>
      <c r="D922" s="45"/>
      <c r="E922" s="45"/>
      <c r="F922" s="45"/>
      <c r="G922" s="45"/>
      <c r="H922" s="44"/>
      <c r="I922" s="44"/>
      <c r="J922" s="45"/>
      <c r="K922" s="45"/>
      <c r="L922" s="44"/>
      <c r="M922" s="45"/>
      <c r="N922" s="45"/>
      <c r="O922" s="45"/>
      <c r="P922" s="45"/>
      <c r="Q922" s="45"/>
      <c r="R922" s="45"/>
      <c r="S922" s="45"/>
      <c r="T922" s="45"/>
      <c r="U922" s="45"/>
      <c r="V922" s="45"/>
      <c r="W922" s="173"/>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row>
    <row r="923" spans="1:46" x14ac:dyDescent="0.3">
      <c r="A923" s="173"/>
      <c r="B923" s="44"/>
      <c r="C923" s="45"/>
      <c r="D923" s="45"/>
      <c r="E923" s="45"/>
      <c r="F923" s="45"/>
      <c r="G923" s="45"/>
      <c r="H923" s="44"/>
      <c r="I923" s="44"/>
      <c r="J923" s="45"/>
      <c r="K923" s="45"/>
      <c r="L923" s="44"/>
      <c r="M923" s="45"/>
      <c r="N923" s="45"/>
      <c r="O923" s="45"/>
      <c r="P923" s="45"/>
      <c r="Q923" s="45"/>
      <c r="R923" s="45"/>
      <c r="S923" s="45"/>
      <c r="T923" s="45"/>
      <c r="U923" s="45"/>
      <c r="V923" s="45"/>
      <c r="W923" s="173"/>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row>
    <row r="924" spans="1:46" x14ac:dyDescent="0.3">
      <c r="A924" s="173"/>
      <c r="B924" s="44"/>
      <c r="C924" s="45"/>
      <c r="D924" s="45"/>
      <c r="E924" s="45"/>
      <c r="F924" s="45"/>
      <c r="G924" s="45"/>
      <c r="H924" s="44"/>
      <c r="I924" s="44"/>
      <c r="J924" s="45"/>
      <c r="K924" s="45"/>
      <c r="L924" s="44"/>
      <c r="M924" s="45"/>
      <c r="N924" s="45"/>
      <c r="O924" s="45"/>
      <c r="P924" s="45"/>
      <c r="Q924" s="45"/>
      <c r="R924" s="45"/>
      <c r="S924" s="45"/>
      <c r="T924" s="45"/>
      <c r="U924" s="45"/>
      <c r="V924" s="45"/>
      <c r="W924" s="173"/>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row>
    <row r="925" spans="1:46" x14ac:dyDescent="0.3">
      <c r="A925" s="173"/>
      <c r="B925" s="44"/>
      <c r="C925" s="45"/>
      <c r="D925" s="45"/>
      <c r="E925" s="45"/>
      <c r="F925" s="45"/>
      <c r="G925" s="45"/>
      <c r="H925" s="44"/>
      <c r="I925" s="44"/>
      <c r="J925" s="45"/>
      <c r="K925" s="45"/>
      <c r="L925" s="44"/>
      <c r="M925" s="45"/>
      <c r="N925" s="45"/>
      <c r="O925" s="45"/>
      <c r="P925" s="45"/>
      <c r="Q925" s="45"/>
      <c r="R925" s="45"/>
      <c r="S925" s="45"/>
      <c r="T925" s="45"/>
      <c r="U925" s="45"/>
      <c r="V925" s="45"/>
      <c r="W925" s="173"/>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row>
    <row r="926" spans="1:46" x14ac:dyDescent="0.3">
      <c r="A926" s="173"/>
      <c r="B926" s="44"/>
      <c r="C926" s="45"/>
      <c r="D926" s="45"/>
      <c r="E926" s="45"/>
      <c r="F926" s="45"/>
      <c r="G926" s="45"/>
      <c r="H926" s="44"/>
      <c r="I926" s="44"/>
      <c r="J926" s="45"/>
      <c r="K926" s="45"/>
      <c r="L926" s="44"/>
      <c r="M926" s="45"/>
      <c r="N926" s="45"/>
      <c r="O926" s="45"/>
      <c r="P926" s="45"/>
      <c r="Q926" s="45"/>
      <c r="R926" s="45"/>
      <c r="S926" s="45"/>
      <c r="T926" s="45"/>
      <c r="U926" s="45"/>
      <c r="V926" s="45"/>
      <c r="W926" s="173"/>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row>
    <row r="927" spans="1:46" x14ac:dyDescent="0.3">
      <c r="A927" s="173"/>
      <c r="B927" s="44"/>
      <c r="C927" s="45"/>
      <c r="D927" s="45"/>
      <c r="E927" s="45"/>
      <c r="F927" s="45"/>
      <c r="G927" s="45"/>
      <c r="H927" s="44"/>
      <c r="I927" s="44"/>
      <c r="J927" s="45"/>
      <c r="K927" s="45"/>
      <c r="L927" s="44"/>
      <c r="M927" s="45"/>
      <c r="N927" s="45"/>
      <c r="O927" s="45"/>
      <c r="P927" s="45"/>
      <c r="Q927" s="45"/>
      <c r="R927" s="45"/>
      <c r="S927" s="45"/>
      <c r="T927" s="45"/>
      <c r="U927" s="45"/>
      <c r="V927" s="45"/>
      <c r="W927" s="173"/>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row>
    <row r="928" spans="1:46" x14ac:dyDescent="0.3">
      <c r="A928" s="173"/>
      <c r="B928" s="44"/>
      <c r="C928" s="45"/>
      <c r="D928" s="45"/>
      <c r="E928" s="45"/>
      <c r="F928" s="45"/>
      <c r="G928" s="45"/>
      <c r="H928" s="44"/>
      <c r="I928" s="44"/>
      <c r="J928" s="45"/>
      <c r="K928" s="45"/>
      <c r="L928" s="44"/>
      <c r="M928" s="45"/>
      <c r="N928" s="45"/>
      <c r="O928" s="45"/>
      <c r="P928" s="45"/>
      <c r="Q928" s="45"/>
      <c r="R928" s="45"/>
      <c r="S928" s="45"/>
      <c r="T928" s="45"/>
      <c r="U928" s="45"/>
      <c r="V928" s="45"/>
      <c r="W928" s="173"/>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row>
    <row r="929" spans="1:46" x14ac:dyDescent="0.3">
      <c r="A929" s="173"/>
      <c r="B929" s="44"/>
      <c r="C929" s="45"/>
      <c r="D929" s="45"/>
      <c r="E929" s="45"/>
      <c r="F929" s="45"/>
      <c r="G929" s="45"/>
      <c r="H929" s="44"/>
      <c r="I929" s="44"/>
      <c r="J929" s="45"/>
      <c r="K929" s="45"/>
      <c r="L929" s="44"/>
      <c r="M929" s="45"/>
      <c r="N929" s="45"/>
      <c r="O929" s="45"/>
      <c r="P929" s="45"/>
      <c r="Q929" s="45"/>
      <c r="R929" s="45"/>
      <c r="S929" s="45"/>
      <c r="T929" s="45"/>
      <c r="U929" s="45"/>
      <c r="V929" s="45"/>
      <c r="W929" s="173"/>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row>
    <row r="930" spans="1:46" x14ac:dyDescent="0.3">
      <c r="A930" s="173"/>
      <c r="B930" s="44"/>
      <c r="C930" s="45"/>
      <c r="D930" s="45"/>
      <c r="E930" s="45"/>
      <c r="F930" s="45"/>
      <c r="G930" s="45"/>
      <c r="H930" s="44"/>
      <c r="I930" s="44"/>
      <c r="J930" s="45"/>
      <c r="K930" s="45"/>
      <c r="L930" s="44"/>
      <c r="M930" s="45"/>
      <c r="N930" s="45"/>
      <c r="O930" s="45"/>
      <c r="P930" s="45"/>
      <c r="Q930" s="45"/>
      <c r="R930" s="45"/>
      <c r="S930" s="45"/>
      <c r="T930" s="45"/>
      <c r="U930" s="45"/>
      <c r="V930" s="45"/>
      <c r="W930" s="173"/>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row>
    <row r="931" spans="1:46" x14ac:dyDescent="0.3">
      <c r="A931" s="173"/>
      <c r="B931" s="44"/>
      <c r="C931" s="45"/>
      <c r="D931" s="45"/>
      <c r="E931" s="45"/>
      <c r="F931" s="45"/>
      <c r="G931" s="45"/>
      <c r="H931" s="44"/>
      <c r="I931" s="44"/>
      <c r="J931" s="45"/>
      <c r="K931" s="45"/>
      <c r="L931" s="44"/>
      <c r="M931" s="45"/>
      <c r="N931" s="45"/>
      <c r="O931" s="45"/>
      <c r="P931" s="45"/>
      <c r="Q931" s="45"/>
      <c r="R931" s="45"/>
      <c r="S931" s="45"/>
      <c r="T931" s="45"/>
      <c r="U931" s="45"/>
      <c r="V931" s="45"/>
      <c r="W931" s="173"/>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row>
    <row r="932" spans="1:46" x14ac:dyDescent="0.3">
      <c r="A932" s="173"/>
      <c r="B932" s="44"/>
      <c r="C932" s="45"/>
      <c r="D932" s="45"/>
      <c r="E932" s="45"/>
      <c r="F932" s="45"/>
      <c r="G932" s="45"/>
      <c r="H932" s="44"/>
      <c r="I932" s="44"/>
      <c r="J932" s="45"/>
      <c r="K932" s="45"/>
      <c r="L932" s="44"/>
      <c r="M932" s="45"/>
      <c r="N932" s="45"/>
      <c r="O932" s="45"/>
      <c r="P932" s="45"/>
      <c r="Q932" s="45"/>
      <c r="R932" s="45"/>
      <c r="S932" s="45"/>
      <c r="T932" s="45"/>
      <c r="U932" s="45"/>
      <c r="V932" s="45"/>
      <c r="W932" s="173"/>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row>
    <row r="933" spans="1:46" x14ac:dyDescent="0.3">
      <c r="A933" s="173"/>
      <c r="B933" s="44"/>
      <c r="C933" s="45"/>
      <c r="D933" s="45"/>
      <c r="E933" s="45"/>
      <c r="F933" s="45"/>
      <c r="G933" s="45"/>
      <c r="H933" s="44"/>
      <c r="I933" s="44"/>
      <c r="J933" s="45"/>
      <c r="K933" s="45"/>
      <c r="L933" s="44"/>
      <c r="M933" s="45"/>
      <c r="N933" s="45"/>
      <c r="O933" s="45"/>
      <c r="P933" s="45"/>
      <c r="Q933" s="45"/>
      <c r="R933" s="45"/>
      <c r="S933" s="45"/>
      <c r="T933" s="45"/>
      <c r="U933" s="45"/>
      <c r="V933" s="45"/>
      <c r="W933" s="173"/>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row>
  </sheetData>
  <autoFilter ref="A3:AO159" xr:uid="{61DDD030-1615-495C-AF77-185EF63FEFDF}"/>
  <conditionalFormatting sqref="V84:V107 V109:V159">
    <cfRule type="cellIs" dxfId="11" priority="3" operator="greaterThanOrEqual">
      <formula>1</formula>
    </cfRule>
    <cfRule type="cellIs" dxfId="10" priority="4" operator="lessThan">
      <formula>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theme="1" tint="4.9989318521683403E-2"/>
  </sheetPr>
  <dimension ref="A1:I28"/>
  <sheetViews>
    <sheetView zoomScale="70" zoomScaleNormal="70" workbookViewId="0">
      <pane xSplit="2" ySplit="3" topLeftCell="G27" activePane="bottomRight" state="frozen"/>
      <selection pane="topRight" activeCell="B1" sqref="B1"/>
      <selection pane="bottomLeft" activeCell="A2" sqref="A2"/>
      <selection pane="bottomRight" activeCell="I28" sqref="I28"/>
    </sheetView>
  </sheetViews>
  <sheetFormatPr defaultRowHeight="14.4" customHeight="1" x14ac:dyDescent="0.3"/>
  <cols>
    <col min="1" max="1" width="9.88671875" customWidth="1"/>
    <col min="2" max="2" width="50" bestFit="1" customWidth="1"/>
    <col min="3" max="3" width="17.5546875" customWidth="1"/>
    <col min="4" max="4" width="19.109375" customWidth="1"/>
    <col min="5" max="5" width="44.44140625" customWidth="1"/>
    <col min="6" max="6" width="128.6640625" customWidth="1"/>
    <col min="7" max="7" width="13.5546875" customWidth="1"/>
    <col min="8" max="8" width="50.6640625" customWidth="1"/>
    <col min="9" max="9" width="190.88671875" customWidth="1"/>
  </cols>
  <sheetData>
    <row r="1" spans="1:9" x14ac:dyDescent="0.3">
      <c r="A1" s="34" t="s">
        <v>451</v>
      </c>
      <c r="B1" s="6"/>
      <c r="C1" s="6"/>
      <c r="D1" s="6"/>
    </row>
    <row r="2" spans="1:9" x14ac:dyDescent="0.3">
      <c r="A2" s="219" t="s">
        <v>478</v>
      </c>
      <c r="B2" s="219"/>
      <c r="C2" s="6"/>
      <c r="D2" s="6"/>
    </row>
    <row r="3" spans="1:9" ht="29.4" thickBot="1" x14ac:dyDescent="0.35">
      <c r="A3" s="16" t="s">
        <v>81</v>
      </c>
      <c r="B3" s="17" t="s">
        <v>82</v>
      </c>
      <c r="C3" s="18" t="s">
        <v>83</v>
      </c>
      <c r="D3" s="18" t="s">
        <v>84</v>
      </c>
      <c r="E3" s="18" t="s">
        <v>85</v>
      </c>
      <c r="F3" s="18" t="s">
        <v>39</v>
      </c>
      <c r="G3" s="19" t="s">
        <v>86</v>
      </c>
      <c r="H3" s="20" t="s">
        <v>87</v>
      </c>
      <c r="I3" s="19" t="s">
        <v>206</v>
      </c>
    </row>
    <row r="4" spans="1:9" ht="331.8" thickBot="1" x14ac:dyDescent="0.35">
      <c r="A4" s="21" t="str">
        <f t="shared" ref="A4:A28" si="0">"AGX_"&amp;ROW()-3</f>
        <v>AGX_1</v>
      </c>
      <c r="B4" s="21" t="s">
        <v>92</v>
      </c>
      <c r="C4" s="23" t="s">
        <v>57</v>
      </c>
      <c r="D4" s="23" t="s">
        <v>34</v>
      </c>
      <c r="E4" s="24" t="s">
        <v>93</v>
      </c>
      <c r="F4" s="24" t="s">
        <v>94</v>
      </c>
      <c r="G4" s="26" t="s">
        <v>89</v>
      </c>
      <c r="H4" s="24" t="s">
        <v>63</v>
      </c>
      <c r="I4" s="48" t="s">
        <v>217</v>
      </c>
    </row>
    <row r="5" spans="1:9" ht="245.4" thickBot="1" x14ac:dyDescent="0.35">
      <c r="A5" s="21" t="str">
        <f t="shared" si="0"/>
        <v>AGX_2</v>
      </c>
      <c r="B5" s="21" t="s">
        <v>95</v>
      </c>
      <c r="C5" s="23" t="s">
        <v>57</v>
      </c>
      <c r="D5" s="23" t="s">
        <v>34</v>
      </c>
      <c r="E5" s="24" t="s">
        <v>96</v>
      </c>
      <c r="F5" s="24" t="s">
        <v>97</v>
      </c>
      <c r="G5" s="23" t="s">
        <v>91</v>
      </c>
      <c r="H5" s="24" t="s">
        <v>63</v>
      </c>
      <c r="I5" s="49" t="s">
        <v>216</v>
      </c>
    </row>
    <row r="6" spans="1:9" ht="58.2" thickBot="1" x14ac:dyDescent="0.35">
      <c r="A6" s="21" t="str">
        <f t="shared" si="0"/>
        <v>AGX_3</v>
      </c>
      <c r="B6" s="21" t="s">
        <v>98</v>
      </c>
      <c r="C6" s="25" t="s">
        <v>99</v>
      </c>
      <c r="D6" s="25" t="s">
        <v>34</v>
      </c>
      <c r="E6" s="21" t="s">
        <v>100</v>
      </c>
      <c r="F6" s="24" t="s">
        <v>101</v>
      </c>
      <c r="G6" s="23" t="s">
        <v>91</v>
      </c>
      <c r="H6" s="24" t="s">
        <v>63</v>
      </c>
      <c r="I6" s="48" t="s">
        <v>213</v>
      </c>
    </row>
    <row r="7" spans="1:9" ht="58.2" thickBot="1" x14ac:dyDescent="0.35">
      <c r="A7" s="21" t="str">
        <f t="shared" si="0"/>
        <v>AGX_4</v>
      </c>
      <c r="B7" s="22" t="s">
        <v>102</v>
      </c>
      <c r="C7" s="23" t="s">
        <v>88</v>
      </c>
      <c r="D7" s="23" t="s">
        <v>34</v>
      </c>
      <c r="E7" s="22"/>
      <c r="F7" s="22" t="s">
        <v>103</v>
      </c>
      <c r="G7" s="23" t="s">
        <v>91</v>
      </c>
      <c r="H7" s="24" t="s">
        <v>62</v>
      </c>
      <c r="I7" s="49" t="s">
        <v>207</v>
      </c>
    </row>
    <row r="8" spans="1:9" ht="58.2" thickBot="1" x14ac:dyDescent="0.35">
      <c r="A8" s="21" t="str">
        <f t="shared" si="0"/>
        <v>AGX_5</v>
      </c>
      <c r="B8" s="22" t="s">
        <v>104</v>
      </c>
      <c r="C8" s="23" t="s">
        <v>57</v>
      </c>
      <c r="D8" s="23" t="s">
        <v>34</v>
      </c>
      <c r="E8" s="22"/>
      <c r="F8" s="22" t="s">
        <v>105</v>
      </c>
      <c r="G8" s="23" t="s">
        <v>91</v>
      </c>
      <c r="H8" s="24" t="s">
        <v>62</v>
      </c>
      <c r="I8" s="48" t="s">
        <v>205</v>
      </c>
    </row>
    <row r="9" spans="1:9" ht="102.6" customHeight="1" thickBot="1" x14ac:dyDescent="0.35">
      <c r="A9" s="21" t="str">
        <f t="shared" si="0"/>
        <v>AGX_6</v>
      </c>
      <c r="B9" s="21" t="s">
        <v>110</v>
      </c>
      <c r="C9" s="23" t="s">
        <v>90</v>
      </c>
      <c r="D9" s="25" t="s">
        <v>71</v>
      </c>
      <c r="E9" s="21" t="s">
        <v>111</v>
      </c>
      <c r="F9" s="24" t="s">
        <v>112</v>
      </c>
      <c r="G9" s="23" t="s">
        <v>91</v>
      </c>
      <c r="H9" s="24" t="s">
        <v>113</v>
      </c>
      <c r="I9" s="49" t="s">
        <v>208</v>
      </c>
    </row>
    <row r="10" spans="1:9" ht="56.4" customHeight="1" thickBot="1" x14ac:dyDescent="0.35">
      <c r="A10" s="21" t="str">
        <f t="shared" si="0"/>
        <v>AGX_7</v>
      </c>
      <c r="B10" s="21" t="s">
        <v>120</v>
      </c>
      <c r="C10" s="23" t="s">
        <v>57</v>
      </c>
      <c r="D10" s="23" t="s">
        <v>118</v>
      </c>
      <c r="E10" s="21" t="s">
        <v>173</v>
      </c>
      <c r="F10" s="24" t="s">
        <v>121</v>
      </c>
      <c r="G10" s="23" t="s">
        <v>91</v>
      </c>
      <c r="H10" s="24" t="s">
        <v>117</v>
      </c>
      <c r="I10" s="48" t="s">
        <v>201</v>
      </c>
    </row>
    <row r="11" spans="1:9" ht="43.8" thickBot="1" x14ac:dyDescent="0.35">
      <c r="A11" s="21" t="str">
        <f t="shared" si="0"/>
        <v>AGX_8</v>
      </c>
      <c r="B11" s="21" t="s">
        <v>123</v>
      </c>
      <c r="C11" s="23" t="s">
        <v>114</v>
      </c>
      <c r="D11" s="25" t="s">
        <v>124</v>
      </c>
      <c r="E11" s="21" t="s">
        <v>125</v>
      </c>
      <c r="F11" s="24" t="s">
        <v>126</v>
      </c>
      <c r="G11" s="23" t="s">
        <v>91</v>
      </c>
      <c r="H11" s="24" t="s">
        <v>117</v>
      </c>
      <c r="I11" s="49" t="s">
        <v>202</v>
      </c>
    </row>
    <row r="12" spans="1:9" ht="72.599999999999994" thickBot="1" x14ac:dyDescent="0.35">
      <c r="A12" s="21" t="str">
        <f t="shared" si="0"/>
        <v>AGX_9</v>
      </c>
      <c r="B12" s="21" t="s">
        <v>127</v>
      </c>
      <c r="C12" s="23" t="s">
        <v>57</v>
      </c>
      <c r="D12" s="23" t="s">
        <v>115</v>
      </c>
      <c r="E12" s="21" t="s">
        <v>127</v>
      </c>
      <c r="F12" s="24" t="s">
        <v>128</v>
      </c>
      <c r="G12" s="23" t="s">
        <v>91</v>
      </c>
      <c r="H12" s="24" t="s">
        <v>129</v>
      </c>
      <c r="I12" s="48" t="s">
        <v>447</v>
      </c>
    </row>
    <row r="13" spans="1:9" ht="58.2" thickBot="1" x14ac:dyDescent="0.35">
      <c r="A13" s="21" t="str">
        <f t="shared" si="0"/>
        <v>AGX_10</v>
      </c>
      <c r="B13" s="21" t="s">
        <v>130</v>
      </c>
      <c r="C13" s="23" t="s">
        <v>90</v>
      </c>
      <c r="D13" s="23" t="s">
        <v>115</v>
      </c>
      <c r="E13" s="21"/>
      <c r="F13" s="24" t="s">
        <v>131</v>
      </c>
      <c r="G13" s="23" t="s">
        <v>91</v>
      </c>
      <c r="H13" s="24" t="s">
        <v>129</v>
      </c>
      <c r="I13" s="49" t="s">
        <v>449</v>
      </c>
    </row>
    <row r="14" spans="1:9" ht="58.2" thickBot="1" x14ac:dyDescent="0.35">
      <c r="A14" s="21" t="str">
        <f t="shared" si="0"/>
        <v>AGX_11</v>
      </c>
      <c r="B14" s="21" t="s">
        <v>132</v>
      </c>
      <c r="C14" s="23" t="s">
        <v>90</v>
      </c>
      <c r="D14" s="23" t="s">
        <v>115</v>
      </c>
      <c r="E14" s="21"/>
      <c r="F14" s="24" t="s">
        <v>133</v>
      </c>
      <c r="G14" s="23" t="s">
        <v>91</v>
      </c>
      <c r="H14" s="24" t="s">
        <v>129</v>
      </c>
      <c r="I14" s="48" t="s">
        <v>448</v>
      </c>
    </row>
    <row r="15" spans="1:9" ht="58.2" thickBot="1" x14ac:dyDescent="0.35">
      <c r="A15" s="21" t="str">
        <f t="shared" si="0"/>
        <v>AGX_12</v>
      </c>
      <c r="B15" s="21" t="s">
        <v>134</v>
      </c>
      <c r="C15" s="23" t="s">
        <v>114</v>
      </c>
      <c r="D15" s="23" t="s">
        <v>115</v>
      </c>
      <c r="E15" s="21"/>
      <c r="F15" s="24" t="s">
        <v>135</v>
      </c>
      <c r="G15" s="23" t="s">
        <v>91</v>
      </c>
      <c r="H15" s="24" t="s">
        <v>129</v>
      </c>
      <c r="I15" s="49" t="s">
        <v>450</v>
      </c>
    </row>
    <row r="16" spans="1:9" ht="29.4" thickBot="1" x14ac:dyDescent="0.35">
      <c r="A16" s="21" t="str">
        <f t="shared" si="0"/>
        <v>AGX_13</v>
      </c>
      <c r="B16" s="21" t="s">
        <v>136</v>
      </c>
      <c r="C16" s="23" t="s">
        <v>90</v>
      </c>
      <c r="D16" s="25" t="s">
        <v>137</v>
      </c>
      <c r="E16" s="24" t="s">
        <v>138</v>
      </c>
      <c r="F16" s="24" t="s">
        <v>139</v>
      </c>
      <c r="G16" s="23" t="s">
        <v>91</v>
      </c>
      <c r="H16" s="21" t="s">
        <v>140</v>
      </c>
      <c r="I16" s="50" t="s">
        <v>204</v>
      </c>
    </row>
    <row r="17" spans="1:9" ht="29.4" thickBot="1" x14ac:dyDescent="0.35">
      <c r="A17" s="21" t="str">
        <f t="shared" si="0"/>
        <v>AGX_14</v>
      </c>
      <c r="B17" s="21" t="s">
        <v>141</v>
      </c>
      <c r="C17" s="23" t="s">
        <v>57</v>
      </c>
      <c r="D17" s="25" t="s">
        <v>137</v>
      </c>
      <c r="E17" s="21"/>
      <c r="F17" s="24" t="s">
        <v>142</v>
      </c>
      <c r="G17" s="23" t="s">
        <v>91</v>
      </c>
      <c r="H17" s="21" t="s">
        <v>143</v>
      </c>
      <c r="I17" s="49" t="s">
        <v>209</v>
      </c>
    </row>
    <row r="18" spans="1:9" ht="29.4" thickBot="1" x14ac:dyDescent="0.35">
      <c r="A18" s="21" t="str">
        <f t="shared" si="0"/>
        <v>AGX_15</v>
      </c>
      <c r="B18" s="21" t="s">
        <v>144</v>
      </c>
      <c r="C18" s="23" t="s">
        <v>90</v>
      </c>
      <c r="D18" s="25" t="s">
        <v>137</v>
      </c>
      <c r="E18" s="21"/>
      <c r="F18" s="21" t="s">
        <v>145</v>
      </c>
      <c r="G18" s="23" t="s">
        <v>91</v>
      </c>
      <c r="H18" s="21" t="s">
        <v>143</v>
      </c>
      <c r="I18" s="48" t="s">
        <v>209</v>
      </c>
    </row>
    <row r="19" spans="1:9" ht="72.599999999999994" thickBot="1" x14ac:dyDescent="0.35">
      <c r="A19" s="21" t="str">
        <f t="shared" si="0"/>
        <v>AGX_16</v>
      </c>
      <c r="B19" s="21" t="s">
        <v>146</v>
      </c>
      <c r="C19" s="23" t="s">
        <v>90</v>
      </c>
      <c r="D19" s="25" t="s">
        <v>71</v>
      </c>
      <c r="E19" s="21"/>
      <c r="F19" s="24" t="s">
        <v>147</v>
      </c>
      <c r="G19" s="23" t="s">
        <v>91</v>
      </c>
      <c r="H19" s="24" t="s">
        <v>62</v>
      </c>
      <c r="I19" s="49" t="s">
        <v>210</v>
      </c>
    </row>
    <row r="20" spans="1:9" ht="58.2" thickBot="1" x14ac:dyDescent="0.35">
      <c r="A20" s="21" t="str">
        <f t="shared" si="0"/>
        <v>AGX_17</v>
      </c>
      <c r="B20" s="21" t="s">
        <v>148</v>
      </c>
      <c r="C20" s="25" t="s">
        <v>99</v>
      </c>
      <c r="D20" s="25" t="s">
        <v>149</v>
      </c>
      <c r="E20" s="21" t="s">
        <v>150</v>
      </c>
      <c r="F20" s="24" t="s">
        <v>151</v>
      </c>
      <c r="G20" s="23" t="s">
        <v>91</v>
      </c>
      <c r="H20" s="24" t="s">
        <v>62</v>
      </c>
      <c r="I20" s="48" t="s">
        <v>215</v>
      </c>
    </row>
    <row r="21" spans="1:9" ht="58.2" thickBot="1" x14ac:dyDescent="0.35">
      <c r="A21" s="21" t="str">
        <f t="shared" si="0"/>
        <v>AGX_18</v>
      </c>
      <c r="B21" s="21" t="s">
        <v>152</v>
      </c>
      <c r="C21" s="25" t="s">
        <v>99</v>
      </c>
      <c r="D21" s="25" t="s">
        <v>149</v>
      </c>
      <c r="E21" s="21" t="s">
        <v>153</v>
      </c>
      <c r="F21" s="24" t="s">
        <v>154</v>
      </c>
      <c r="G21" s="23" t="s">
        <v>91</v>
      </c>
      <c r="H21" s="24" t="s">
        <v>62</v>
      </c>
      <c r="I21" s="49" t="s">
        <v>214</v>
      </c>
    </row>
    <row r="22" spans="1:9" ht="87" thickBot="1" x14ac:dyDescent="0.35">
      <c r="A22" s="27" t="str">
        <f t="shared" si="0"/>
        <v>AGX_19</v>
      </c>
      <c r="B22" s="28" t="s">
        <v>155</v>
      </c>
      <c r="C22" s="25" t="s">
        <v>90</v>
      </c>
      <c r="D22" s="29" t="s">
        <v>156</v>
      </c>
      <c r="E22" s="28"/>
      <c r="F22" s="30" t="s">
        <v>203</v>
      </c>
      <c r="G22" s="31" t="s">
        <v>91</v>
      </c>
      <c r="H22" s="24" t="s">
        <v>157</v>
      </c>
      <c r="I22" s="48" t="s">
        <v>211</v>
      </c>
    </row>
    <row r="23" spans="1:9" ht="223.95" customHeight="1" thickBot="1" x14ac:dyDescent="0.35">
      <c r="A23" s="27" t="str">
        <f t="shared" si="0"/>
        <v>AGX_20</v>
      </c>
      <c r="B23" s="32" t="s">
        <v>158</v>
      </c>
      <c r="C23" s="29" t="s">
        <v>57</v>
      </c>
      <c r="D23" s="29" t="s">
        <v>34</v>
      </c>
      <c r="E23" s="28"/>
      <c r="F23" s="30" t="s">
        <v>159</v>
      </c>
      <c r="G23" s="31" t="s">
        <v>91</v>
      </c>
      <c r="H23" s="33" t="s">
        <v>63</v>
      </c>
      <c r="I23" s="51" t="s">
        <v>212</v>
      </c>
    </row>
    <row r="24" spans="1:9" ht="101.4" thickBot="1" x14ac:dyDescent="0.35">
      <c r="A24" s="27" t="str">
        <f t="shared" si="0"/>
        <v>AGX_21</v>
      </c>
      <c r="B24" s="28" t="s">
        <v>419</v>
      </c>
      <c r="C24" s="29" t="s">
        <v>57</v>
      </c>
      <c r="D24" s="29" t="s">
        <v>34</v>
      </c>
      <c r="E24" s="30" t="s">
        <v>423</v>
      </c>
      <c r="F24" s="30" t="s">
        <v>58</v>
      </c>
      <c r="G24" s="31" t="s">
        <v>91</v>
      </c>
      <c r="H24" s="28" t="s">
        <v>420</v>
      </c>
      <c r="I24" s="106" t="s">
        <v>425</v>
      </c>
    </row>
    <row r="25" spans="1:9" ht="58.2" thickBot="1" x14ac:dyDescent="0.35">
      <c r="A25" s="107" t="str">
        <f t="shared" si="0"/>
        <v>AGX_22</v>
      </c>
      <c r="B25" s="21" t="s">
        <v>421</v>
      </c>
      <c r="C25" s="29" t="s">
        <v>57</v>
      </c>
      <c r="D25" s="25" t="s">
        <v>422</v>
      </c>
      <c r="E25" s="21" t="s">
        <v>74</v>
      </c>
      <c r="F25" s="24" t="s">
        <v>78</v>
      </c>
      <c r="G25" s="31" t="s">
        <v>91</v>
      </c>
      <c r="H25" s="28" t="s">
        <v>420</v>
      </c>
      <c r="I25" s="108" t="s">
        <v>424</v>
      </c>
    </row>
    <row r="26" spans="1:9" ht="43.8" thickBot="1" x14ac:dyDescent="0.35">
      <c r="A26" s="27" t="str">
        <f t="shared" si="0"/>
        <v>AGX_23</v>
      </c>
      <c r="B26" s="28" t="s">
        <v>197</v>
      </c>
      <c r="C26" s="29" t="s">
        <v>57</v>
      </c>
      <c r="D26" s="29" t="s">
        <v>71</v>
      </c>
      <c r="E26" s="28" t="s">
        <v>197</v>
      </c>
      <c r="F26" s="28" t="s">
        <v>108</v>
      </c>
      <c r="G26" s="31" t="s">
        <v>91</v>
      </c>
      <c r="H26" s="28" t="s">
        <v>77</v>
      </c>
      <c r="I26" s="106" t="s">
        <v>436</v>
      </c>
    </row>
    <row r="27" spans="1:9" ht="130.19999999999999" thickBot="1" x14ac:dyDescent="0.35">
      <c r="A27" s="27" t="str">
        <f t="shared" si="0"/>
        <v>AGX_24</v>
      </c>
      <c r="B27" s="28" t="s">
        <v>426</v>
      </c>
      <c r="C27" s="29" t="s">
        <v>114</v>
      </c>
      <c r="D27" s="29" t="s">
        <v>156</v>
      </c>
      <c r="E27" s="28"/>
      <c r="F27" s="30" t="s">
        <v>427</v>
      </c>
      <c r="G27" s="31" t="s">
        <v>91</v>
      </c>
      <c r="H27" s="24" t="s">
        <v>428</v>
      </c>
      <c r="I27" s="109" t="s">
        <v>480</v>
      </c>
    </row>
    <row r="28" spans="1:9" ht="72.599999999999994" thickBot="1" x14ac:dyDescent="0.35">
      <c r="A28" s="163" t="str">
        <f t="shared" si="0"/>
        <v>AGX_25</v>
      </c>
      <c r="B28" s="163" t="s">
        <v>481</v>
      </c>
      <c r="C28" s="165" t="s">
        <v>57</v>
      </c>
      <c r="D28" s="165" t="s">
        <v>56</v>
      </c>
      <c r="E28" s="164" t="s">
        <v>481</v>
      </c>
      <c r="F28" s="172" t="s">
        <v>482</v>
      </c>
      <c r="G28" s="166" t="s">
        <v>91</v>
      </c>
      <c r="H28" s="171" t="s">
        <v>428</v>
      </c>
      <c r="I28" s="174" t="s">
        <v>483</v>
      </c>
    </row>
  </sheetData>
  <mergeCells count="1">
    <mergeCell ref="A2:B2"/>
  </mergeCell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EA72-A519-4291-BFF7-791EF88AB1A0}">
  <sheetPr codeName="Sheet3">
    <tabColor rgb="FFFF0000"/>
  </sheetPr>
  <dimension ref="A1:AC49"/>
  <sheetViews>
    <sheetView topLeftCell="A17" zoomScale="85" zoomScaleNormal="85" workbookViewId="0">
      <selection activeCell="D11" sqref="D11"/>
    </sheetView>
  </sheetViews>
  <sheetFormatPr defaultColWidth="9.109375" defaultRowHeight="14.4" customHeight="1" x14ac:dyDescent="0.3"/>
  <cols>
    <col min="1" max="1" width="13.6640625" customWidth="1"/>
    <col min="2" max="2" width="52.88671875" customWidth="1"/>
    <col min="3" max="3" width="20.88671875" customWidth="1"/>
    <col min="4" max="19" width="9.6640625" customWidth="1"/>
    <col min="20" max="20" width="7.88671875" customWidth="1"/>
    <col min="21" max="25" width="9.6640625" customWidth="1"/>
    <col min="27" max="27" width="36" customWidth="1"/>
  </cols>
  <sheetData>
    <row r="1" spans="1:29" ht="14.4" customHeight="1" x14ac:dyDescent="0.3">
      <c r="A1" s="52" t="s">
        <v>219</v>
      </c>
      <c r="B1" s="52" t="s">
        <v>220</v>
      </c>
      <c r="C1" s="59" t="s">
        <v>221</v>
      </c>
      <c r="D1" s="60">
        <v>0.10937459468255628</v>
      </c>
      <c r="E1" s="60">
        <v>0.21874918936511256</v>
      </c>
      <c r="F1" s="60">
        <v>0.32812378404766884</v>
      </c>
      <c r="G1" s="60">
        <v>0.43749837873022512</v>
      </c>
      <c r="H1" s="60">
        <v>0.5468729734127814</v>
      </c>
      <c r="I1" s="60">
        <v>0.64531010862708205</v>
      </c>
      <c r="J1" s="60">
        <v>0.7240598167985226</v>
      </c>
      <c r="K1" s="60">
        <v>0.78705958333567505</v>
      </c>
      <c r="L1" s="60">
        <v>0.83745939656539703</v>
      </c>
      <c r="M1" s="60">
        <v>0.87777924714917455</v>
      </c>
      <c r="N1" s="60">
        <v>0.91003512761619654</v>
      </c>
      <c r="O1" s="60">
        <v>0.93583983198981413</v>
      </c>
      <c r="P1" s="60">
        <v>0.9564835954887082</v>
      </c>
      <c r="Q1" s="60">
        <v>0.97299860628782353</v>
      </c>
      <c r="R1" s="60">
        <v>0.9862106149271157</v>
      </c>
      <c r="S1" s="60">
        <v>0.99678022183854953</v>
      </c>
      <c r="T1" s="60">
        <v>0.99685231466234414</v>
      </c>
      <c r="U1" s="60">
        <v>0.99687806209941365</v>
      </c>
      <c r="V1" s="60">
        <v>0.99688683963477831</v>
      </c>
      <c r="W1" s="60">
        <v>0.99688970187457115</v>
      </c>
      <c r="X1" s="60"/>
      <c r="Y1" s="53">
        <f>SUM(D1:W1)</f>
        <v>15.258141989133511</v>
      </c>
      <c r="Z1" s="53">
        <f>Y1/$Y$1</f>
        <v>1</v>
      </c>
      <c r="AA1" s="53">
        <f>Y1/2000%</f>
        <v>0.76290709945667556</v>
      </c>
      <c r="AB1" s="52"/>
      <c r="AC1" s="205" t="s">
        <v>539</v>
      </c>
    </row>
    <row r="2" spans="1:29" ht="14.4" customHeight="1" x14ac:dyDescent="0.3">
      <c r="A2" s="52"/>
      <c r="B2" s="52"/>
      <c r="C2" s="59" t="s">
        <v>222</v>
      </c>
      <c r="D2" s="61">
        <v>4.2999999999999997E-2</v>
      </c>
      <c r="E2" s="60">
        <v>9.5797142280278316E-2</v>
      </c>
      <c r="F2" s="60">
        <v>0.16040539374775648</v>
      </c>
      <c r="G2" s="60">
        <v>0.23540539374775649</v>
      </c>
      <c r="H2" s="60">
        <v>0.32095239121809005</v>
      </c>
      <c r="I2" s="60">
        <v>0.42096711425629652</v>
      </c>
      <c r="J2" s="60">
        <v>0.53068481860864725</v>
      </c>
      <c r="K2" s="60">
        <v>0.642769203728351</v>
      </c>
      <c r="L2" s="60">
        <v>0.74839528535557953</v>
      </c>
      <c r="M2" s="60">
        <v>0.83918984935345187</v>
      </c>
      <c r="N2" s="60">
        <v>0.90945051634530116</v>
      </c>
      <c r="O2" s="60">
        <v>0.9576688767502457</v>
      </c>
      <c r="P2" s="60">
        <v>0.9865231113648858</v>
      </c>
      <c r="Q2" s="60">
        <v>1</v>
      </c>
      <c r="R2" s="60">
        <v>1</v>
      </c>
      <c r="S2" s="60">
        <v>1</v>
      </c>
      <c r="T2" s="60">
        <v>1</v>
      </c>
      <c r="U2" s="60">
        <v>1</v>
      </c>
      <c r="V2" s="60">
        <v>1</v>
      </c>
      <c r="W2" s="60">
        <v>1</v>
      </c>
      <c r="X2" s="60"/>
      <c r="Y2" s="53">
        <f>SUM(D2:W2)</f>
        <v>13.89120909675664</v>
      </c>
      <c r="Z2" s="53">
        <f>Y2/$Y$1</f>
        <v>0.91041288688030508</v>
      </c>
      <c r="AA2" s="53">
        <f>Y2/2000%</f>
        <v>0.69456045483783202</v>
      </c>
      <c r="AB2" s="52"/>
      <c r="AC2" s="205">
        <v>0.6</v>
      </c>
    </row>
    <row r="3" spans="1:29" ht="14.4" customHeight="1" x14ac:dyDescent="0.3">
      <c r="A3" s="52"/>
      <c r="B3" s="52"/>
      <c r="C3" s="59" t="s">
        <v>223</v>
      </c>
      <c r="D3" s="60">
        <v>5.0000000000000001E-3</v>
      </c>
      <c r="E3" s="60">
        <v>7.6904586297764643E-3</v>
      </c>
      <c r="F3" s="60">
        <v>1.6792013047419844E-2</v>
      </c>
      <c r="G3" s="60">
        <v>3.15969387774655E-2</v>
      </c>
      <c r="H3" s="60">
        <v>5.406874819795171E-2</v>
      </c>
      <c r="I3" s="60">
        <v>8.6253181011834101E-2</v>
      </c>
      <c r="J3" s="60">
        <v>0.1300328481838382</v>
      </c>
      <c r="K3" s="60">
        <v>0.18678710893858319</v>
      </c>
      <c r="L3" s="60">
        <v>0.2569823480072907</v>
      </c>
      <c r="M3" s="60">
        <v>0.33975920985004748</v>
      </c>
      <c r="N3" s="60">
        <v>0.43262946935754232</v>
      </c>
      <c r="O3" s="60">
        <v>0.53142594003645804</v>
      </c>
      <c r="P3" s="60">
        <v>0.63063487292644704</v>
      </c>
      <c r="Q3" s="60">
        <v>0.7241560234206913</v>
      </c>
      <c r="R3" s="60">
        <v>0.80638203131755359</v>
      </c>
      <c r="S3" s="60">
        <v>0.87331559734491926</v>
      </c>
      <c r="T3" s="60">
        <v>0.92334516248836807</v>
      </c>
      <c r="U3" s="60">
        <v>0.96</v>
      </c>
      <c r="V3" s="60">
        <v>0.98</v>
      </c>
      <c r="W3" s="60">
        <v>0.996</v>
      </c>
      <c r="X3" s="60"/>
      <c r="Y3" s="53">
        <f>SUM(D3:W3)</f>
        <v>8.9728519515361871</v>
      </c>
      <c r="Z3" s="53">
        <f>Y3/$Y$1</f>
        <v>0.58806976353519591</v>
      </c>
      <c r="AA3" s="53">
        <f>Y3/2000%</f>
        <v>0.44864259757680935</v>
      </c>
      <c r="AB3" s="52"/>
      <c r="AC3" s="205">
        <v>0.85</v>
      </c>
    </row>
    <row r="4" spans="1:29" ht="14.4" customHeight="1" x14ac:dyDescent="0.3">
      <c r="A4" s="52"/>
      <c r="B4" s="52"/>
      <c r="C4" s="59" t="s">
        <v>224</v>
      </c>
      <c r="D4" s="60">
        <v>0.45</v>
      </c>
      <c r="E4" s="60">
        <v>0.66</v>
      </c>
      <c r="F4" s="60">
        <v>0.8</v>
      </c>
      <c r="G4" s="60">
        <v>0.89</v>
      </c>
      <c r="H4" s="60">
        <v>0.94954036260972652</v>
      </c>
      <c r="I4" s="60">
        <v>0.97931054391458994</v>
      </c>
      <c r="J4" s="60">
        <v>0.99254173560564019</v>
      </c>
      <c r="K4" s="60">
        <v>0.99783421228206048</v>
      </c>
      <c r="L4" s="60">
        <v>0.99975874925530417</v>
      </c>
      <c r="M4" s="60">
        <v>1</v>
      </c>
      <c r="N4" s="60">
        <v>1</v>
      </c>
      <c r="O4" s="60">
        <v>1</v>
      </c>
      <c r="P4" s="60">
        <v>1</v>
      </c>
      <c r="Q4" s="60">
        <v>1</v>
      </c>
      <c r="R4" s="60">
        <v>1</v>
      </c>
      <c r="S4" s="60">
        <v>1</v>
      </c>
      <c r="T4" s="60">
        <v>1</v>
      </c>
      <c r="U4" s="60">
        <v>1</v>
      </c>
      <c r="V4" s="60">
        <v>1</v>
      </c>
      <c r="W4" s="60">
        <v>1</v>
      </c>
      <c r="X4" s="60"/>
      <c r="Y4" s="53">
        <f>SUM(D4:W4)</f>
        <v>18.718985603667321</v>
      </c>
      <c r="Z4" s="53">
        <f>Y4/$Y$1</f>
        <v>1.2268194657644778</v>
      </c>
      <c r="AA4" s="53">
        <f>Y4/2000%</f>
        <v>0.93594928018336598</v>
      </c>
      <c r="AB4" s="52"/>
      <c r="AC4" s="205">
        <v>0.95</v>
      </c>
    </row>
    <row r="5" spans="1:29" ht="14.4" customHeight="1" x14ac:dyDescent="0.3">
      <c r="A5" s="52"/>
      <c r="B5" s="52"/>
      <c r="C5" s="59" t="s">
        <v>225</v>
      </c>
      <c r="D5" s="60">
        <v>0.22119921692859512</v>
      </c>
      <c r="E5" s="60">
        <v>0.37624232795148943</v>
      </c>
      <c r="F5" s="60">
        <v>0.48357361352878442</v>
      </c>
      <c r="G5" s="60">
        <v>0.56716330278444227</v>
      </c>
      <c r="H5" s="60">
        <v>0.64040048266456928</v>
      </c>
      <c r="I5" s="60">
        <v>0.70377511937632964</v>
      </c>
      <c r="J5" s="60">
        <v>0.7580669577441127</v>
      </c>
      <c r="K5" s="60">
        <v>0.80419335000071168</v>
      </c>
      <c r="L5" s="60">
        <v>0.84311022627788457</v>
      </c>
      <c r="M5" s="60">
        <v>0.87575014259103623</v>
      </c>
      <c r="N5" s="60">
        <v>0.90298584871682319</v>
      </c>
      <c r="O5" s="60">
        <v>0.92419703797508856</v>
      </c>
      <c r="P5" s="60">
        <v>0.94071632877930145</v>
      </c>
      <c r="Q5" s="60">
        <v>0.95358156539340677</v>
      </c>
      <c r="R5" s="60">
        <v>0.96360102174287088</v>
      </c>
      <c r="S5" s="60">
        <v>0.97140418219378311</v>
      </c>
      <c r="T5" s="60">
        <v>0.97748128966338554</v>
      </c>
      <c r="U5" s="60">
        <v>0.98399999999999999</v>
      </c>
      <c r="V5" s="60">
        <v>0.98899999999999999</v>
      </c>
      <c r="W5" s="60">
        <v>0.996</v>
      </c>
      <c r="X5" s="60"/>
      <c r="Y5" s="53"/>
      <c r="Z5" s="53"/>
      <c r="AA5" s="53"/>
      <c r="AB5" s="52"/>
      <c r="AC5" s="205">
        <v>1</v>
      </c>
    </row>
    <row r="6" spans="1:29" ht="14.4" customHeight="1" x14ac:dyDescent="0.3">
      <c r="A6" s="52"/>
      <c r="B6" s="52"/>
      <c r="C6" s="59" t="s">
        <v>226</v>
      </c>
      <c r="D6" s="60">
        <v>0.05</v>
      </c>
      <c r="E6" s="60">
        <v>0.1</v>
      </c>
      <c r="F6" s="60">
        <v>0.15000000000000002</v>
      </c>
      <c r="G6" s="60">
        <v>0.2</v>
      </c>
      <c r="H6" s="60">
        <v>0.25</v>
      </c>
      <c r="I6" s="60">
        <v>0.3</v>
      </c>
      <c r="J6" s="60">
        <v>0.35</v>
      </c>
      <c r="K6" s="60">
        <v>0.39999999999999997</v>
      </c>
      <c r="L6" s="60">
        <v>0.44999999999999996</v>
      </c>
      <c r="M6" s="60">
        <v>0.49999999999999994</v>
      </c>
      <c r="N6" s="60">
        <v>0.54999999999999993</v>
      </c>
      <c r="O6" s="60">
        <v>0.6</v>
      </c>
      <c r="P6" s="60">
        <v>0.65</v>
      </c>
      <c r="Q6" s="60">
        <v>0.70000000000000007</v>
      </c>
      <c r="R6" s="60">
        <v>0.75000000000000011</v>
      </c>
      <c r="S6" s="60">
        <v>0.80000000000000016</v>
      </c>
      <c r="T6" s="60">
        <v>0.8500000000000002</v>
      </c>
      <c r="U6" s="60">
        <v>0.90000000000000024</v>
      </c>
      <c r="V6" s="60">
        <v>0.95000000000000029</v>
      </c>
      <c r="W6" s="60">
        <v>1.0000000000000002</v>
      </c>
      <c r="X6" s="60"/>
      <c r="Y6" s="53"/>
      <c r="Z6" s="53"/>
      <c r="AA6" s="53"/>
      <c r="AB6" s="52"/>
      <c r="AC6" s="52"/>
    </row>
    <row r="7" spans="1:29" ht="14.4" customHeight="1" x14ac:dyDescent="0.3">
      <c r="A7" s="52"/>
      <c r="B7" s="52"/>
      <c r="C7" s="59" t="s">
        <v>227</v>
      </c>
      <c r="D7" s="61">
        <v>5.5320496977002724E-3</v>
      </c>
      <c r="E7" s="61">
        <v>1.4227918344261844E-2</v>
      </c>
      <c r="F7" s="61">
        <v>3.1619655637384989E-2</v>
      </c>
      <c r="G7" s="61">
        <v>6.2055195900350503E-2</v>
      </c>
      <c r="H7" s="61">
        <v>0.10939936964274129</v>
      </c>
      <c r="I7" s="61">
        <v>0.17568121288208835</v>
      </c>
      <c r="J7" s="61">
        <v>0.26003992245943919</v>
      </c>
      <c r="K7" s="61">
        <v>0.3584584169663485</v>
      </c>
      <c r="L7" s="61">
        <v>0.46444756489686617</v>
      </c>
      <c r="M7" s="61">
        <v>0.57043671282738384</v>
      </c>
      <c r="N7" s="61">
        <v>0.66935991756253377</v>
      </c>
      <c r="O7" s="61">
        <v>0.75591772170578986</v>
      </c>
      <c r="P7" s="61">
        <v>0.82720061923553012</v>
      </c>
      <c r="Q7" s="61">
        <v>0.88264287286977261</v>
      </c>
      <c r="R7" s="61">
        <v>0.92349505975816193</v>
      </c>
      <c r="S7" s="61">
        <v>0.95209159058003434</v>
      </c>
      <c r="T7" s="61">
        <v>0.97115594446128262</v>
      </c>
      <c r="U7" s="61">
        <v>0.98328780602207699</v>
      </c>
      <c r="V7" s="61">
        <v>0.99067241740690848</v>
      </c>
      <c r="W7" s="61">
        <v>0.996</v>
      </c>
      <c r="X7" s="60"/>
      <c r="Y7" s="53"/>
      <c r="Z7" s="53"/>
      <c r="AA7" s="52"/>
      <c r="AB7" s="52"/>
      <c r="AC7" s="52"/>
    </row>
    <row r="8" spans="1:29" ht="14.4" customHeight="1" x14ac:dyDescent="0.3">
      <c r="A8" s="52"/>
      <c r="B8" s="52"/>
      <c r="C8" s="59" t="s">
        <v>228</v>
      </c>
      <c r="D8" s="61">
        <v>0.10937459468255628</v>
      </c>
      <c r="E8" s="61">
        <v>0.10937459468255628</v>
      </c>
      <c r="F8" s="61">
        <v>0.10937459468255628</v>
      </c>
      <c r="G8" s="61">
        <v>0.10937459468255628</v>
      </c>
      <c r="H8" s="61">
        <v>0.10937459468255628</v>
      </c>
      <c r="I8" s="61">
        <v>9.8437135214300656E-2</v>
      </c>
      <c r="J8" s="61">
        <v>7.874970817144053E-2</v>
      </c>
      <c r="K8" s="61">
        <v>6.2999766537152418E-2</v>
      </c>
      <c r="L8" s="61">
        <v>5.0399813229721938E-2</v>
      </c>
      <c r="M8" s="61">
        <v>4.0319850583777551E-2</v>
      </c>
      <c r="N8" s="61">
        <v>3.225588046702204E-2</v>
      </c>
      <c r="O8" s="61">
        <v>2.5804704373617631E-2</v>
      </c>
      <c r="P8" s="61">
        <v>2.0643763498894106E-2</v>
      </c>
      <c r="Q8" s="61">
        <v>1.6515010799115284E-2</v>
      </c>
      <c r="R8" s="61">
        <v>1.3212008639292228E-2</v>
      </c>
      <c r="S8" s="61">
        <v>1.0569606911433781E-2</v>
      </c>
      <c r="T8" s="61">
        <v>7.2092823794611682E-5</v>
      </c>
      <c r="U8" s="61">
        <v>2.5747437069512102E-5</v>
      </c>
      <c r="V8" s="61">
        <v>8.7775353646568632E-6</v>
      </c>
      <c r="W8" s="61">
        <v>2.8622397928446119E-6</v>
      </c>
      <c r="X8" s="60"/>
      <c r="Y8" s="53">
        <f t="shared" ref="Y8:Y12" si="0">SUM(D8:W8)</f>
        <v>0.99688970187457115</v>
      </c>
      <c r="Z8" s="53"/>
      <c r="AA8" s="52"/>
      <c r="AB8" s="52"/>
      <c r="AC8" s="52"/>
    </row>
    <row r="9" spans="1:29" ht="14.4" customHeight="1" x14ac:dyDescent="0.3">
      <c r="A9" s="52"/>
      <c r="B9" s="52"/>
      <c r="C9" s="59" t="s">
        <v>229</v>
      </c>
      <c r="D9" s="61">
        <v>4.2999999999999997E-2</v>
      </c>
      <c r="E9" s="61">
        <v>5.279714228027832E-2</v>
      </c>
      <c r="F9" s="61">
        <v>6.4608251467478173E-2</v>
      </c>
      <c r="G9" s="61">
        <v>7.4999999999999997E-2</v>
      </c>
      <c r="H9" s="61">
        <v>8.5546997470333563E-2</v>
      </c>
      <c r="I9" s="61">
        <v>0.10001472303820647</v>
      </c>
      <c r="J9" s="61">
        <v>0.10971770435235073</v>
      </c>
      <c r="K9" s="61">
        <v>0.11208438511970376</v>
      </c>
      <c r="L9" s="61">
        <v>0.10562608162722853</v>
      </c>
      <c r="M9" s="61">
        <v>9.0794563997872335E-2</v>
      </c>
      <c r="N9" s="61">
        <v>7.0260666991849297E-2</v>
      </c>
      <c r="O9" s="61">
        <v>4.65E-2</v>
      </c>
      <c r="P9" s="61">
        <v>2.7E-2</v>
      </c>
      <c r="Q9" s="61">
        <v>1.2999999999999999E-2</v>
      </c>
      <c r="R9" s="61">
        <v>5.4999999999999997E-3</v>
      </c>
      <c r="S9" s="61">
        <v>2E-3</v>
      </c>
      <c r="T9" s="61">
        <v>6.2471001963848583E-4</v>
      </c>
      <c r="U9" s="61">
        <v>1.3615841889635938E-4</v>
      </c>
      <c r="V9" s="61">
        <v>2.2380636622298944E-5</v>
      </c>
      <c r="W9" s="61">
        <v>2.68643837586513E-6</v>
      </c>
      <c r="X9" s="60"/>
      <c r="Y9" s="53">
        <f t="shared" si="0"/>
        <v>1.004236451858834</v>
      </c>
      <c r="Z9" s="53"/>
      <c r="AA9" s="52"/>
      <c r="AB9" s="52"/>
      <c r="AC9" s="52"/>
    </row>
    <row r="10" spans="1:29" ht="14.4" customHeight="1" x14ac:dyDescent="0.3">
      <c r="A10" s="52"/>
      <c r="B10" s="52"/>
      <c r="C10" s="59" t="s">
        <v>230</v>
      </c>
      <c r="D10" s="61">
        <v>2.5643970768378654E-3</v>
      </c>
      <c r="E10" s="61">
        <v>5.1260615529385989E-3</v>
      </c>
      <c r="F10" s="61">
        <v>9.1015544176433795E-3</v>
      </c>
      <c r="G10" s="61">
        <v>1.4804925730045659E-2</v>
      </c>
      <c r="H10" s="61">
        <v>2.2471809420486211E-2</v>
      </c>
      <c r="I10" s="61">
        <v>3.2184432813882391E-2</v>
      </c>
      <c r="J10" s="61">
        <v>4.3779667172004086E-2</v>
      </c>
      <c r="K10" s="61">
        <v>5.675426075474499E-2</v>
      </c>
      <c r="L10" s="61">
        <v>7.0195239068707532E-2</v>
      </c>
      <c r="M10" s="61">
        <v>8.2776861842756788E-2</v>
      </c>
      <c r="N10" s="61">
        <v>9.2870259507494834E-2</v>
      </c>
      <c r="O10" s="61">
        <v>9.8796470678915727E-2</v>
      </c>
      <c r="P10" s="61">
        <v>9.9208932889988999E-2</v>
      </c>
      <c r="Q10" s="61">
        <v>9.3521150494244254E-2</v>
      </c>
      <c r="R10" s="61">
        <v>8.2226007896862296E-2</v>
      </c>
      <c r="S10" s="61">
        <v>6.8000000000000005E-2</v>
      </c>
      <c r="T10" s="61">
        <v>5.1999999999999998E-2</v>
      </c>
      <c r="U10" s="61">
        <v>3.5999999999999997E-2</v>
      </c>
      <c r="V10" s="61">
        <v>2.3E-2</v>
      </c>
      <c r="W10" s="61">
        <v>1.4999999999999999E-2</v>
      </c>
      <c r="X10" s="60"/>
      <c r="Y10" s="53">
        <f t="shared" si="0"/>
        <v>1.0003820313175538</v>
      </c>
      <c r="Z10" s="53"/>
      <c r="AA10" s="52"/>
      <c r="AB10" s="52"/>
      <c r="AC10" s="52"/>
    </row>
    <row r="11" spans="1:29" ht="14.4" customHeight="1" x14ac:dyDescent="0.3">
      <c r="A11" s="52"/>
      <c r="B11" s="52"/>
      <c r="C11" s="59" t="s">
        <v>231</v>
      </c>
      <c r="D11" s="61">
        <v>0.45</v>
      </c>
      <c r="E11" s="61">
        <v>0.21</v>
      </c>
      <c r="F11" s="61">
        <v>0.14000000000000001</v>
      </c>
      <c r="G11" s="61">
        <v>0.09</v>
      </c>
      <c r="H11" s="61">
        <v>5.9540362609726505E-2</v>
      </c>
      <c r="I11" s="61">
        <v>2.9770181304863419E-2</v>
      </c>
      <c r="J11" s="61">
        <v>1.3231191691050248E-2</v>
      </c>
      <c r="K11" s="61">
        <v>5.2924766764202991E-3</v>
      </c>
      <c r="L11" s="61">
        <v>1.9245369732436846E-3</v>
      </c>
      <c r="M11" s="61">
        <v>6.415123244144505E-4</v>
      </c>
      <c r="N11" s="61">
        <v>1.9738840751215569E-4</v>
      </c>
      <c r="O11" s="61">
        <v>5.6396687860615913E-5</v>
      </c>
      <c r="P11" s="61">
        <v>1.5039116763038152E-5</v>
      </c>
      <c r="Q11" s="61">
        <v>3.7597791905374933E-6</v>
      </c>
      <c r="R11" s="61">
        <v>8.8465392733549919E-7</v>
      </c>
      <c r="S11" s="61">
        <v>1.9658976146974538E-7</v>
      </c>
      <c r="T11" s="61">
        <v>4.13873183502389E-8</v>
      </c>
      <c r="U11" s="61">
        <v>8.2774636034343985E-9</v>
      </c>
      <c r="V11" s="61">
        <v>1.5766598027155965E-9</v>
      </c>
      <c r="W11" s="61">
        <v>2.8666535811794347E-10</v>
      </c>
      <c r="X11" s="60"/>
      <c r="Y11" s="53">
        <f t="shared" si="0"/>
        <v>1.0006739783428409</v>
      </c>
      <c r="Z11" s="53">
        <f t="shared" ref="Z11:Z12" si="1">Y11/$Y$1</f>
        <v>6.5582950994655664E-2</v>
      </c>
      <c r="AA11" s="52"/>
      <c r="AB11" s="52"/>
      <c r="AC11" s="52"/>
    </row>
    <row r="12" spans="1:29" ht="14.4" customHeight="1" x14ac:dyDescent="0.3">
      <c r="A12" s="52"/>
      <c r="B12" s="52"/>
      <c r="C12" s="59" t="s">
        <v>232</v>
      </c>
      <c r="D12" s="61">
        <v>0.22119921692859512</v>
      </c>
      <c r="E12" s="61">
        <v>0.15504311102289431</v>
      </c>
      <c r="F12" s="61">
        <v>0.10733128557729499</v>
      </c>
      <c r="G12" s="61">
        <v>8.3589689255657879E-2</v>
      </c>
      <c r="H12" s="61">
        <v>7.3237179880126971E-2</v>
      </c>
      <c r="I12" s="61">
        <v>6.3374636711760357E-2</v>
      </c>
      <c r="J12" s="61">
        <v>5.4291838367783084E-2</v>
      </c>
      <c r="K12" s="61">
        <v>4.612639225659896E-2</v>
      </c>
      <c r="L12" s="61">
        <v>3.8916876277172864E-2</v>
      </c>
      <c r="M12" s="61">
        <v>3.2639916313151704E-2</v>
      </c>
      <c r="N12" s="61">
        <v>2.7235706125786907E-2</v>
      </c>
      <c r="O12" s="61">
        <v>2.1211189258265428E-2</v>
      </c>
      <c r="P12" s="61">
        <v>1.6519290804212883E-2</v>
      </c>
      <c r="Q12" s="61">
        <v>1.2865236614105324E-2</v>
      </c>
      <c r="R12" s="61">
        <v>1.0019456349464106E-2</v>
      </c>
      <c r="S12" s="61">
        <v>9.1999999999999998E-3</v>
      </c>
      <c r="T12" s="61">
        <v>7.1999999999999998E-3</v>
      </c>
      <c r="U12" s="61">
        <v>6.1999999999999998E-3</v>
      </c>
      <c r="V12" s="61">
        <v>5.1999999999999998E-3</v>
      </c>
      <c r="W12" s="61">
        <v>4.1999999999999997E-3</v>
      </c>
      <c r="X12" s="60"/>
      <c r="Y12" s="53">
        <f t="shared" si="0"/>
        <v>0.9956010217428708</v>
      </c>
      <c r="Z12" s="53">
        <f t="shared" si="1"/>
        <v>6.5250475611769401E-2</v>
      </c>
      <c r="AA12" s="52"/>
      <c r="AB12" s="52"/>
      <c r="AC12" s="52"/>
    </row>
    <row r="13" spans="1:29" ht="14.4" customHeight="1" x14ac:dyDescent="0.3">
      <c r="A13" s="52"/>
      <c r="B13" s="52"/>
      <c r="C13" s="59" t="s">
        <v>233</v>
      </c>
      <c r="D13" s="61">
        <v>0.05</v>
      </c>
      <c r="E13" s="61">
        <v>0.05</v>
      </c>
      <c r="F13" s="61">
        <v>0.05</v>
      </c>
      <c r="G13" s="61">
        <v>0.05</v>
      </c>
      <c r="H13" s="61">
        <v>0.05</v>
      </c>
      <c r="I13" s="61">
        <v>0.05</v>
      </c>
      <c r="J13" s="61">
        <v>0.05</v>
      </c>
      <c r="K13" s="61">
        <v>0.05</v>
      </c>
      <c r="L13" s="61">
        <v>0.05</v>
      </c>
      <c r="M13" s="61">
        <v>0.05</v>
      </c>
      <c r="N13" s="61">
        <v>0.05</v>
      </c>
      <c r="O13" s="61">
        <v>0.05</v>
      </c>
      <c r="P13" s="61">
        <v>0.05</v>
      </c>
      <c r="Q13" s="61">
        <v>0.05</v>
      </c>
      <c r="R13" s="61">
        <v>0.05</v>
      </c>
      <c r="S13" s="61">
        <v>0.05</v>
      </c>
      <c r="T13" s="61">
        <v>0.05</v>
      </c>
      <c r="U13" s="61">
        <v>0.05</v>
      </c>
      <c r="V13" s="61">
        <v>0.05</v>
      </c>
      <c r="W13" s="61">
        <v>0.05</v>
      </c>
      <c r="X13" s="60"/>
      <c r="Y13" s="53">
        <f>SUM(D13:W13)</f>
        <v>1.0000000000000002</v>
      </c>
      <c r="Z13" s="53"/>
      <c r="AA13" s="52"/>
      <c r="AB13" s="52"/>
      <c r="AC13" s="52" t="s">
        <v>234</v>
      </c>
    </row>
    <row r="14" spans="1:29" ht="14.4" customHeight="1" x14ac:dyDescent="0.3">
      <c r="A14" s="52"/>
      <c r="B14" s="52"/>
      <c r="C14" s="59" t="s">
        <v>235</v>
      </c>
      <c r="D14" s="62">
        <v>5.5320496977002724E-3</v>
      </c>
      <c r="E14" s="62">
        <v>8.6958686465615706E-3</v>
      </c>
      <c r="F14" s="62">
        <v>1.7391737293123145E-2</v>
      </c>
      <c r="G14" s="62">
        <v>3.0435540262965514E-2</v>
      </c>
      <c r="H14" s="62">
        <v>4.7344173742390784E-2</v>
      </c>
      <c r="I14" s="62">
        <v>6.6281843239347063E-2</v>
      </c>
      <c r="J14" s="62">
        <v>8.4358709577350838E-2</v>
      </c>
      <c r="K14" s="62">
        <v>9.8418494506909315E-2</v>
      </c>
      <c r="L14" s="62">
        <v>0.10598914793051767</v>
      </c>
      <c r="M14" s="62">
        <v>0.10598914793051767</v>
      </c>
      <c r="N14" s="62">
        <v>9.8923204735149928E-2</v>
      </c>
      <c r="O14" s="62">
        <v>8.655780414325609E-2</v>
      </c>
      <c r="P14" s="62">
        <v>7.1282897529740263E-2</v>
      </c>
      <c r="Q14" s="62">
        <v>5.5442253634242489E-2</v>
      </c>
      <c r="R14" s="62">
        <v>4.0852186888389319E-2</v>
      </c>
      <c r="S14" s="62">
        <v>2.8596530821872412E-2</v>
      </c>
      <c r="T14" s="62">
        <v>1.9064353881248275E-2</v>
      </c>
      <c r="U14" s="62">
        <v>1.2131861560794377E-2</v>
      </c>
      <c r="V14" s="62">
        <v>7.3846113848314854E-3</v>
      </c>
      <c r="W14" s="62">
        <v>5.0000000000000001E-3</v>
      </c>
      <c r="X14" s="60"/>
      <c r="Y14" s="53"/>
      <c r="Z14" s="53"/>
      <c r="AA14" s="52"/>
      <c r="AB14" s="52"/>
      <c r="AC14" s="52"/>
    </row>
    <row r="15" spans="1:29" ht="14.4" customHeight="1"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2"/>
      <c r="AA15" s="52"/>
      <c r="AB15" s="52"/>
      <c r="AC15" s="52"/>
    </row>
    <row r="16" spans="1:29" ht="14.4" customHeight="1" x14ac:dyDescent="0.3">
      <c r="A16" s="54" t="s">
        <v>0</v>
      </c>
      <c r="B16" s="54" t="s">
        <v>236</v>
      </c>
      <c r="C16" s="54" t="s">
        <v>237</v>
      </c>
      <c r="D16" s="54">
        <v>2022</v>
      </c>
      <c r="E16" s="54">
        <f>D16+1</f>
        <v>2023</v>
      </c>
      <c r="F16" s="54">
        <f t="shared" ref="F16:W16" si="2">E16+1</f>
        <v>2024</v>
      </c>
      <c r="G16" s="54">
        <f t="shared" si="2"/>
        <v>2025</v>
      </c>
      <c r="H16" s="54">
        <f t="shared" si="2"/>
        <v>2026</v>
      </c>
      <c r="I16" s="54">
        <f t="shared" si="2"/>
        <v>2027</v>
      </c>
      <c r="J16" s="54">
        <f t="shared" si="2"/>
        <v>2028</v>
      </c>
      <c r="K16" s="54">
        <f t="shared" si="2"/>
        <v>2029</v>
      </c>
      <c r="L16" s="54">
        <f t="shared" si="2"/>
        <v>2030</v>
      </c>
      <c r="M16" s="54">
        <f t="shared" si="2"/>
        <v>2031</v>
      </c>
      <c r="N16" s="54">
        <f t="shared" si="2"/>
        <v>2032</v>
      </c>
      <c r="O16" s="54">
        <f t="shared" si="2"/>
        <v>2033</v>
      </c>
      <c r="P16" s="54">
        <f t="shared" si="2"/>
        <v>2034</v>
      </c>
      <c r="Q16" s="54">
        <f t="shared" si="2"/>
        <v>2035</v>
      </c>
      <c r="R16" s="54">
        <f t="shared" si="2"/>
        <v>2036</v>
      </c>
      <c r="S16" s="54">
        <f t="shared" si="2"/>
        <v>2037</v>
      </c>
      <c r="T16" s="54">
        <f t="shared" si="2"/>
        <v>2038</v>
      </c>
      <c r="U16" s="54">
        <f t="shared" si="2"/>
        <v>2039</v>
      </c>
      <c r="V16" s="54">
        <f t="shared" si="2"/>
        <v>2040</v>
      </c>
      <c r="W16" s="54">
        <f t="shared" si="2"/>
        <v>2041</v>
      </c>
      <c r="X16" s="54" t="s">
        <v>518</v>
      </c>
      <c r="Y16" s="54"/>
      <c r="Z16" s="54"/>
      <c r="AA16" s="55" t="s">
        <v>238</v>
      </c>
      <c r="AB16" s="52"/>
      <c r="AC16" s="52"/>
    </row>
    <row r="17" spans="1:29" ht="14.4" customHeight="1" x14ac:dyDescent="0.3">
      <c r="A17" s="102" t="s">
        <v>106</v>
      </c>
      <c r="B17" s="102" t="s">
        <v>452</v>
      </c>
      <c r="C17" s="102" t="s">
        <v>225</v>
      </c>
      <c r="D17" s="103">
        <f t="shared" ref="D17:M20" si="3">IF(ISBLANK($C17),"",VLOOKUP($C17,$C$1:$X$13,D$16-$D$16+2,FALSE))</f>
        <v>0.22119921692859512</v>
      </c>
      <c r="E17" s="103">
        <f t="shared" si="3"/>
        <v>0.37624232795148943</v>
      </c>
      <c r="F17" s="103">
        <f t="shared" si="3"/>
        <v>0.48357361352878442</v>
      </c>
      <c r="G17" s="103">
        <f t="shared" si="3"/>
        <v>0.56716330278444227</v>
      </c>
      <c r="H17" s="103">
        <f t="shared" si="3"/>
        <v>0.64040048266456928</v>
      </c>
      <c r="I17" s="103">
        <f t="shared" si="3"/>
        <v>0.70377511937632964</v>
      </c>
      <c r="J17" s="103">
        <f t="shared" si="3"/>
        <v>0.7580669577441127</v>
      </c>
      <c r="K17" s="103">
        <f t="shared" si="3"/>
        <v>0.80419335000071168</v>
      </c>
      <c r="L17" s="103">
        <f t="shared" si="3"/>
        <v>0.84311022627788457</v>
      </c>
      <c r="M17" s="103">
        <f t="shared" si="3"/>
        <v>0.87575014259103623</v>
      </c>
      <c r="N17" s="103">
        <f t="shared" ref="N17:W20" si="4">IF(ISBLANK($C17),"",VLOOKUP($C17,$C$1:$X$13,N$16-$D$16+2,FALSE))</f>
        <v>0.90298584871682319</v>
      </c>
      <c r="O17" s="103">
        <f t="shared" si="4"/>
        <v>0.92419703797508856</v>
      </c>
      <c r="P17" s="103">
        <f t="shared" si="4"/>
        <v>0.94071632877930145</v>
      </c>
      <c r="Q17" s="103">
        <f t="shared" si="4"/>
        <v>0.95358156539340677</v>
      </c>
      <c r="R17" s="103">
        <f t="shared" si="4"/>
        <v>0.96360102174287088</v>
      </c>
      <c r="S17" s="103">
        <f t="shared" si="4"/>
        <v>0.97140418219378311</v>
      </c>
      <c r="T17" s="103">
        <f t="shared" si="4"/>
        <v>0.97748128966338554</v>
      </c>
      <c r="U17" s="103">
        <f t="shared" si="4"/>
        <v>0.98399999999999999</v>
      </c>
      <c r="V17" s="103">
        <f t="shared" si="4"/>
        <v>0.98899999999999999</v>
      </c>
      <c r="W17" s="103">
        <f t="shared" si="4"/>
        <v>0.996</v>
      </c>
      <c r="X17" s="56">
        <v>0.95</v>
      </c>
      <c r="Y17" s="56"/>
      <c r="Z17" s="56"/>
      <c r="AA17" s="52"/>
      <c r="AB17" s="52"/>
      <c r="AC17" s="52"/>
    </row>
    <row r="18" spans="1:29" ht="14.4" customHeight="1" x14ac:dyDescent="0.3">
      <c r="A18" s="52" t="s">
        <v>34</v>
      </c>
      <c r="B18" s="52" t="s">
        <v>241</v>
      </c>
      <c r="C18" s="52" t="s">
        <v>230</v>
      </c>
      <c r="D18" s="56">
        <f t="shared" si="3"/>
        <v>2.5643970768378654E-3</v>
      </c>
      <c r="E18" s="56">
        <f t="shared" si="3"/>
        <v>5.1260615529385989E-3</v>
      </c>
      <c r="F18" s="56">
        <f t="shared" si="3"/>
        <v>9.1015544176433795E-3</v>
      </c>
      <c r="G18" s="56">
        <f t="shared" si="3"/>
        <v>1.4804925730045659E-2</v>
      </c>
      <c r="H18" s="56">
        <f t="shared" si="3"/>
        <v>2.2471809420486211E-2</v>
      </c>
      <c r="I18" s="56">
        <f t="shared" si="3"/>
        <v>3.2184432813882391E-2</v>
      </c>
      <c r="J18" s="56">
        <f t="shared" si="3"/>
        <v>4.3779667172004086E-2</v>
      </c>
      <c r="K18" s="56">
        <f t="shared" si="3"/>
        <v>5.675426075474499E-2</v>
      </c>
      <c r="L18" s="56">
        <f t="shared" si="3"/>
        <v>7.0195239068707532E-2</v>
      </c>
      <c r="M18" s="56">
        <f t="shared" si="3"/>
        <v>8.2776861842756788E-2</v>
      </c>
      <c r="N18" s="56">
        <f t="shared" si="4"/>
        <v>9.2870259507494834E-2</v>
      </c>
      <c r="O18" s="56">
        <f t="shared" si="4"/>
        <v>9.8796470678915727E-2</v>
      </c>
      <c r="P18" s="56">
        <f t="shared" si="4"/>
        <v>9.9208932889988999E-2</v>
      </c>
      <c r="Q18" s="56">
        <f t="shared" si="4"/>
        <v>9.3521150494244254E-2</v>
      </c>
      <c r="R18" s="56">
        <f t="shared" si="4"/>
        <v>8.2226007896862296E-2</v>
      </c>
      <c r="S18" s="56">
        <f t="shared" si="4"/>
        <v>6.8000000000000005E-2</v>
      </c>
      <c r="T18" s="56">
        <f t="shared" si="4"/>
        <v>5.1999999999999998E-2</v>
      </c>
      <c r="U18" s="56">
        <f t="shared" si="4"/>
        <v>3.5999999999999997E-2</v>
      </c>
      <c r="V18" s="56">
        <f t="shared" si="4"/>
        <v>2.3E-2</v>
      </c>
      <c r="W18" s="56">
        <f t="shared" si="4"/>
        <v>1.4999999999999999E-2</v>
      </c>
      <c r="X18" s="56">
        <v>0.85</v>
      </c>
      <c r="Y18" s="56"/>
      <c r="Z18" s="56"/>
      <c r="AA18" s="52"/>
      <c r="AB18" s="52"/>
      <c r="AC18" s="52"/>
    </row>
    <row r="19" spans="1:29" ht="14.4" customHeight="1" x14ac:dyDescent="0.3">
      <c r="A19" s="52" t="s">
        <v>34</v>
      </c>
      <c r="B19" s="52" t="s">
        <v>242</v>
      </c>
      <c r="C19" s="52" t="s">
        <v>230</v>
      </c>
      <c r="D19" s="56">
        <f t="shared" si="3"/>
        <v>2.5643970768378654E-3</v>
      </c>
      <c r="E19" s="56">
        <f t="shared" si="3"/>
        <v>5.1260615529385989E-3</v>
      </c>
      <c r="F19" s="56">
        <f t="shared" si="3"/>
        <v>9.1015544176433795E-3</v>
      </c>
      <c r="G19" s="56">
        <f t="shared" si="3"/>
        <v>1.4804925730045659E-2</v>
      </c>
      <c r="H19" s="56">
        <f t="shared" si="3"/>
        <v>2.2471809420486211E-2</v>
      </c>
      <c r="I19" s="56">
        <f t="shared" si="3"/>
        <v>3.2184432813882391E-2</v>
      </c>
      <c r="J19" s="56">
        <f t="shared" si="3"/>
        <v>4.3779667172004086E-2</v>
      </c>
      <c r="K19" s="56">
        <f t="shared" si="3"/>
        <v>5.675426075474499E-2</v>
      </c>
      <c r="L19" s="56">
        <f t="shared" si="3"/>
        <v>7.0195239068707532E-2</v>
      </c>
      <c r="M19" s="56">
        <f t="shared" si="3"/>
        <v>8.2776861842756788E-2</v>
      </c>
      <c r="N19" s="56">
        <f t="shared" si="4"/>
        <v>9.2870259507494834E-2</v>
      </c>
      <c r="O19" s="56">
        <f t="shared" si="4"/>
        <v>9.8796470678915727E-2</v>
      </c>
      <c r="P19" s="56">
        <f t="shared" si="4"/>
        <v>9.9208932889988999E-2</v>
      </c>
      <c r="Q19" s="56">
        <f t="shared" si="4"/>
        <v>9.3521150494244254E-2</v>
      </c>
      <c r="R19" s="56">
        <f t="shared" si="4"/>
        <v>8.2226007896862296E-2</v>
      </c>
      <c r="S19" s="56">
        <f t="shared" si="4"/>
        <v>6.8000000000000005E-2</v>
      </c>
      <c r="T19" s="56">
        <f t="shared" si="4"/>
        <v>5.1999999999999998E-2</v>
      </c>
      <c r="U19" s="56">
        <f t="shared" si="4"/>
        <v>3.5999999999999997E-2</v>
      </c>
      <c r="V19" s="56">
        <f t="shared" si="4"/>
        <v>2.3E-2</v>
      </c>
      <c r="W19" s="56">
        <f t="shared" si="4"/>
        <v>1.4999999999999999E-2</v>
      </c>
      <c r="X19" s="56">
        <v>0.85</v>
      </c>
      <c r="Y19" s="56"/>
      <c r="Z19" s="56"/>
      <c r="AA19" s="52"/>
      <c r="AB19" s="52"/>
      <c r="AC19" s="52"/>
    </row>
    <row r="20" spans="1:29" ht="14.4" customHeight="1" x14ac:dyDescent="0.3">
      <c r="A20" s="52" t="s">
        <v>70</v>
      </c>
      <c r="B20" s="52" t="s">
        <v>243</v>
      </c>
      <c r="C20" s="52" t="s">
        <v>228</v>
      </c>
      <c r="D20" s="56">
        <f t="shared" si="3"/>
        <v>0.10937459468255628</v>
      </c>
      <c r="E20" s="56">
        <f t="shared" si="3"/>
        <v>0.10937459468255628</v>
      </c>
      <c r="F20" s="56">
        <f t="shared" si="3"/>
        <v>0.10937459468255628</v>
      </c>
      <c r="G20" s="56">
        <f t="shared" si="3"/>
        <v>0.10937459468255628</v>
      </c>
      <c r="H20" s="56">
        <f t="shared" si="3"/>
        <v>0.10937459468255628</v>
      </c>
      <c r="I20" s="56">
        <f t="shared" si="3"/>
        <v>9.8437135214300656E-2</v>
      </c>
      <c r="J20" s="56">
        <f t="shared" si="3"/>
        <v>7.874970817144053E-2</v>
      </c>
      <c r="K20" s="56">
        <f t="shared" si="3"/>
        <v>6.2999766537152418E-2</v>
      </c>
      <c r="L20" s="56">
        <f t="shared" si="3"/>
        <v>5.0399813229721938E-2</v>
      </c>
      <c r="M20" s="56">
        <f t="shared" si="3"/>
        <v>4.0319850583777551E-2</v>
      </c>
      <c r="N20" s="56">
        <f t="shared" si="4"/>
        <v>3.225588046702204E-2</v>
      </c>
      <c r="O20" s="56">
        <f t="shared" si="4"/>
        <v>2.5804704373617631E-2</v>
      </c>
      <c r="P20" s="56">
        <f t="shared" si="4"/>
        <v>2.0643763498894106E-2</v>
      </c>
      <c r="Q20" s="56">
        <f t="shared" si="4"/>
        <v>1.6515010799115284E-2</v>
      </c>
      <c r="R20" s="56">
        <f t="shared" si="4"/>
        <v>1.3212008639292228E-2</v>
      </c>
      <c r="S20" s="56">
        <f t="shared" si="4"/>
        <v>1.0569606911433781E-2</v>
      </c>
      <c r="T20" s="56">
        <f t="shared" si="4"/>
        <v>7.2092823794611682E-5</v>
      </c>
      <c r="U20" s="56">
        <f t="shared" si="4"/>
        <v>2.5747437069512102E-5</v>
      </c>
      <c r="V20" s="56">
        <f t="shared" si="4"/>
        <v>8.7775353646568632E-6</v>
      </c>
      <c r="W20" s="56">
        <f t="shared" si="4"/>
        <v>2.8622397928446119E-6</v>
      </c>
      <c r="X20" s="56">
        <v>0.85</v>
      </c>
      <c r="Y20" s="56"/>
      <c r="Z20" s="56"/>
      <c r="AA20" s="52"/>
      <c r="AB20" s="52"/>
      <c r="AC20" s="52"/>
    </row>
    <row r="21" spans="1:29" ht="14.4" customHeight="1" x14ac:dyDescent="0.3">
      <c r="A21" s="52"/>
      <c r="B21" s="52"/>
      <c r="C21" s="52"/>
      <c r="D21" s="56"/>
      <c r="E21" s="56"/>
      <c r="F21" s="56"/>
      <c r="G21" s="56"/>
      <c r="H21" s="56"/>
      <c r="I21" s="56"/>
      <c r="J21" s="56"/>
      <c r="K21" s="56"/>
      <c r="L21" s="56"/>
      <c r="M21" s="56"/>
      <c r="N21" s="56"/>
      <c r="O21" s="56"/>
      <c r="P21" s="56"/>
      <c r="Q21" s="56"/>
      <c r="R21" s="56"/>
      <c r="S21" s="56"/>
      <c r="T21" s="56"/>
      <c r="U21" s="56"/>
      <c r="V21" s="56"/>
      <c r="W21" s="56"/>
      <c r="X21" s="56"/>
      <c r="Y21" s="56"/>
      <c r="Z21" s="56"/>
      <c r="AA21" s="52"/>
      <c r="AB21" s="52"/>
      <c r="AC21" s="52"/>
    </row>
    <row r="22" spans="1:29" ht="14.4" customHeight="1" x14ac:dyDescent="0.3">
      <c r="A22" s="102" t="s">
        <v>56</v>
      </c>
      <c r="B22" s="102" t="s">
        <v>263</v>
      </c>
      <c r="C22" s="102" t="s">
        <v>223</v>
      </c>
      <c r="D22" s="103">
        <f t="shared" ref="D22:M25" si="5">IF(ISBLANK($C22),"",VLOOKUP($C22,$C$1:$X$13,D$16-$D$16+2,FALSE))</f>
        <v>5.0000000000000001E-3</v>
      </c>
      <c r="E22" s="103">
        <f t="shared" si="5"/>
        <v>7.6904586297764643E-3</v>
      </c>
      <c r="F22" s="103">
        <f t="shared" si="5"/>
        <v>1.6792013047419844E-2</v>
      </c>
      <c r="G22" s="103">
        <f t="shared" si="5"/>
        <v>3.15969387774655E-2</v>
      </c>
      <c r="H22" s="103">
        <f t="shared" si="5"/>
        <v>5.406874819795171E-2</v>
      </c>
      <c r="I22" s="103">
        <f t="shared" si="5"/>
        <v>8.6253181011834101E-2</v>
      </c>
      <c r="J22" s="103">
        <f t="shared" si="5"/>
        <v>0.1300328481838382</v>
      </c>
      <c r="K22" s="103">
        <f t="shared" si="5"/>
        <v>0.18678710893858319</v>
      </c>
      <c r="L22" s="103">
        <f t="shared" si="5"/>
        <v>0.2569823480072907</v>
      </c>
      <c r="M22" s="103">
        <f t="shared" si="5"/>
        <v>0.33975920985004748</v>
      </c>
      <c r="N22" s="103">
        <f t="shared" ref="N22:W25" si="6">IF(ISBLANK($C22),"",VLOOKUP($C22,$C$1:$X$13,N$16-$D$16+2,FALSE))</f>
        <v>0.43262946935754232</v>
      </c>
      <c r="O22" s="103">
        <f t="shared" si="6"/>
        <v>0.53142594003645804</v>
      </c>
      <c r="P22" s="103">
        <f t="shared" si="6"/>
        <v>0.63063487292644704</v>
      </c>
      <c r="Q22" s="103">
        <f t="shared" si="6"/>
        <v>0.7241560234206913</v>
      </c>
      <c r="R22" s="103">
        <f t="shared" si="6"/>
        <v>0.80638203131755359</v>
      </c>
      <c r="S22" s="103">
        <f t="shared" si="6"/>
        <v>0.87331559734491926</v>
      </c>
      <c r="T22" s="103">
        <f t="shared" si="6"/>
        <v>0.92334516248836807</v>
      </c>
      <c r="U22" s="103">
        <f t="shared" si="6"/>
        <v>0.96</v>
      </c>
      <c r="V22" s="103">
        <f t="shared" si="6"/>
        <v>0.98</v>
      </c>
      <c r="W22" s="103">
        <f t="shared" si="6"/>
        <v>0.996</v>
      </c>
      <c r="X22" s="56">
        <v>0.85</v>
      </c>
      <c r="Y22" s="56"/>
      <c r="Z22" s="56"/>
      <c r="AA22" s="52"/>
      <c r="AB22" s="52"/>
      <c r="AC22" s="52"/>
    </row>
    <row r="23" spans="1:29" ht="14.4" customHeight="1" x14ac:dyDescent="0.3">
      <c r="A23" s="52" t="s">
        <v>115</v>
      </c>
      <c r="B23" s="52" t="s">
        <v>240</v>
      </c>
      <c r="C23" s="102" t="s">
        <v>235</v>
      </c>
      <c r="D23" s="103">
        <f>IF(ISBLANK($C23),"",VLOOKUP($C23,$C$1:$X$14,D$16-$D$16+2,FALSE))</f>
        <v>5.5320496977002724E-3</v>
      </c>
      <c r="E23" s="103">
        <f t="shared" ref="E23:W23" si="7">IF(ISBLANK($C23),"",VLOOKUP($C23,$C$1:$X$14,E$16-$D$16+2,FALSE))</f>
        <v>8.6958686465615706E-3</v>
      </c>
      <c r="F23" s="103">
        <f t="shared" si="7"/>
        <v>1.7391737293123145E-2</v>
      </c>
      <c r="G23" s="103">
        <f t="shared" si="7"/>
        <v>3.0435540262965514E-2</v>
      </c>
      <c r="H23" s="103">
        <f t="shared" si="7"/>
        <v>4.7344173742390784E-2</v>
      </c>
      <c r="I23" s="103">
        <f t="shared" si="7"/>
        <v>6.6281843239347063E-2</v>
      </c>
      <c r="J23" s="103">
        <f t="shared" si="7"/>
        <v>8.4358709577350838E-2</v>
      </c>
      <c r="K23" s="103">
        <f t="shared" si="7"/>
        <v>9.8418494506909315E-2</v>
      </c>
      <c r="L23" s="103">
        <f t="shared" si="7"/>
        <v>0.10598914793051767</v>
      </c>
      <c r="M23" s="103">
        <f t="shared" si="7"/>
        <v>0.10598914793051767</v>
      </c>
      <c r="N23" s="103">
        <f t="shared" si="7"/>
        <v>9.8923204735149928E-2</v>
      </c>
      <c r="O23" s="103">
        <f t="shared" si="7"/>
        <v>8.655780414325609E-2</v>
      </c>
      <c r="P23" s="103">
        <f t="shared" si="7"/>
        <v>7.1282897529740263E-2</v>
      </c>
      <c r="Q23" s="103">
        <f t="shared" si="7"/>
        <v>5.5442253634242489E-2</v>
      </c>
      <c r="R23" s="103">
        <f t="shared" si="7"/>
        <v>4.0852186888389319E-2</v>
      </c>
      <c r="S23" s="103">
        <f t="shared" si="7"/>
        <v>2.8596530821872412E-2</v>
      </c>
      <c r="T23" s="103">
        <f t="shared" si="7"/>
        <v>1.9064353881248275E-2</v>
      </c>
      <c r="U23" s="103">
        <f t="shared" si="7"/>
        <v>1.2131861560794377E-2</v>
      </c>
      <c r="V23" s="103">
        <f t="shared" si="7"/>
        <v>7.3846113848314854E-3</v>
      </c>
      <c r="W23" s="103">
        <f t="shared" si="7"/>
        <v>5.0000000000000001E-3</v>
      </c>
      <c r="X23" s="56">
        <v>0.85</v>
      </c>
      <c r="Y23" s="56"/>
      <c r="Z23" s="56"/>
      <c r="AA23" s="52"/>
      <c r="AB23" s="52"/>
      <c r="AC23" s="52"/>
    </row>
    <row r="24" spans="1:29" ht="14.4" customHeight="1" x14ac:dyDescent="0.3">
      <c r="A24" s="102" t="s">
        <v>409</v>
      </c>
      <c r="B24" s="102" t="s">
        <v>382</v>
      </c>
      <c r="C24" s="102" t="s">
        <v>222</v>
      </c>
      <c r="D24" s="103">
        <f t="shared" si="5"/>
        <v>4.2999999999999997E-2</v>
      </c>
      <c r="E24" s="103">
        <f t="shared" si="5"/>
        <v>9.5797142280278316E-2</v>
      </c>
      <c r="F24" s="103">
        <f t="shared" si="5"/>
        <v>0.16040539374775648</v>
      </c>
      <c r="G24" s="103">
        <f t="shared" si="5"/>
        <v>0.23540539374775649</v>
      </c>
      <c r="H24" s="103">
        <f t="shared" si="5"/>
        <v>0.32095239121809005</v>
      </c>
      <c r="I24" s="103">
        <f t="shared" si="5"/>
        <v>0.42096711425629652</v>
      </c>
      <c r="J24" s="103">
        <f t="shared" si="5"/>
        <v>0.53068481860864725</v>
      </c>
      <c r="K24" s="103">
        <f t="shared" si="5"/>
        <v>0.642769203728351</v>
      </c>
      <c r="L24" s="103">
        <f t="shared" si="5"/>
        <v>0.74839528535557953</v>
      </c>
      <c r="M24" s="103">
        <f t="shared" si="5"/>
        <v>0.83918984935345187</v>
      </c>
      <c r="N24" s="103">
        <f t="shared" si="6"/>
        <v>0.90945051634530116</v>
      </c>
      <c r="O24" s="103">
        <f t="shared" si="6"/>
        <v>0.9576688767502457</v>
      </c>
      <c r="P24" s="103">
        <f t="shared" si="6"/>
        <v>0.9865231113648858</v>
      </c>
      <c r="Q24" s="103">
        <f t="shared" si="6"/>
        <v>1</v>
      </c>
      <c r="R24" s="103">
        <f t="shared" si="6"/>
        <v>1</v>
      </c>
      <c r="S24" s="103">
        <f t="shared" si="6"/>
        <v>1</v>
      </c>
      <c r="T24" s="103">
        <f t="shared" si="6"/>
        <v>1</v>
      </c>
      <c r="U24" s="103">
        <f t="shared" si="6"/>
        <v>1</v>
      </c>
      <c r="V24" s="103">
        <f t="shared" si="6"/>
        <v>1</v>
      </c>
      <c r="W24" s="103">
        <f t="shared" si="6"/>
        <v>1</v>
      </c>
      <c r="X24" s="56">
        <v>0.85</v>
      </c>
      <c r="Y24" s="88"/>
      <c r="Z24" s="69"/>
      <c r="AA24" s="88"/>
      <c r="AB24" s="88"/>
      <c r="AC24" s="88"/>
    </row>
    <row r="25" spans="1:29" ht="14.4" customHeight="1" x14ac:dyDescent="0.3">
      <c r="A25" s="102" t="s">
        <v>56</v>
      </c>
      <c r="B25" s="102" t="s">
        <v>414</v>
      </c>
      <c r="C25" s="102" t="s">
        <v>229</v>
      </c>
      <c r="D25" s="103">
        <f t="shared" si="5"/>
        <v>4.2999999999999997E-2</v>
      </c>
      <c r="E25" s="103">
        <f t="shared" si="5"/>
        <v>5.279714228027832E-2</v>
      </c>
      <c r="F25" s="103">
        <f t="shared" si="5"/>
        <v>6.4608251467478173E-2</v>
      </c>
      <c r="G25" s="103">
        <f t="shared" si="5"/>
        <v>7.4999999999999997E-2</v>
      </c>
      <c r="H25" s="103">
        <f t="shared" si="5"/>
        <v>8.5546997470333563E-2</v>
      </c>
      <c r="I25" s="103">
        <f t="shared" si="5"/>
        <v>0.10001472303820647</v>
      </c>
      <c r="J25" s="103">
        <f t="shared" si="5"/>
        <v>0.10971770435235073</v>
      </c>
      <c r="K25" s="103">
        <f t="shared" si="5"/>
        <v>0.11208438511970376</v>
      </c>
      <c r="L25" s="103">
        <f t="shared" si="5"/>
        <v>0.10562608162722853</v>
      </c>
      <c r="M25" s="103">
        <f t="shared" si="5"/>
        <v>9.0794563997872335E-2</v>
      </c>
      <c r="N25" s="103">
        <f t="shared" si="6"/>
        <v>7.0260666991849297E-2</v>
      </c>
      <c r="O25" s="103">
        <f t="shared" si="6"/>
        <v>4.65E-2</v>
      </c>
      <c r="P25" s="103">
        <f t="shared" si="6"/>
        <v>2.7E-2</v>
      </c>
      <c r="Q25" s="103">
        <f t="shared" si="6"/>
        <v>1.2999999999999999E-2</v>
      </c>
      <c r="R25" s="103">
        <f t="shared" si="6"/>
        <v>5.4999999999999997E-3</v>
      </c>
      <c r="S25" s="103">
        <f t="shared" si="6"/>
        <v>2E-3</v>
      </c>
      <c r="T25" s="103">
        <f t="shared" si="6"/>
        <v>6.2471001963848583E-4</v>
      </c>
      <c r="U25" s="103">
        <f t="shared" si="6"/>
        <v>1.3615841889635938E-4</v>
      </c>
      <c r="V25" s="103">
        <f t="shared" si="6"/>
        <v>2.2380636622298944E-5</v>
      </c>
      <c r="W25" s="103">
        <f t="shared" si="6"/>
        <v>2.68643837586513E-6</v>
      </c>
      <c r="X25" s="56">
        <v>0.85</v>
      </c>
      <c r="Y25" s="52"/>
      <c r="Z25" s="56"/>
      <c r="AA25" s="52"/>
      <c r="AB25" s="52"/>
      <c r="AC25" s="52"/>
    </row>
    <row r="26" spans="1:29" ht="14.4" customHeight="1" x14ac:dyDescent="0.3">
      <c r="A26" s="70" t="s">
        <v>34</v>
      </c>
      <c r="B26" s="70" t="s">
        <v>239</v>
      </c>
      <c r="C26" s="70" t="s">
        <v>446</v>
      </c>
      <c r="D26" s="123"/>
      <c r="E26" s="123"/>
      <c r="F26" s="123"/>
      <c r="G26" s="123"/>
      <c r="H26" s="123"/>
      <c r="I26" s="123"/>
      <c r="J26" s="123"/>
      <c r="K26" s="123"/>
      <c r="L26" s="123"/>
      <c r="M26" s="123"/>
      <c r="N26" s="123"/>
      <c r="O26" s="123"/>
      <c r="P26" s="123"/>
      <c r="Q26" s="123"/>
      <c r="R26" s="123"/>
      <c r="S26" s="123"/>
      <c r="T26" s="123"/>
      <c r="U26" s="123"/>
      <c r="V26" s="123"/>
      <c r="W26" s="123"/>
      <c r="X26" s="56"/>
      <c r="Y26" s="56"/>
      <c r="Z26" s="56"/>
      <c r="AA26" s="52"/>
      <c r="AB26" s="52"/>
      <c r="AC26" s="52"/>
    </row>
    <row r="27" spans="1:29" ht="14.4" customHeight="1" x14ac:dyDescent="0.3">
      <c r="A27" s="102" t="s">
        <v>34</v>
      </c>
      <c r="B27" s="102" t="s">
        <v>386</v>
      </c>
      <c r="C27" s="102" t="str">
        <f>'[3]Overlap&amp;RampRate'!A3</f>
        <v>RetroEven20</v>
      </c>
      <c r="D27" s="56">
        <f t="shared" ref="D27:M40" si="8">IF(ISBLANK($C27),"",VLOOKUP($C27,$C$1:$X$13,D$16-$D$16+2,FALSE))</f>
        <v>0.05</v>
      </c>
      <c r="E27" s="56">
        <f t="shared" si="8"/>
        <v>0.05</v>
      </c>
      <c r="F27" s="56">
        <f t="shared" si="8"/>
        <v>0.05</v>
      </c>
      <c r="G27" s="56">
        <f t="shared" si="8"/>
        <v>0.05</v>
      </c>
      <c r="H27" s="56">
        <f t="shared" si="8"/>
        <v>0.05</v>
      </c>
      <c r="I27" s="56">
        <f t="shared" si="8"/>
        <v>0.05</v>
      </c>
      <c r="J27" s="56">
        <f t="shared" si="8"/>
        <v>0.05</v>
      </c>
      <c r="K27" s="56">
        <f t="shared" si="8"/>
        <v>0.05</v>
      </c>
      <c r="L27" s="56">
        <f t="shared" si="8"/>
        <v>0.05</v>
      </c>
      <c r="M27" s="56">
        <f t="shared" si="8"/>
        <v>0.05</v>
      </c>
      <c r="N27" s="56">
        <f t="shared" ref="N27:W40" si="9">IF(ISBLANK($C27),"",VLOOKUP($C27,$C$1:$X$13,N$16-$D$16+2,FALSE))</f>
        <v>0.05</v>
      </c>
      <c r="O27" s="56">
        <f t="shared" si="9"/>
        <v>0.05</v>
      </c>
      <c r="P27" s="56">
        <f t="shared" si="9"/>
        <v>0.05</v>
      </c>
      <c r="Q27" s="56">
        <f t="shared" si="9"/>
        <v>0.05</v>
      </c>
      <c r="R27" s="56">
        <f t="shared" si="9"/>
        <v>0.05</v>
      </c>
      <c r="S27" s="56">
        <f t="shared" si="9"/>
        <v>0.05</v>
      </c>
      <c r="T27" s="56">
        <f t="shared" si="9"/>
        <v>0.05</v>
      </c>
      <c r="U27" s="56">
        <f t="shared" si="9"/>
        <v>0.05</v>
      </c>
      <c r="V27" s="56">
        <f t="shared" si="9"/>
        <v>0.05</v>
      </c>
      <c r="W27" s="56">
        <f t="shared" si="9"/>
        <v>0.05</v>
      </c>
      <c r="X27" s="56">
        <v>0.85</v>
      </c>
      <c r="Y27" s="52"/>
      <c r="Z27" s="56"/>
      <c r="AA27" s="52"/>
      <c r="AB27" s="52"/>
      <c r="AC27" s="52"/>
    </row>
    <row r="28" spans="1:29" ht="14.4" customHeight="1" x14ac:dyDescent="0.3">
      <c r="A28" s="102" t="s">
        <v>34</v>
      </c>
      <c r="B28" s="102" t="s">
        <v>387</v>
      </c>
      <c r="C28" s="102" t="str">
        <f>'[3]Overlap&amp;RampRate'!A4</f>
        <v>RetroEven20</v>
      </c>
      <c r="D28" s="56">
        <f t="shared" si="8"/>
        <v>0.05</v>
      </c>
      <c r="E28" s="56">
        <f t="shared" si="8"/>
        <v>0.05</v>
      </c>
      <c r="F28" s="56">
        <f t="shared" si="8"/>
        <v>0.05</v>
      </c>
      <c r="G28" s="56">
        <f t="shared" si="8"/>
        <v>0.05</v>
      </c>
      <c r="H28" s="56">
        <f t="shared" si="8"/>
        <v>0.05</v>
      </c>
      <c r="I28" s="56">
        <f t="shared" si="8"/>
        <v>0.05</v>
      </c>
      <c r="J28" s="56">
        <f t="shared" si="8"/>
        <v>0.05</v>
      </c>
      <c r="K28" s="56">
        <f t="shared" si="8"/>
        <v>0.05</v>
      </c>
      <c r="L28" s="56">
        <f t="shared" si="8"/>
        <v>0.05</v>
      </c>
      <c r="M28" s="56">
        <f t="shared" si="8"/>
        <v>0.05</v>
      </c>
      <c r="N28" s="56">
        <f t="shared" si="9"/>
        <v>0.05</v>
      </c>
      <c r="O28" s="56">
        <f t="shared" si="9"/>
        <v>0.05</v>
      </c>
      <c r="P28" s="56">
        <f t="shared" si="9"/>
        <v>0.05</v>
      </c>
      <c r="Q28" s="56">
        <f t="shared" si="9"/>
        <v>0.05</v>
      </c>
      <c r="R28" s="56">
        <f t="shared" si="9"/>
        <v>0.05</v>
      </c>
      <c r="S28" s="56">
        <f t="shared" si="9"/>
        <v>0.05</v>
      </c>
      <c r="T28" s="56">
        <f t="shared" si="9"/>
        <v>0.05</v>
      </c>
      <c r="U28" s="56">
        <f t="shared" si="9"/>
        <v>0.05</v>
      </c>
      <c r="V28" s="56">
        <f t="shared" si="9"/>
        <v>0.05</v>
      </c>
      <c r="W28" s="56">
        <f t="shared" si="9"/>
        <v>0.05</v>
      </c>
      <c r="X28" s="56">
        <v>0.85</v>
      </c>
      <c r="Y28" s="52"/>
      <c r="Z28" s="56"/>
      <c r="AA28" s="52"/>
      <c r="AB28" s="52"/>
      <c r="AC28" s="52"/>
    </row>
    <row r="29" spans="1:29" ht="14.4" customHeight="1" x14ac:dyDescent="0.3">
      <c r="A29" s="102" t="s">
        <v>34</v>
      </c>
      <c r="B29" s="102" t="s">
        <v>388</v>
      </c>
      <c r="C29" s="102" t="str">
        <f>'[3]Overlap&amp;RampRate'!A5</f>
        <v>RetroEven20</v>
      </c>
      <c r="D29" s="56">
        <f t="shared" si="8"/>
        <v>0.05</v>
      </c>
      <c r="E29" s="56">
        <f t="shared" si="8"/>
        <v>0.05</v>
      </c>
      <c r="F29" s="56">
        <f t="shared" si="8"/>
        <v>0.05</v>
      </c>
      <c r="G29" s="56">
        <f t="shared" si="8"/>
        <v>0.05</v>
      </c>
      <c r="H29" s="56">
        <f t="shared" si="8"/>
        <v>0.05</v>
      </c>
      <c r="I29" s="56">
        <f t="shared" si="8"/>
        <v>0.05</v>
      </c>
      <c r="J29" s="56">
        <f t="shared" si="8"/>
        <v>0.05</v>
      </c>
      <c r="K29" s="56">
        <f t="shared" si="8"/>
        <v>0.05</v>
      </c>
      <c r="L29" s="56">
        <f t="shared" si="8"/>
        <v>0.05</v>
      </c>
      <c r="M29" s="56">
        <f t="shared" si="8"/>
        <v>0.05</v>
      </c>
      <c r="N29" s="56">
        <f t="shared" si="9"/>
        <v>0.05</v>
      </c>
      <c r="O29" s="56">
        <f t="shared" si="9"/>
        <v>0.05</v>
      </c>
      <c r="P29" s="56">
        <f t="shared" si="9"/>
        <v>0.05</v>
      </c>
      <c r="Q29" s="56">
        <f t="shared" si="9"/>
        <v>0.05</v>
      </c>
      <c r="R29" s="56">
        <f t="shared" si="9"/>
        <v>0.05</v>
      </c>
      <c r="S29" s="56">
        <f t="shared" si="9"/>
        <v>0.05</v>
      </c>
      <c r="T29" s="56">
        <f t="shared" si="9"/>
        <v>0.05</v>
      </c>
      <c r="U29" s="56">
        <f t="shared" si="9"/>
        <v>0.05</v>
      </c>
      <c r="V29" s="56">
        <f t="shared" si="9"/>
        <v>0.05</v>
      </c>
      <c r="W29" s="56">
        <f t="shared" si="9"/>
        <v>0.05</v>
      </c>
      <c r="X29" s="56">
        <v>0.85</v>
      </c>
      <c r="Y29" s="52"/>
      <c r="Z29" s="56"/>
      <c r="AA29" s="52"/>
      <c r="AB29" s="52"/>
      <c r="AC29" s="52"/>
    </row>
    <row r="30" spans="1:29" ht="14.4" customHeight="1" x14ac:dyDescent="0.3">
      <c r="A30" s="102" t="s">
        <v>34</v>
      </c>
      <c r="B30" s="102" t="s">
        <v>389</v>
      </c>
      <c r="C30" s="102" t="str">
        <f>'[3]Overlap&amp;RampRate'!A6</f>
        <v>RetroEven20</v>
      </c>
      <c r="D30" s="56">
        <f t="shared" si="8"/>
        <v>0.05</v>
      </c>
      <c r="E30" s="56">
        <f t="shared" si="8"/>
        <v>0.05</v>
      </c>
      <c r="F30" s="56">
        <f t="shared" si="8"/>
        <v>0.05</v>
      </c>
      <c r="G30" s="56">
        <f t="shared" si="8"/>
        <v>0.05</v>
      </c>
      <c r="H30" s="56">
        <f t="shared" si="8"/>
        <v>0.05</v>
      </c>
      <c r="I30" s="56">
        <f t="shared" si="8"/>
        <v>0.05</v>
      </c>
      <c r="J30" s="56">
        <f t="shared" si="8"/>
        <v>0.05</v>
      </c>
      <c r="K30" s="56">
        <f t="shared" si="8"/>
        <v>0.05</v>
      </c>
      <c r="L30" s="56">
        <f t="shared" si="8"/>
        <v>0.05</v>
      </c>
      <c r="M30" s="56">
        <f t="shared" si="8"/>
        <v>0.05</v>
      </c>
      <c r="N30" s="56">
        <f t="shared" si="9"/>
        <v>0.05</v>
      </c>
      <c r="O30" s="56">
        <f t="shared" si="9"/>
        <v>0.05</v>
      </c>
      <c r="P30" s="56">
        <f t="shared" si="9"/>
        <v>0.05</v>
      </c>
      <c r="Q30" s="56">
        <f t="shared" si="9"/>
        <v>0.05</v>
      </c>
      <c r="R30" s="56">
        <f t="shared" si="9"/>
        <v>0.05</v>
      </c>
      <c r="S30" s="56">
        <f t="shared" si="9"/>
        <v>0.05</v>
      </c>
      <c r="T30" s="56">
        <f t="shared" si="9"/>
        <v>0.05</v>
      </c>
      <c r="U30" s="56">
        <f t="shared" si="9"/>
        <v>0.05</v>
      </c>
      <c r="V30" s="56">
        <f t="shared" si="9"/>
        <v>0.05</v>
      </c>
      <c r="W30" s="56">
        <f t="shared" si="9"/>
        <v>0.05</v>
      </c>
      <c r="X30" s="56">
        <v>0.85</v>
      </c>
      <c r="Y30" s="52"/>
      <c r="Z30" s="56"/>
      <c r="AA30" s="52"/>
      <c r="AB30" s="52"/>
      <c r="AC30" s="52"/>
    </row>
    <row r="31" spans="1:29" ht="14.4" customHeight="1" x14ac:dyDescent="0.3">
      <c r="A31" s="102" t="s">
        <v>34</v>
      </c>
      <c r="B31" s="102" t="s">
        <v>390</v>
      </c>
      <c r="C31" s="102" t="str">
        <f>'[3]Overlap&amp;RampRate'!A7</f>
        <v>RetroEven20</v>
      </c>
      <c r="D31" s="56">
        <f t="shared" si="8"/>
        <v>0.05</v>
      </c>
      <c r="E31" s="56">
        <f t="shared" si="8"/>
        <v>0.05</v>
      </c>
      <c r="F31" s="56">
        <f t="shared" si="8"/>
        <v>0.05</v>
      </c>
      <c r="G31" s="56">
        <f t="shared" si="8"/>
        <v>0.05</v>
      </c>
      <c r="H31" s="56">
        <f t="shared" si="8"/>
        <v>0.05</v>
      </c>
      <c r="I31" s="56">
        <f t="shared" si="8"/>
        <v>0.05</v>
      </c>
      <c r="J31" s="56">
        <f t="shared" si="8"/>
        <v>0.05</v>
      </c>
      <c r="K31" s="56">
        <f t="shared" si="8"/>
        <v>0.05</v>
      </c>
      <c r="L31" s="56">
        <f t="shared" si="8"/>
        <v>0.05</v>
      </c>
      <c r="M31" s="56">
        <f t="shared" si="8"/>
        <v>0.05</v>
      </c>
      <c r="N31" s="56">
        <f t="shared" si="9"/>
        <v>0.05</v>
      </c>
      <c r="O31" s="56">
        <f t="shared" si="9"/>
        <v>0.05</v>
      </c>
      <c r="P31" s="56">
        <f t="shared" si="9"/>
        <v>0.05</v>
      </c>
      <c r="Q31" s="56">
        <f t="shared" si="9"/>
        <v>0.05</v>
      </c>
      <c r="R31" s="56">
        <f t="shared" si="9"/>
        <v>0.05</v>
      </c>
      <c r="S31" s="56">
        <f t="shared" si="9"/>
        <v>0.05</v>
      </c>
      <c r="T31" s="56">
        <f t="shared" si="9"/>
        <v>0.05</v>
      </c>
      <c r="U31" s="56">
        <f t="shared" si="9"/>
        <v>0.05</v>
      </c>
      <c r="V31" s="56">
        <f t="shared" si="9"/>
        <v>0.05</v>
      </c>
      <c r="W31" s="56">
        <f t="shared" si="9"/>
        <v>0.05</v>
      </c>
      <c r="X31" s="56">
        <v>0.85</v>
      </c>
      <c r="Y31" s="52"/>
      <c r="Z31" s="56"/>
      <c r="AA31" s="52"/>
      <c r="AB31" s="52"/>
      <c r="AC31" s="52"/>
    </row>
    <row r="32" spans="1:29" ht="14.4" customHeight="1" x14ac:dyDescent="0.3">
      <c r="A32" s="102" t="s">
        <v>34</v>
      </c>
      <c r="B32" s="102" t="s">
        <v>391</v>
      </c>
      <c r="C32" s="102" t="str">
        <f>'[3]Overlap&amp;RampRate'!A8</f>
        <v>RetroEven20</v>
      </c>
      <c r="D32" s="56">
        <f t="shared" si="8"/>
        <v>0.05</v>
      </c>
      <c r="E32" s="56">
        <f t="shared" si="8"/>
        <v>0.05</v>
      </c>
      <c r="F32" s="56">
        <f t="shared" si="8"/>
        <v>0.05</v>
      </c>
      <c r="G32" s="56">
        <f t="shared" si="8"/>
        <v>0.05</v>
      </c>
      <c r="H32" s="56">
        <f t="shared" si="8"/>
        <v>0.05</v>
      </c>
      <c r="I32" s="56">
        <f t="shared" si="8"/>
        <v>0.05</v>
      </c>
      <c r="J32" s="56">
        <f t="shared" si="8"/>
        <v>0.05</v>
      </c>
      <c r="K32" s="56">
        <f t="shared" si="8"/>
        <v>0.05</v>
      </c>
      <c r="L32" s="56">
        <f t="shared" si="8"/>
        <v>0.05</v>
      </c>
      <c r="M32" s="56">
        <f t="shared" si="8"/>
        <v>0.05</v>
      </c>
      <c r="N32" s="56">
        <f t="shared" si="9"/>
        <v>0.05</v>
      </c>
      <c r="O32" s="56">
        <f t="shared" si="9"/>
        <v>0.05</v>
      </c>
      <c r="P32" s="56">
        <f t="shared" si="9"/>
        <v>0.05</v>
      </c>
      <c r="Q32" s="56">
        <f t="shared" si="9"/>
        <v>0.05</v>
      </c>
      <c r="R32" s="56">
        <f t="shared" si="9"/>
        <v>0.05</v>
      </c>
      <c r="S32" s="56">
        <f t="shared" si="9"/>
        <v>0.05</v>
      </c>
      <c r="T32" s="56">
        <f t="shared" si="9"/>
        <v>0.05</v>
      </c>
      <c r="U32" s="56">
        <f t="shared" si="9"/>
        <v>0.05</v>
      </c>
      <c r="V32" s="56">
        <f t="shared" si="9"/>
        <v>0.05</v>
      </c>
      <c r="W32" s="56">
        <f t="shared" si="9"/>
        <v>0.05</v>
      </c>
      <c r="X32" s="56">
        <v>0.85</v>
      </c>
      <c r="Y32" s="52"/>
      <c r="Z32" s="56"/>
      <c r="AA32" s="52"/>
      <c r="AB32" s="52"/>
      <c r="AC32" s="52"/>
    </row>
    <row r="33" spans="1:29" ht="14.4" customHeight="1" x14ac:dyDescent="0.3">
      <c r="A33" s="102" t="s">
        <v>34</v>
      </c>
      <c r="B33" s="102" t="s">
        <v>392</v>
      </c>
      <c r="C33" s="102" t="str">
        <f>'[3]Overlap&amp;RampRate'!A9</f>
        <v>RetroEven20</v>
      </c>
      <c r="D33" s="56">
        <f t="shared" si="8"/>
        <v>0.05</v>
      </c>
      <c r="E33" s="56">
        <f t="shared" si="8"/>
        <v>0.05</v>
      </c>
      <c r="F33" s="56">
        <f t="shared" si="8"/>
        <v>0.05</v>
      </c>
      <c r="G33" s="56">
        <f t="shared" si="8"/>
        <v>0.05</v>
      </c>
      <c r="H33" s="56">
        <f t="shared" si="8"/>
        <v>0.05</v>
      </c>
      <c r="I33" s="56">
        <f t="shared" si="8"/>
        <v>0.05</v>
      </c>
      <c r="J33" s="56">
        <f t="shared" si="8"/>
        <v>0.05</v>
      </c>
      <c r="K33" s="56">
        <f t="shared" si="8"/>
        <v>0.05</v>
      </c>
      <c r="L33" s="56">
        <f t="shared" si="8"/>
        <v>0.05</v>
      </c>
      <c r="M33" s="56">
        <f t="shared" si="8"/>
        <v>0.05</v>
      </c>
      <c r="N33" s="56">
        <f t="shared" si="9"/>
        <v>0.05</v>
      </c>
      <c r="O33" s="56">
        <f t="shared" si="9"/>
        <v>0.05</v>
      </c>
      <c r="P33" s="56">
        <f t="shared" si="9"/>
        <v>0.05</v>
      </c>
      <c r="Q33" s="56">
        <f t="shared" si="9"/>
        <v>0.05</v>
      </c>
      <c r="R33" s="56">
        <f t="shared" si="9"/>
        <v>0.05</v>
      </c>
      <c r="S33" s="56">
        <f t="shared" si="9"/>
        <v>0.05</v>
      </c>
      <c r="T33" s="56">
        <f t="shared" si="9"/>
        <v>0.05</v>
      </c>
      <c r="U33" s="56">
        <f t="shared" si="9"/>
        <v>0.05</v>
      </c>
      <c r="V33" s="56">
        <f t="shared" si="9"/>
        <v>0.05</v>
      </c>
      <c r="W33" s="56">
        <f t="shared" si="9"/>
        <v>0.05</v>
      </c>
      <c r="X33" s="56">
        <v>0.85</v>
      </c>
      <c r="Y33" s="52"/>
      <c r="Z33" s="56"/>
      <c r="AA33" s="52"/>
      <c r="AB33" s="52"/>
      <c r="AC33" s="52"/>
    </row>
    <row r="34" spans="1:29" ht="14.4" customHeight="1" x14ac:dyDescent="0.3">
      <c r="A34" s="102" t="s">
        <v>34</v>
      </c>
      <c r="B34" s="102" t="s">
        <v>393</v>
      </c>
      <c r="C34" s="102" t="str">
        <f>'[3]Overlap&amp;RampRate'!A10</f>
        <v>RetroEven20</v>
      </c>
      <c r="D34" s="56">
        <f t="shared" si="8"/>
        <v>0.05</v>
      </c>
      <c r="E34" s="56">
        <f t="shared" si="8"/>
        <v>0.05</v>
      </c>
      <c r="F34" s="56">
        <f t="shared" si="8"/>
        <v>0.05</v>
      </c>
      <c r="G34" s="56">
        <f t="shared" si="8"/>
        <v>0.05</v>
      </c>
      <c r="H34" s="56">
        <f t="shared" si="8"/>
        <v>0.05</v>
      </c>
      <c r="I34" s="56">
        <f t="shared" si="8"/>
        <v>0.05</v>
      </c>
      <c r="J34" s="56">
        <f t="shared" si="8"/>
        <v>0.05</v>
      </c>
      <c r="K34" s="56">
        <f t="shared" si="8"/>
        <v>0.05</v>
      </c>
      <c r="L34" s="56">
        <f t="shared" si="8"/>
        <v>0.05</v>
      </c>
      <c r="M34" s="56">
        <f t="shared" si="8"/>
        <v>0.05</v>
      </c>
      <c r="N34" s="56">
        <f t="shared" si="9"/>
        <v>0.05</v>
      </c>
      <c r="O34" s="56">
        <f t="shared" si="9"/>
        <v>0.05</v>
      </c>
      <c r="P34" s="56">
        <f t="shared" si="9"/>
        <v>0.05</v>
      </c>
      <c r="Q34" s="56">
        <f t="shared" si="9"/>
        <v>0.05</v>
      </c>
      <c r="R34" s="56">
        <f t="shared" si="9"/>
        <v>0.05</v>
      </c>
      <c r="S34" s="56">
        <f t="shared" si="9"/>
        <v>0.05</v>
      </c>
      <c r="T34" s="56">
        <f t="shared" si="9"/>
        <v>0.05</v>
      </c>
      <c r="U34" s="56">
        <f t="shared" si="9"/>
        <v>0.05</v>
      </c>
      <c r="V34" s="56">
        <f t="shared" si="9"/>
        <v>0.05</v>
      </c>
      <c r="W34" s="56">
        <f t="shared" si="9"/>
        <v>0.05</v>
      </c>
      <c r="X34" s="56">
        <v>0.85</v>
      </c>
      <c r="Y34" s="52"/>
      <c r="Z34" s="56"/>
      <c r="AA34" s="52"/>
      <c r="AB34" s="52"/>
      <c r="AC34" s="52"/>
    </row>
    <row r="35" spans="1:29" ht="14.4" customHeight="1" x14ac:dyDescent="0.3">
      <c r="A35" s="102" t="s">
        <v>34</v>
      </c>
      <c r="B35" s="102" t="s">
        <v>394</v>
      </c>
      <c r="C35" s="102" t="str">
        <f>'[3]Overlap&amp;RampRate'!A11</f>
        <v>RetroEven20</v>
      </c>
      <c r="D35" s="56">
        <f t="shared" si="8"/>
        <v>0.05</v>
      </c>
      <c r="E35" s="56">
        <f t="shared" si="8"/>
        <v>0.05</v>
      </c>
      <c r="F35" s="56">
        <f t="shared" si="8"/>
        <v>0.05</v>
      </c>
      <c r="G35" s="56">
        <f t="shared" si="8"/>
        <v>0.05</v>
      </c>
      <c r="H35" s="56">
        <f t="shared" si="8"/>
        <v>0.05</v>
      </c>
      <c r="I35" s="56">
        <f t="shared" si="8"/>
        <v>0.05</v>
      </c>
      <c r="J35" s="56">
        <f t="shared" si="8"/>
        <v>0.05</v>
      </c>
      <c r="K35" s="56">
        <f t="shared" si="8"/>
        <v>0.05</v>
      </c>
      <c r="L35" s="56">
        <f t="shared" si="8"/>
        <v>0.05</v>
      </c>
      <c r="M35" s="56">
        <f t="shared" si="8"/>
        <v>0.05</v>
      </c>
      <c r="N35" s="56">
        <f t="shared" si="9"/>
        <v>0.05</v>
      </c>
      <c r="O35" s="56">
        <f t="shared" si="9"/>
        <v>0.05</v>
      </c>
      <c r="P35" s="56">
        <f t="shared" si="9"/>
        <v>0.05</v>
      </c>
      <c r="Q35" s="56">
        <f t="shared" si="9"/>
        <v>0.05</v>
      </c>
      <c r="R35" s="56">
        <f t="shared" si="9"/>
        <v>0.05</v>
      </c>
      <c r="S35" s="56">
        <f t="shared" si="9"/>
        <v>0.05</v>
      </c>
      <c r="T35" s="56">
        <f t="shared" si="9"/>
        <v>0.05</v>
      </c>
      <c r="U35" s="56">
        <f t="shared" si="9"/>
        <v>0.05</v>
      </c>
      <c r="V35" s="56">
        <f t="shared" si="9"/>
        <v>0.05</v>
      </c>
      <c r="W35" s="56">
        <f t="shared" si="9"/>
        <v>0.05</v>
      </c>
      <c r="X35" s="56">
        <v>0.85</v>
      </c>
      <c r="Y35" s="52"/>
      <c r="Z35" s="56"/>
      <c r="AA35" s="52"/>
      <c r="AB35" s="52"/>
      <c r="AC35" s="52"/>
    </row>
    <row r="36" spans="1:29" ht="14.4" customHeight="1" x14ac:dyDescent="0.3">
      <c r="A36" s="102" t="s">
        <v>34</v>
      </c>
      <c r="B36" s="102" t="s">
        <v>397</v>
      </c>
      <c r="C36" s="102" t="str">
        <f>'[3]Overlap&amp;RampRate'!A12</f>
        <v>RetroEven20</v>
      </c>
      <c r="D36" s="56">
        <f t="shared" si="8"/>
        <v>0.05</v>
      </c>
      <c r="E36" s="56">
        <f t="shared" si="8"/>
        <v>0.05</v>
      </c>
      <c r="F36" s="56">
        <f t="shared" si="8"/>
        <v>0.05</v>
      </c>
      <c r="G36" s="56">
        <f t="shared" si="8"/>
        <v>0.05</v>
      </c>
      <c r="H36" s="56">
        <f t="shared" si="8"/>
        <v>0.05</v>
      </c>
      <c r="I36" s="56">
        <f t="shared" si="8"/>
        <v>0.05</v>
      </c>
      <c r="J36" s="56">
        <f t="shared" si="8"/>
        <v>0.05</v>
      </c>
      <c r="K36" s="56">
        <f t="shared" si="8"/>
        <v>0.05</v>
      </c>
      <c r="L36" s="56">
        <f t="shared" si="8"/>
        <v>0.05</v>
      </c>
      <c r="M36" s="56">
        <f t="shared" si="8"/>
        <v>0.05</v>
      </c>
      <c r="N36" s="56">
        <f t="shared" si="9"/>
        <v>0.05</v>
      </c>
      <c r="O36" s="56">
        <f t="shared" si="9"/>
        <v>0.05</v>
      </c>
      <c r="P36" s="56">
        <f t="shared" si="9"/>
        <v>0.05</v>
      </c>
      <c r="Q36" s="56">
        <f t="shared" si="9"/>
        <v>0.05</v>
      </c>
      <c r="R36" s="56">
        <f t="shared" si="9"/>
        <v>0.05</v>
      </c>
      <c r="S36" s="56">
        <f t="shared" si="9"/>
        <v>0.05</v>
      </c>
      <c r="T36" s="56">
        <f t="shared" si="9"/>
        <v>0.05</v>
      </c>
      <c r="U36" s="56">
        <f t="shared" si="9"/>
        <v>0.05</v>
      </c>
      <c r="V36" s="56">
        <f t="shared" si="9"/>
        <v>0.05</v>
      </c>
      <c r="W36" s="56">
        <f t="shared" si="9"/>
        <v>0.05</v>
      </c>
      <c r="X36" s="56">
        <v>0.85</v>
      </c>
      <c r="Y36" s="52"/>
      <c r="Z36" s="56"/>
      <c r="AA36" s="52"/>
      <c r="AB36" s="52"/>
      <c r="AC36" s="52"/>
    </row>
    <row r="37" spans="1:29" ht="14.4" customHeight="1" x14ac:dyDescent="0.3">
      <c r="A37" s="102" t="s">
        <v>34</v>
      </c>
      <c r="B37" s="102" t="s">
        <v>398</v>
      </c>
      <c r="C37" s="102" t="str">
        <f>'[3]Overlap&amp;RampRate'!A13</f>
        <v>RetroEven20</v>
      </c>
      <c r="D37" s="56">
        <f t="shared" si="8"/>
        <v>0.05</v>
      </c>
      <c r="E37" s="56">
        <f t="shared" si="8"/>
        <v>0.05</v>
      </c>
      <c r="F37" s="56">
        <f t="shared" si="8"/>
        <v>0.05</v>
      </c>
      <c r="G37" s="56">
        <f t="shared" si="8"/>
        <v>0.05</v>
      </c>
      <c r="H37" s="56">
        <f t="shared" si="8"/>
        <v>0.05</v>
      </c>
      <c r="I37" s="56">
        <f t="shared" si="8"/>
        <v>0.05</v>
      </c>
      <c r="J37" s="56">
        <f t="shared" si="8"/>
        <v>0.05</v>
      </c>
      <c r="K37" s="56">
        <f t="shared" si="8"/>
        <v>0.05</v>
      </c>
      <c r="L37" s="56">
        <f t="shared" si="8"/>
        <v>0.05</v>
      </c>
      <c r="M37" s="56">
        <f t="shared" si="8"/>
        <v>0.05</v>
      </c>
      <c r="N37" s="56">
        <f t="shared" si="9"/>
        <v>0.05</v>
      </c>
      <c r="O37" s="56">
        <f t="shared" si="9"/>
        <v>0.05</v>
      </c>
      <c r="P37" s="56">
        <f t="shared" si="9"/>
        <v>0.05</v>
      </c>
      <c r="Q37" s="56">
        <f t="shared" si="9"/>
        <v>0.05</v>
      </c>
      <c r="R37" s="56">
        <f t="shared" si="9"/>
        <v>0.05</v>
      </c>
      <c r="S37" s="56">
        <f t="shared" si="9"/>
        <v>0.05</v>
      </c>
      <c r="T37" s="56">
        <f t="shared" si="9"/>
        <v>0.05</v>
      </c>
      <c r="U37" s="56">
        <f t="shared" si="9"/>
        <v>0.05</v>
      </c>
      <c r="V37" s="56">
        <f t="shared" si="9"/>
        <v>0.05</v>
      </c>
      <c r="W37" s="56">
        <f t="shared" si="9"/>
        <v>0.05</v>
      </c>
      <c r="X37" s="56">
        <v>0.85</v>
      </c>
      <c r="Y37" s="52"/>
      <c r="Z37" s="56"/>
      <c r="AA37" s="52"/>
      <c r="AB37" s="52"/>
      <c r="AC37" s="52"/>
    </row>
    <row r="38" spans="1:29" ht="14.4" customHeight="1" x14ac:dyDescent="0.3">
      <c r="A38" s="102" t="s">
        <v>34</v>
      </c>
      <c r="B38" s="102" t="s">
        <v>399</v>
      </c>
      <c r="C38" s="102" t="str">
        <f>'[3]Overlap&amp;RampRate'!A14</f>
        <v>RetroEven20</v>
      </c>
      <c r="D38" s="56">
        <f t="shared" si="8"/>
        <v>0.05</v>
      </c>
      <c r="E38" s="56">
        <f t="shared" si="8"/>
        <v>0.05</v>
      </c>
      <c r="F38" s="56">
        <f t="shared" si="8"/>
        <v>0.05</v>
      </c>
      <c r="G38" s="56">
        <f t="shared" si="8"/>
        <v>0.05</v>
      </c>
      <c r="H38" s="56">
        <f t="shared" si="8"/>
        <v>0.05</v>
      </c>
      <c r="I38" s="56">
        <f t="shared" si="8"/>
        <v>0.05</v>
      </c>
      <c r="J38" s="56">
        <f t="shared" si="8"/>
        <v>0.05</v>
      </c>
      <c r="K38" s="56">
        <f t="shared" si="8"/>
        <v>0.05</v>
      </c>
      <c r="L38" s="56">
        <f t="shared" si="8"/>
        <v>0.05</v>
      </c>
      <c r="M38" s="56">
        <f t="shared" si="8"/>
        <v>0.05</v>
      </c>
      <c r="N38" s="56">
        <f t="shared" si="9"/>
        <v>0.05</v>
      </c>
      <c r="O38" s="56">
        <f t="shared" si="9"/>
        <v>0.05</v>
      </c>
      <c r="P38" s="56">
        <f t="shared" si="9"/>
        <v>0.05</v>
      </c>
      <c r="Q38" s="56">
        <f t="shared" si="9"/>
        <v>0.05</v>
      </c>
      <c r="R38" s="56">
        <f t="shared" si="9"/>
        <v>0.05</v>
      </c>
      <c r="S38" s="56">
        <f t="shared" si="9"/>
        <v>0.05</v>
      </c>
      <c r="T38" s="56">
        <f t="shared" si="9"/>
        <v>0.05</v>
      </c>
      <c r="U38" s="56">
        <f t="shared" si="9"/>
        <v>0.05</v>
      </c>
      <c r="V38" s="56">
        <f t="shared" si="9"/>
        <v>0.05</v>
      </c>
      <c r="W38" s="56">
        <f t="shared" si="9"/>
        <v>0.05</v>
      </c>
      <c r="X38" s="56">
        <v>0.85</v>
      </c>
      <c r="Y38" s="52"/>
      <c r="Z38" s="56"/>
      <c r="AA38" s="52"/>
      <c r="AB38" s="52"/>
      <c r="AC38" s="52"/>
    </row>
    <row r="39" spans="1:29" ht="14.4" customHeight="1" x14ac:dyDescent="0.3">
      <c r="A39" s="102" t="s">
        <v>34</v>
      </c>
      <c r="B39" s="102" t="s">
        <v>400</v>
      </c>
      <c r="C39" s="102" t="str">
        <f>'[3]Overlap&amp;RampRate'!A15</f>
        <v>Retro5Med</v>
      </c>
      <c r="D39" s="56">
        <f t="shared" si="8"/>
        <v>4.2999999999999997E-2</v>
      </c>
      <c r="E39" s="56">
        <f t="shared" si="8"/>
        <v>5.279714228027832E-2</v>
      </c>
      <c r="F39" s="56">
        <f t="shared" si="8"/>
        <v>6.4608251467478173E-2</v>
      </c>
      <c r="G39" s="56">
        <f t="shared" si="8"/>
        <v>7.4999999999999997E-2</v>
      </c>
      <c r="H39" s="56">
        <f t="shared" si="8"/>
        <v>8.5546997470333563E-2</v>
      </c>
      <c r="I39" s="56">
        <f t="shared" si="8"/>
        <v>0.10001472303820647</v>
      </c>
      <c r="J39" s="56">
        <f t="shared" si="8"/>
        <v>0.10971770435235073</v>
      </c>
      <c r="K39" s="56">
        <f t="shared" si="8"/>
        <v>0.11208438511970376</v>
      </c>
      <c r="L39" s="56">
        <f t="shared" si="8"/>
        <v>0.10562608162722853</v>
      </c>
      <c r="M39" s="56">
        <f t="shared" si="8"/>
        <v>9.0794563997872335E-2</v>
      </c>
      <c r="N39" s="56">
        <f t="shared" si="9"/>
        <v>7.0260666991849297E-2</v>
      </c>
      <c r="O39" s="56">
        <f t="shared" si="9"/>
        <v>4.65E-2</v>
      </c>
      <c r="P39" s="56">
        <f t="shared" si="9"/>
        <v>2.7E-2</v>
      </c>
      <c r="Q39" s="56">
        <f t="shared" si="9"/>
        <v>1.2999999999999999E-2</v>
      </c>
      <c r="R39" s="56">
        <f t="shared" si="9"/>
        <v>5.4999999999999997E-3</v>
      </c>
      <c r="S39" s="56">
        <f t="shared" si="9"/>
        <v>2E-3</v>
      </c>
      <c r="T39" s="56">
        <f t="shared" si="9"/>
        <v>6.2471001963848583E-4</v>
      </c>
      <c r="U39" s="56">
        <f t="shared" si="9"/>
        <v>1.3615841889635938E-4</v>
      </c>
      <c r="V39" s="56">
        <f t="shared" si="9"/>
        <v>2.2380636622298944E-5</v>
      </c>
      <c r="W39" s="56">
        <f t="shared" si="9"/>
        <v>2.68643837586513E-6</v>
      </c>
      <c r="X39" s="56">
        <v>0.85</v>
      </c>
      <c r="Y39" s="52"/>
      <c r="Z39" s="56"/>
      <c r="AA39" s="52"/>
      <c r="AB39" s="52"/>
      <c r="AC39" s="52"/>
    </row>
    <row r="40" spans="1:29" ht="14.4" customHeight="1" x14ac:dyDescent="0.3">
      <c r="A40" s="102" t="s">
        <v>34</v>
      </c>
      <c r="B40" s="102" t="s">
        <v>401</v>
      </c>
      <c r="C40" s="102" t="str">
        <f>'[3]Overlap&amp;RampRate'!A16</f>
        <v>Retro1Slow</v>
      </c>
      <c r="D40" s="56">
        <f t="shared" si="8"/>
        <v>2.5643970768378654E-3</v>
      </c>
      <c r="E40" s="56">
        <f t="shared" si="8"/>
        <v>5.1260615529385989E-3</v>
      </c>
      <c r="F40" s="56">
        <f t="shared" si="8"/>
        <v>9.1015544176433795E-3</v>
      </c>
      <c r="G40" s="56">
        <f t="shared" si="8"/>
        <v>1.4804925730045659E-2</v>
      </c>
      <c r="H40" s="56">
        <f t="shared" si="8"/>
        <v>2.2471809420486211E-2</v>
      </c>
      <c r="I40" s="56">
        <f t="shared" si="8"/>
        <v>3.2184432813882391E-2</v>
      </c>
      <c r="J40" s="56">
        <f t="shared" si="8"/>
        <v>4.3779667172004086E-2</v>
      </c>
      <c r="K40" s="56">
        <f t="shared" si="8"/>
        <v>5.675426075474499E-2</v>
      </c>
      <c r="L40" s="56">
        <f t="shared" si="8"/>
        <v>7.0195239068707532E-2</v>
      </c>
      <c r="M40" s="56">
        <f t="shared" si="8"/>
        <v>8.2776861842756788E-2</v>
      </c>
      <c r="N40" s="56">
        <f t="shared" si="9"/>
        <v>9.2870259507494834E-2</v>
      </c>
      <c r="O40" s="56">
        <f t="shared" si="9"/>
        <v>9.8796470678915727E-2</v>
      </c>
      <c r="P40" s="56">
        <f t="shared" si="9"/>
        <v>9.9208932889988999E-2</v>
      </c>
      <c r="Q40" s="56">
        <f t="shared" si="9"/>
        <v>9.3521150494244254E-2</v>
      </c>
      <c r="R40" s="56">
        <f t="shared" si="9"/>
        <v>8.2226007896862296E-2</v>
      </c>
      <c r="S40" s="56">
        <f t="shared" si="9"/>
        <v>6.8000000000000005E-2</v>
      </c>
      <c r="T40" s="56">
        <f t="shared" si="9"/>
        <v>5.1999999999999998E-2</v>
      </c>
      <c r="U40" s="56">
        <f t="shared" si="9"/>
        <v>3.5999999999999997E-2</v>
      </c>
      <c r="V40" s="56">
        <f t="shared" si="9"/>
        <v>2.3E-2</v>
      </c>
      <c r="W40" s="56">
        <f t="shared" si="9"/>
        <v>1.4999999999999999E-2</v>
      </c>
      <c r="X40" s="56">
        <v>0.85</v>
      </c>
      <c r="Y40" s="52"/>
      <c r="Z40" s="56"/>
      <c r="AA40" s="52"/>
      <c r="AB40" s="52"/>
      <c r="AC40" s="52"/>
    </row>
    <row r="41" spans="1:29" ht="14.4" customHeight="1" x14ac:dyDescent="0.3">
      <c r="A41" s="102" t="s">
        <v>34</v>
      </c>
      <c r="B41" s="102" t="s">
        <v>402</v>
      </c>
      <c r="C41" s="102" t="str">
        <f>'[3]Overlap&amp;RampRate'!A17</f>
        <v>Retro3Slow</v>
      </c>
      <c r="D41" s="56">
        <f t="shared" ref="D41:W41" si="10">IF(ISBLANK($C41),"",VLOOKUP($C41,$C$1:$X$14,D$16-$D$16+2,FALSE))</f>
        <v>5.5320496977002724E-3</v>
      </c>
      <c r="E41" s="56">
        <f t="shared" si="10"/>
        <v>8.6958686465615706E-3</v>
      </c>
      <c r="F41" s="56">
        <f t="shared" si="10"/>
        <v>1.7391737293123145E-2</v>
      </c>
      <c r="G41" s="56">
        <f t="shared" si="10"/>
        <v>3.0435540262965514E-2</v>
      </c>
      <c r="H41" s="56">
        <f t="shared" si="10"/>
        <v>4.7344173742390784E-2</v>
      </c>
      <c r="I41" s="56">
        <f t="shared" si="10"/>
        <v>6.6281843239347063E-2</v>
      </c>
      <c r="J41" s="56">
        <f t="shared" si="10"/>
        <v>8.4358709577350838E-2</v>
      </c>
      <c r="K41" s="56">
        <f t="shared" si="10"/>
        <v>9.8418494506909315E-2</v>
      </c>
      <c r="L41" s="56">
        <f t="shared" si="10"/>
        <v>0.10598914793051767</v>
      </c>
      <c r="M41" s="56">
        <f t="shared" si="10"/>
        <v>0.10598914793051767</v>
      </c>
      <c r="N41" s="56">
        <f t="shared" si="10"/>
        <v>9.8923204735149928E-2</v>
      </c>
      <c r="O41" s="56">
        <f t="shared" si="10"/>
        <v>8.655780414325609E-2</v>
      </c>
      <c r="P41" s="56">
        <f t="shared" si="10"/>
        <v>7.1282897529740263E-2</v>
      </c>
      <c r="Q41" s="56">
        <f t="shared" si="10"/>
        <v>5.5442253634242489E-2</v>
      </c>
      <c r="R41" s="56">
        <f t="shared" si="10"/>
        <v>4.0852186888389319E-2</v>
      </c>
      <c r="S41" s="56">
        <f t="shared" si="10"/>
        <v>2.8596530821872412E-2</v>
      </c>
      <c r="T41" s="56">
        <f t="shared" si="10"/>
        <v>1.9064353881248275E-2</v>
      </c>
      <c r="U41" s="56">
        <f t="shared" si="10"/>
        <v>1.2131861560794377E-2</v>
      </c>
      <c r="V41" s="56">
        <f t="shared" si="10"/>
        <v>7.3846113848314854E-3</v>
      </c>
      <c r="W41" s="56">
        <f t="shared" si="10"/>
        <v>5.0000000000000001E-3</v>
      </c>
      <c r="X41" s="56">
        <v>0.85</v>
      </c>
      <c r="Y41" s="52"/>
      <c r="Z41" s="56"/>
      <c r="AA41" s="52"/>
      <c r="AB41" s="52"/>
      <c r="AC41" s="52"/>
    </row>
    <row r="42" spans="1:29" ht="14.4" customHeight="1" x14ac:dyDescent="0.3">
      <c r="A42" s="102" t="s">
        <v>34</v>
      </c>
      <c r="B42" s="102" t="s">
        <v>403</v>
      </c>
      <c r="C42" s="102" t="str">
        <f>'[3]Overlap&amp;RampRate'!A18</f>
        <v>Retro1Slow</v>
      </c>
      <c r="D42" s="56">
        <f t="shared" ref="D42:W42" si="11">IF(ISBLANK($C42),"",VLOOKUP($C42,$C$1:$X$13,D$16-$D$16+2,FALSE))</f>
        <v>2.5643970768378654E-3</v>
      </c>
      <c r="E42" s="56">
        <f t="shared" si="11"/>
        <v>5.1260615529385989E-3</v>
      </c>
      <c r="F42" s="56">
        <f t="shared" si="11"/>
        <v>9.1015544176433795E-3</v>
      </c>
      <c r="G42" s="56">
        <f t="shared" si="11"/>
        <v>1.4804925730045659E-2</v>
      </c>
      <c r="H42" s="56">
        <f t="shared" si="11"/>
        <v>2.2471809420486211E-2</v>
      </c>
      <c r="I42" s="56">
        <f t="shared" si="11"/>
        <v>3.2184432813882391E-2</v>
      </c>
      <c r="J42" s="56">
        <f t="shared" si="11"/>
        <v>4.3779667172004086E-2</v>
      </c>
      <c r="K42" s="56">
        <f t="shared" si="11"/>
        <v>5.675426075474499E-2</v>
      </c>
      <c r="L42" s="56">
        <f t="shared" si="11"/>
        <v>7.0195239068707532E-2</v>
      </c>
      <c r="M42" s="56">
        <f t="shared" si="11"/>
        <v>8.2776861842756788E-2</v>
      </c>
      <c r="N42" s="56">
        <f t="shared" si="11"/>
        <v>9.2870259507494834E-2</v>
      </c>
      <c r="O42" s="56">
        <f t="shared" si="11"/>
        <v>9.8796470678915727E-2</v>
      </c>
      <c r="P42" s="56">
        <f t="shared" si="11"/>
        <v>9.9208932889988999E-2</v>
      </c>
      <c r="Q42" s="56">
        <f t="shared" si="11"/>
        <v>9.3521150494244254E-2</v>
      </c>
      <c r="R42" s="56">
        <f t="shared" si="11"/>
        <v>8.2226007896862296E-2</v>
      </c>
      <c r="S42" s="56">
        <f t="shared" si="11"/>
        <v>6.8000000000000005E-2</v>
      </c>
      <c r="T42" s="56">
        <f t="shared" si="11"/>
        <v>5.1999999999999998E-2</v>
      </c>
      <c r="U42" s="56">
        <f t="shared" si="11"/>
        <v>3.5999999999999997E-2</v>
      </c>
      <c r="V42" s="56">
        <f t="shared" si="11"/>
        <v>2.3E-2</v>
      </c>
      <c r="W42" s="56">
        <f t="shared" si="11"/>
        <v>1.4999999999999999E-2</v>
      </c>
      <c r="X42" s="56">
        <v>0.85</v>
      </c>
      <c r="Y42" s="52"/>
      <c r="Z42" s="56"/>
      <c r="AA42" s="52"/>
      <c r="AB42" s="52"/>
      <c r="AC42" s="52"/>
    </row>
    <row r="43" spans="1:29" ht="14.4" customHeight="1" x14ac:dyDescent="0.3">
      <c r="A43" s="102" t="s">
        <v>34</v>
      </c>
      <c r="B43" s="102" t="s">
        <v>512</v>
      </c>
      <c r="C43" s="102" t="s">
        <v>230</v>
      </c>
      <c r="D43" s="56">
        <f t="shared" ref="D43:W43" si="12">IF(ISBLANK($C43),"",VLOOKUP($C43,$C$1:$X$13,D$16-$D$16+2,FALSE))</f>
        <v>2.5643970768378654E-3</v>
      </c>
      <c r="E43" s="56">
        <f t="shared" si="12"/>
        <v>5.1260615529385989E-3</v>
      </c>
      <c r="F43" s="56">
        <f t="shared" si="12"/>
        <v>9.1015544176433795E-3</v>
      </c>
      <c r="G43" s="56">
        <f t="shared" si="12"/>
        <v>1.4804925730045659E-2</v>
      </c>
      <c r="H43" s="56">
        <f t="shared" si="12"/>
        <v>2.2471809420486211E-2</v>
      </c>
      <c r="I43" s="56">
        <f t="shared" si="12"/>
        <v>3.2184432813882391E-2</v>
      </c>
      <c r="J43" s="56">
        <f t="shared" si="12"/>
        <v>4.3779667172004086E-2</v>
      </c>
      <c r="K43" s="56">
        <f t="shared" si="12"/>
        <v>5.675426075474499E-2</v>
      </c>
      <c r="L43" s="56">
        <f t="shared" si="12"/>
        <v>7.0195239068707532E-2</v>
      </c>
      <c r="M43" s="56">
        <f t="shared" si="12"/>
        <v>8.2776861842756788E-2</v>
      </c>
      <c r="N43" s="56">
        <f t="shared" si="12"/>
        <v>9.2870259507494834E-2</v>
      </c>
      <c r="O43" s="56">
        <f t="shared" si="12"/>
        <v>9.8796470678915727E-2</v>
      </c>
      <c r="P43" s="56">
        <f t="shared" si="12"/>
        <v>9.9208932889988999E-2</v>
      </c>
      <c r="Q43" s="56">
        <f t="shared" si="12"/>
        <v>9.3521150494244254E-2</v>
      </c>
      <c r="R43" s="56">
        <f t="shared" si="12"/>
        <v>8.2226007896862296E-2</v>
      </c>
      <c r="S43" s="56">
        <f t="shared" si="12"/>
        <v>6.8000000000000005E-2</v>
      </c>
      <c r="T43" s="56">
        <f t="shared" si="12"/>
        <v>5.1999999999999998E-2</v>
      </c>
      <c r="U43" s="56">
        <f t="shared" si="12"/>
        <v>3.5999999999999997E-2</v>
      </c>
      <c r="V43" s="56">
        <f t="shared" si="12"/>
        <v>2.3E-2</v>
      </c>
      <c r="W43" s="56">
        <f t="shared" si="12"/>
        <v>1.4999999999999999E-2</v>
      </c>
      <c r="X43" s="56">
        <v>0.85</v>
      </c>
      <c r="Y43" s="52"/>
      <c r="Z43" s="56"/>
      <c r="AA43" s="52"/>
      <c r="AB43" s="52"/>
      <c r="AC43" s="52"/>
    </row>
    <row r="44" spans="1:29" ht="14.4" customHeight="1" x14ac:dyDescent="0.3">
      <c r="A44" s="102" t="s">
        <v>34</v>
      </c>
      <c r="B44" s="102" t="s">
        <v>395</v>
      </c>
      <c r="C44" s="102" t="str">
        <f>'[3]Overlap&amp;RampRate'!A20</f>
        <v>Retro1Slow</v>
      </c>
      <c r="D44" s="56">
        <f t="shared" ref="D44:M46" si="13">IF(ISBLANK($C44),"",VLOOKUP($C44,$C$1:$X$13,D$16-$D$16+2,FALSE))</f>
        <v>2.5643970768378654E-3</v>
      </c>
      <c r="E44" s="56">
        <f t="shared" si="13"/>
        <v>5.1260615529385989E-3</v>
      </c>
      <c r="F44" s="56">
        <f t="shared" si="13"/>
        <v>9.1015544176433795E-3</v>
      </c>
      <c r="G44" s="56">
        <f t="shared" si="13"/>
        <v>1.4804925730045659E-2</v>
      </c>
      <c r="H44" s="56">
        <f t="shared" si="13"/>
        <v>2.2471809420486211E-2</v>
      </c>
      <c r="I44" s="56">
        <f t="shared" si="13"/>
        <v>3.2184432813882391E-2</v>
      </c>
      <c r="J44" s="56">
        <f t="shared" si="13"/>
        <v>4.3779667172004086E-2</v>
      </c>
      <c r="K44" s="56">
        <f t="shared" si="13"/>
        <v>5.675426075474499E-2</v>
      </c>
      <c r="L44" s="56">
        <f t="shared" si="13"/>
        <v>7.0195239068707532E-2</v>
      </c>
      <c r="M44" s="56">
        <f t="shared" si="13"/>
        <v>8.2776861842756788E-2</v>
      </c>
      <c r="N44" s="56">
        <f t="shared" ref="N44:W46" si="14">IF(ISBLANK($C44),"",VLOOKUP($C44,$C$1:$X$13,N$16-$D$16+2,FALSE))</f>
        <v>9.2870259507494834E-2</v>
      </c>
      <c r="O44" s="56">
        <f t="shared" si="14"/>
        <v>9.8796470678915727E-2</v>
      </c>
      <c r="P44" s="56">
        <f t="shared" si="14"/>
        <v>9.9208932889988999E-2</v>
      </c>
      <c r="Q44" s="56">
        <f t="shared" si="14"/>
        <v>9.3521150494244254E-2</v>
      </c>
      <c r="R44" s="56">
        <f t="shared" si="14"/>
        <v>8.2226007896862296E-2</v>
      </c>
      <c r="S44" s="56">
        <f t="shared" si="14"/>
        <v>6.8000000000000005E-2</v>
      </c>
      <c r="T44" s="56">
        <f t="shared" si="14"/>
        <v>5.1999999999999998E-2</v>
      </c>
      <c r="U44" s="56">
        <f t="shared" si="14"/>
        <v>3.5999999999999997E-2</v>
      </c>
      <c r="V44" s="56">
        <f t="shared" si="14"/>
        <v>2.3E-2</v>
      </c>
      <c r="W44" s="56">
        <f t="shared" si="14"/>
        <v>1.4999999999999999E-2</v>
      </c>
      <c r="X44" s="56">
        <v>0.85</v>
      </c>
      <c r="Y44" s="52"/>
      <c r="Z44" s="56"/>
      <c r="AA44" s="52"/>
      <c r="AB44" s="52"/>
      <c r="AC44" s="52"/>
    </row>
    <row r="45" spans="1:29" ht="14.4" customHeight="1" x14ac:dyDescent="0.3">
      <c r="A45" s="102" t="s">
        <v>34</v>
      </c>
      <c r="B45" s="102" t="s">
        <v>396</v>
      </c>
      <c r="C45" s="102" t="str">
        <f>'[3]Overlap&amp;RampRate'!A21</f>
        <v>Retro1Slow</v>
      </c>
      <c r="D45" s="56">
        <f t="shared" si="13"/>
        <v>2.5643970768378654E-3</v>
      </c>
      <c r="E45" s="56">
        <f t="shared" si="13"/>
        <v>5.1260615529385989E-3</v>
      </c>
      <c r="F45" s="56">
        <f t="shared" si="13"/>
        <v>9.1015544176433795E-3</v>
      </c>
      <c r="G45" s="56">
        <f t="shared" si="13"/>
        <v>1.4804925730045659E-2</v>
      </c>
      <c r="H45" s="56">
        <f t="shared" si="13"/>
        <v>2.2471809420486211E-2</v>
      </c>
      <c r="I45" s="56">
        <f t="shared" si="13"/>
        <v>3.2184432813882391E-2</v>
      </c>
      <c r="J45" s="56">
        <f t="shared" si="13"/>
        <v>4.3779667172004086E-2</v>
      </c>
      <c r="K45" s="56">
        <f t="shared" si="13"/>
        <v>5.675426075474499E-2</v>
      </c>
      <c r="L45" s="56">
        <f t="shared" si="13"/>
        <v>7.0195239068707532E-2</v>
      </c>
      <c r="M45" s="56">
        <f t="shared" si="13"/>
        <v>8.2776861842756788E-2</v>
      </c>
      <c r="N45" s="56">
        <f t="shared" si="14"/>
        <v>9.2870259507494834E-2</v>
      </c>
      <c r="O45" s="56">
        <f t="shared" si="14"/>
        <v>9.8796470678915727E-2</v>
      </c>
      <c r="P45" s="56">
        <f t="shared" si="14"/>
        <v>9.9208932889988999E-2</v>
      </c>
      <c r="Q45" s="56">
        <f t="shared" si="14"/>
        <v>9.3521150494244254E-2</v>
      </c>
      <c r="R45" s="56">
        <f t="shared" si="14"/>
        <v>8.2226007896862296E-2</v>
      </c>
      <c r="S45" s="56">
        <f t="shared" si="14"/>
        <v>6.8000000000000005E-2</v>
      </c>
      <c r="T45" s="56">
        <f t="shared" si="14"/>
        <v>5.1999999999999998E-2</v>
      </c>
      <c r="U45" s="56">
        <f t="shared" si="14"/>
        <v>3.5999999999999997E-2</v>
      </c>
      <c r="V45" s="56">
        <f t="shared" si="14"/>
        <v>2.3E-2</v>
      </c>
      <c r="W45" s="56">
        <f t="shared" si="14"/>
        <v>1.4999999999999999E-2</v>
      </c>
      <c r="X45" s="56">
        <v>0.85</v>
      </c>
      <c r="Y45" s="52"/>
      <c r="Z45" s="56"/>
      <c r="AA45" s="52"/>
      <c r="AB45" s="52"/>
      <c r="AC45" s="52"/>
    </row>
    <row r="46" spans="1:29" ht="14.4" customHeight="1" x14ac:dyDescent="0.3">
      <c r="A46" s="102" t="s">
        <v>34</v>
      </c>
      <c r="B46" s="102" t="s">
        <v>404</v>
      </c>
      <c r="C46" s="102" t="str">
        <f>'[3]Overlap&amp;RampRate'!A22</f>
        <v>Retro1Slow</v>
      </c>
      <c r="D46" s="217">
        <f t="shared" si="13"/>
        <v>2.5643970768378654E-3</v>
      </c>
      <c r="E46" s="217">
        <f t="shared" si="13"/>
        <v>5.1260615529385989E-3</v>
      </c>
      <c r="F46" s="217">
        <f t="shared" si="13"/>
        <v>9.1015544176433795E-3</v>
      </c>
      <c r="G46" s="56">
        <f t="shared" si="13"/>
        <v>1.4804925730045659E-2</v>
      </c>
      <c r="H46" s="56">
        <f t="shared" si="13"/>
        <v>2.2471809420486211E-2</v>
      </c>
      <c r="I46" s="56">
        <f t="shared" si="13"/>
        <v>3.2184432813882391E-2</v>
      </c>
      <c r="J46" s="56">
        <f t="shared" si="13"/>
        <v>4.3779667172004086E-2</v>
      </c>
      <c r="K46" s="56">
        <f t="shared" si="13"/>
        <v>5.675426075474499E-2</v>
      </c>
      <c r="L46" s="56">
        <f t="shared" si="13"/>
        <v>7.0195239068707532E-2</v>
      </c>
      <c r="M46" s="56">
        <f t="shared" si="13"/>
        <v>8.2776861842756788E-2</v>
      </c>
      <c r="N46" s="56">
        <f t="shared" si="14"/>
        <v>9.2870259507494834E-2</v>
      </c>
      <c r="O46" s="56">
        <f t="shared" si="14"/>
        <v>9.8796470678915727E-2</v>
      </c>
      <c r="P46" s="56">
        <f t="shared" si="14"/>
        <v>9.9208932889988999E-2</v>
      </c>
      <c r="Q46" s="56">
        <f t="shared" si="14"/>
        <v>9.3521150494244254E-2</v>
      </c>
      <c r="R46" s="56">
        <f t="shared" si="14"/>
        <v>8.2226007896862296E-2</v>
      </c>
      <c r="S46" s="56">
        <f t="shared" si="14"/>
        <v>6.8000000000000005E-2</v>
      </c>
      <c r="T46" s="56">
        <f t="shared" si="14"/>
        <v>5.1999999999999998E-2</v>
      </c>
      <c r="U46" s="56">
        <f t="shared" si="14"/>
        <v>3.5999999999999997E-2</v>
      </c>
      <c r="V46" s="56">
        <f t="shared" si="14"/>
        <v>2.3E-2</v>
      </c>
      <c r="W46" s="56">
        <f t="shared" si="14"/>
        <v>1.4999999999999999E-2</v>
      </c>
      <c r="X46" s="56">
        <v>0.85</v>
      </c>
      <c r="Y46" s="52"/>
      <c r="Z46" s="56"/>
      <c r="AA46" s="52"/>
      <c r="AB46" s="52"/>
      <c r="AC46" s="52"/>
    </row>
    <row r="47" spans="1:29" ht="14.4" customHeight="1" x14ac:dyDescent="0.3">
      <c r="A47" s="52"/>
      <c r="B47" s="52"/>
      <c r="C47" s="52"/>
      <c r="D47" s="52"/>
      <c r="E47" s="52"/>
      <c r="F47" s="52"/>
      <c r="G47" s="52"/>
      <c r="H47" s="52"/>
      <c r="I47" s="52"/>
      <c r="J47" s="52"/>
      <c r="K47" s="52"/>
      <c r="L47" s="52"/>
      <c r="M47" s="52"/>
      <c r="N47" s="52"/>
      <c r="O47" s="52"/>
      <c r="P47" s="52"/>
      <c r="Q47" s="52"/>
      <c r="R47" s="52"/>
      <c r="S47" s="52"/>
      <c r="T47" s="52"/>
      <c r="U47" s="52"/>
      <c r="V47" s="52"/>
      <c r="W47" s="52"/>
      <c r="X47" s="56"/>
      <c r="Y47" s="52"/>
      <c r="Z47" s="56"/>
      <c r="AA47" s="52"/>
      <c r="AB47" s="52"/>
      <c r="AC47" s="52"/>
    </row>
    <row r="48" spans="1:29" ht="14.4" customHeight="1" x14ac:dyDescent="0.3">
      <c r="A48" s="52"/>
      <c r="B48" s="52"/>
      <c r="C48" s="52"/>
      <c r="D48" s="52"/>
      <c r="E48" s="52"/>
      <c r="F48" s="52"/>
      <c r="G48" s="52"/>
      <c r="H48" s="52"/>
      <c r="I48" s="52"/>
      <c r="J48" s="52"/>
      <c r="K48" s="52"/>
      <c r="L48" s="52"/>
      <c r="M48" s="52"/>
      <c r="N48" s="52"/>
      <c r="O48" s="52"/>
      <c r="P48" s="52"/>
      <c r="Q48" s="52"/>
      <c r="R48" s="52"/>
      <c r="S48" s="52"/>
      <c r="T48" s="52"/>
      <c r="U48" s="52"/>
      <c r="V48" s="52"/>
      <c r="W48" s="52"/>
      <c r="X48" s="56"/>
      <c r="Y48" s="52"/>
      <c r="Z48" s="56"/>
      <c r="AA48" s="52"/>
      <c r="AB48" s="52"/>
      <c r="AC48" s="52"/>
    </row>
    <row r="49" spans="1:29" ht="14.4" customHeight="1" x14ac:dyDescent="0.3">
      <c r="A49" s="102" t="s">
        <v>540</v>
      </c>
      <c r="B49" s="52"/>
      <c r="C49" s="52"/>
      <c r="D49" s="52"/>
      <c r="E49" s="52"/>
      <c r="F49" s="52"/>
      <c r="G49" s="52"/>
      <c r="H49" s="52"/>
      <c r="I49" s="52"/>
      <c r="J49" s="52"/>
      <c r="K49" s="52"/>
      <c r="L49" s="52"/>
      <c r="M49" s="52"/>
      <c r="N49" s="52"/>
      <c r="O49" s="52"/>
      <c r="P49" s="52"/>
      <c r="Q49" s="52"/>
      <c r="R49" s="52"/>
      <c r="S49" s="52"/>
      <c r="T49" s="52"/>
      <c r="U49" s="52"/>
      <c r="V49" s="52"/>
      <c r="W49" s="52"/>
      <c r="X49" s="56"/>
      <c r="Y49" s="52"/>
      <c r="Z49" s="56"/>
      <c r="AA49" s="52"/>
      <c r="AB49" s="52"/>
      <c r="AC49" s="52"/>
    </row>
  </sheetData>
  <dataValidations count="1">
    <dataValidation type="list" allowBlank="1" showInputMessage="1" showErrorMessage="1" sqref="X17:X46" xr:uid="{EFC3D9B2-F680-436D-B8AB-B6FEC0463069}">
      <formula1>$AC$2:$AC$5</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2F2E-2E06-4A0E-9B97-A96ECC421F7C}">
  <sheetPr codeName="Sheet2">
    <tabColor rgb="FFFF0000"/>
  </sheetPr>
  <dimension ref="A1:G49"/>
  <sheetViews>
    <sheetView zoomScale="85" zoomScaleNormal="85" workbookViewId="0">
      <pane ySplit="3" topLeftCell="A22" activePane="bottomLeft" state="frozen"/>
      <selection activeCell="E15" sqref="E15"/>
      <selection pane="bottomLeft" activeCell="C48" sqref="C48"/>
    </sheetView>
  </sheetViews>
  <sheetFormatPr defaultColWidth="9.109375" defaultRowHeight="14.4" customHeight="1" x14ac:dyDescent="0.3"/>
  <cols>
    <col min="1" max="1" width="12.33203125" bestFit="1" customWidth="1"/>
    <col min="2" max="2" width="57.5546875" bestFit="1" customWidth="1"/>
    <col min="7" max="7" width="125.6640625" customWidth="1"/>
  </cols>
  <sheetData>
    <row r="1" spans="1:7" x14ac:dyDescent="0.3">
      <c r="A1" s="57" t="s">
        <v>249</v>
      </c>
      <c r="B1" s="57" t="s">
        <v>250</v>
      </c>
      <c r="C1" s="57"/>
      <c r="D1" s="63" t="str">
        <f ca="1">CELL("filename")</f>
        <v>Q:\Eighth Plan\Conservation Analysis\Ag sector\[Ag-Irr_Eff-2021P_v3.xlsm]forRPM</v>
      </c>
      <c r="E1" s="57"/>
      <c r="F1" s="57"/>
      <c r="G1" s="57"/>
    </row>
    <row r="2" spans="1:7" x14ac:dyDescent="0.3">
      <c r="A2" s="64"/>
      <c r="B2" s="64">
        <f>COLUMN()-1</f>
        <v>1</v>
      </c>
      <c r="C2" s="64">
        <f>COLUMN()-1</f>
        <v>2</v>
      </c>
      <c r="D2" s="64">
        <f>COLUMN()-1</f>
        <v>3</v>
      </c>
      <c r="E2" s="64">
        <f>COLUMN()-1</f>
        <v>4</v>
      </c>
      <c r="F2" s="64">
        <f>COLUMN()-1</f>
        <v>5</v>
      </c>
      <c r="G2" s="57"/>
    </row>
    <row r="3" spans="1:7" x14ac:dyDescent="0.3">
      <c r="A3" s="65" t="s">
        <v>251</v>
      </c>
      <c r="B3" s="65" t="s">
        <v>236</v>
      </c>
      <c r="C3" s="66" t="s">
        <v>22</v>
      </c>
      <c r="D3" s="66" t="s">
        <v>25</v>
      </c>
      <c r="E3" s="66" t="s">
        <v>24</v>
      </c>
      <c r="F3" s="66" t="s">
        <v>23</v>
      </c>
      <c r="G3" s="66"/>
    </row>
    <row r="4" spans="1:7" ht="12.6" customHeight="1" x14ac:dyDescent="0.3">
      <c r="A4" s="57" t="str">
        <f>INDEX('Final Measure List'!$C$4:$C$159,MATCH($B4&amp;" - "&amp;$C$3,'Final Measure List'!$F$4:$F$159,0),1)</f>
        <v>Irrigation</v>
      </c>
      <c r="B4" s="67" t="str">
        <f>FEAS!B4</f>
        <v>Wheel and Hand_Rebuilt or new impact sprinkler</v>
      </c>
      <c r="C4" s="68">
        <f>FEAS!C4*(1-BASE!C4)</f>
        <v>0.30000000000000004</v>
      </c>
      <c r="D4" s="68">
        <f>FEAS!D4*(1-BASE!D4)</f>
        <v>0.30000000000000004</v>
      </c>
      <c r="E4" s="68">
        <f>FEAS!E4*(1-BASE!E4)</f>
        <v>0.30000000000000004</v>
      </c>
      <c r="F4" s="68">
        <f>FEAS!F4*(1-BASE!F4)</f>
        <v>0.30000000000000004</v>
      </c>
      <c r="G4" s="57" t="s">
        <v>405</v>
      </c>
    </row>
    <row r="5" spans="1:7" x14ac:dyDescent="0.3">
      <c r="A5" s="57" t="str">
        <f>INDEX('Final Measure List'!$C$4:$C$159,MATCH($B5&amp;" - "&amp;$C$3,'Final Measure List'!$F$4:$F$159,0),1)</f>
        <v>Irrigation</v>
      </c>
      <c r="B5" s="67" t="str">
        <f>FEAS!B5</f>
        <v>Wheel and Hand_Gaskets</v>
      </c>
      <c r="C5" s="68">
        <f>FEAS!C5*(1-BASE!C5)</f>
        <v>0.30000000000000004</v>
      </c>
      <c r="D5" s="68">
        <f>FEAS!D5*(1-BASE!D5)</f>
        <v>0.30000000000000004</v>
      </c>
      <c r="E5" s="68">
        <f>FEAS!E5*(1-BASE!E5)</f>
        <v>0.30000000000000004</v>
      </c>
      <c r="F5" s="68">
        <f>FEAS!F5*(1-BASE!F5)</f>
        <v>0.30000000000000004</v>
      </c>
      <c r="G5" s="57" t="s">
        <v>405</v>
      </c>
    </row>
    <row r="6" spans="1:7" x14ac:dyDescent="0.3">
      <c r="A6" s="57" t="str">
        <f>INDEX('Final Measure List'!$C$4:$C$159,MATCH($B6&amp;" - "&amp;$C$3,'Final Measure List'!$F$4:$F$159,0),1)</f>
        <v>Irrigation</v>
      </c>
      <c r="B6" s="67" t="str">
        <f>FEAS!B6</f>
        <v>Wheel and Hand_Drains</v>
      </c>
      <c r="C6" s="68">
        <f>FEAS!C6*(1-BASE!C6)</f>
        <v>0.30000000000000004</v>
      </c>
      <c r="D6" s="68">
        <f>FEAS!D6*(1-BASE!D6)</f>
        <v>0.30000000000000004</v>
      </c>
      <c r="E6" s="68">
        <f>FEAS!E6*(1-BASE!E6)</f>
        <v>0.30000000000000004</v>
      </c>
      <c r="F6" s="68">
        <f>FEAS!F6*(1-BASE!F6)</f>
        <v>0.30000000000000004</v>
      </c>
      <c r="G6" s="57" t="s">
        <v>405</v>
      </c>
    </row>
    <row r="7" spans="1:7" x14ac:dyDescent="0.3">
      <c r="A7" s="57" t="str">
        <f>INDEX('Final Measure List'!$C$4:$C$159,MATCH($B7&amp;" - "&amp;$C$3,'Final Measure List'!$F$4:$F$159,0),1)</f>
        <v>Irrigation</v>
      </c>
      <c r="B7" s="67" t="str">
        <f>FEAS!B7</f>
        <v>Wheel and Hand_Cut and press repair</v>
      </c>
      <c r="C7" s="68">
        <f>FEAS!C7*(1-BASE!C7)</f>
        <v>0.30000000000000004</v>
      </c>
      <c r="D7" s="68">
        <f>FEAS!D7*(1-BASE!D7)</f>
        <v>0.30000000000000004</v>
      </c>
      <c r="E7" s="68">
        <f>FEAS!E7*(1-BASE!E7)</f>
        <v>0.30000000000000004</v>
      </c>
      <c r="F7" s="68">
        <f>FEAS!F7*(1-BASE!F7)</f>
        <v>0.30000000000000004</v>
      </c>
      <c r="G7" s="57" t="s">
        <v>405</v>
      </c>
    </row>
    <row r="8" spans="1:7" x14ac:dyDescent="0.3">
      <c r="A8" s="57" t="str">
        <f>INDEX('Final Measure List'!$C$4:$C$159,MATCH($B8&amp;" - "&amp;$C$3,'Final Measure List'!$F$4:$F$159,0),1)</f>
        <v>Irrigation</v>
      </c>
      <c r="B8" s="67" t="str">
        <f>FEAS!B8</f>
        <v>Wheel and Hand_Hub gasket</v>
      </c>
      <c r="C8" s="68">
        <f>FEAS!C8*(1-BASE!C8)</f>
        <v>7.5000000000000011E-2</v>
      </c>
      <c r="D8" s="68">
        <f>FEAS!D8*(1-BASE!D8)</f>
        <v>7.5000000000000011E-2</v>
      </c>
      <c r="E8" s="68">
        <f>FEAS!E8*(1-BASE!E8)</f>
        <v>7.5000000000000011E-2</v>
      </c>
      <c r="F8" s="68">
        <f>FEAS!F8*(1-BASE!F8)</f>
        <v>7.5000000000000011E-2</v>
      </c>
      <c r="G8" s="105" t="s">
        <v>416</v>
      </c>
    </row>
    <row r="9" spans="1:7" x14ac:dyDescent="0.3">
      <c r="A9" s="57" t="str">
        <f>INDEX('Final Measure List'!$C$4:$C$159,MATCH($B9&amp;" - "&amp;$C$3,'Final Measure List'!$F$4:$F$159,0),1)</f>
        <v>Irrigation</v>
      </c>
      <c r="B9" s="67" t="str">
        <f>FEAS!B9</f>
        <v>Wheel and Hand_Levelers</v>
      </c>
      <c r="C9" s="68">
        <f>FEAS!C9*(1-BASE!C9)</f>
        <v>0.30000000000000004</v>
      </c>
      <c r="D9" s="68">
        <f>FEAS!D9*(1-BASE!D9)</f>
        <v>0.30000000000000004</v>
      </c>
      <c r="E9" s="68">
        <f>FEAS!E9*(1-BASE!E9)</f>
        <v>0.30000000000000004</v>
      </c>
      <c r="F9" s="68">
        <f>FEAS!F9*(1-BASE!F9)</f>
        <v>0.30000000000000004</v>
      </c>
      <c r="G9" s="57" t="s">
        <v>405</v>
      </c>
    </row>
    <row r="10" spans="1:7" x14ac:dyDescent="0.3">
      <c r="A10" s="57" t="str">
        <f>INDEX('Final Measure List'!$C$4:$C$159,MATCH($B10&amp;" - "&amp;$C$3,'Final Measure List'!$F$4:$F$159,0),1)</f>
        <v>Irrigation</v>
      </c>
      <c r="B10" s="67" t="str">
        <f>FEAS!B10</f>
        <v>Pivot and Linear_Base boot gasket</v>
      </c>
      <c r="C10" s="68">
        <f>FEAS!C10*(1-BASE!C10)</f>
        <v>0.30000000000000004</v>
      </c>
      <c r="D10" s="68">
        <f>FEAS!D10*(1-BASE!D10)</f>
        <v>0.30000000000000004</v>
      </c>
      <c r="E10" s="68">
        <f>FEAS!E10*(1-BASE!E10)</f>
        <v>0.30000000000000004</v>
      </c>
      <c r="F10" s="68">
        <f>FEAS!F10*(1-BASE!F10)</f>
        <v>0.30000000000000004</v>
      </c>
      <c r="G10" s="57" t="s">
        <v>405</v>
      </c>
    </row>
    <row r="11" spans="1:7" x14ac:dyDescent="0.3">
      <c r="A11" s="57" t="str">
        <f>INDEX('Final Measure List'!$C$4:$C$159,MATCH($B11&amp;" - "&amp;$C$3,'Final Measure List'!$F$4:$F$159,0),1)</f>
        <v>Irrigation</v>
      </c>
      <c r="B11" s="67" t="str">
        <f>FEAS!B11</f>
        <v>Pivot and Linear_Tower gasket</v>
      </c>
      <c r="C11" s="68">
        <f>FEAS!C11*(1-BASE!C11)</f>
        <v>0.30000000000000004</v>
      </c>
      <c r="D11" s="68">
        <f>FEAS!D11*(1-BASE!D11)</f>
        <v>0.30000000000000004</v>
      </c>
      <c r="E11" s="68">
        <f>FEAS!E11*(1-BASE!E11)</f>
        <v>0.30000000000000004</v>
      </c>
      <c r="F11" s="68">
        <f>FEAS!F11*(1-BASE!F11)</f>
        <v>0.30000000000000004</v>
      </c>
      <c r="G11" s="57" t="s">
        <v>405</v>
      </c>
    </row>
    <row r="12" spans="1:7" x14ac:dyDescent="0.3">
      <c r="A12" s="57" t="str">
        <f>INDEX('Final Measure List'!$C$4:$C$159,MATCH($B12&amp;" - "&amp;$C$3,'Final Measure List'!$F$4:$F$159,0),1)</f>
        <v>Irrigation</v>
      </c>
      <c r="B12" s="67" t="str">
        <f>FEAS!B12</f>
        <v>Wheel and Hand_Nozzle replacement</v>
      </c>
      <c r="C12" s="68">
        <f>FEAS!C12*(1-BASE!C12)</f>
        <v>0.30000000000000004</v>
      </c>
      <c r="D12" s="68">
        <f>FEAS!D12*(1-BASE!D12)</f>
        <v>0.30000000000000004</v>
      </c>
      <c r="E12" s="68">
        <f>FEAS!E12*(1-BASE!E12)</f>
        <v>0.30000000000000004</v>
      </c>
      <c r="F12" s="68">
        <f>FEAS!F12*(1-BASE!F12)</f>
        <v>0.30000000000000004</v>
      </c>
      <c r="G12" s="57" t="s">
        <v>405</v>
      </c>
    </row>
    <row r="13" spans="1:7" x14ac:dyDescent="0.3">
      <c r="A13" s="57" t="str">
        <f>INDEX('Final Measure List'!$C$4:$C$159,MATCH($B13&amp;" - "&amp;$C$3,'Final Measure List'!$F$4:$F$159,0),1)</f>
        <v>Irrigation</v>
      </c>
      <c r="B13" s="67" t="str">
        <f>FEAS!B13</f>
        <v>Pivot and Linear_Sprinkler package replacement, high pressure</v>
      </c>
      <c r="C13" s="68">
        <f>FEAS!C13*(1-BASE!C13)</f>
        <v>0.12383930588634895</v>
      </c>
      <c r="D13" s="68">
        <f>FEAS!D13*(1-BASE!D13)</f>
        <v>0.10907935153460624</v>
      </c>
      <c r="E13" s="68">
        <f>FEAS!E13*(1-BASE!E13)</f>
        <v>5.3745632902297169E-2</v>
      </c>
      <c r="F13" s="68">
        <f>FEAS!F13*(1-BASE!F13)</f>
        <v>8.6745110759081312E-2</v>
      </c>
      <c r="G13" s="57" t="s">
        <v>405</v>
      </c>
    </row>
    <row r="14" spans="1:7" x14ac:dyDescent="0.3">
      <c r="A14" s="57" t="str">
        <f>INDEX('Final Measure List'!$C$4:$C$159,MATCH($B14&amp;" - "&amp;$C$3,'Final Measure List'!$F$4:$F$159,0),1)</f>
        <v>Irrigation</v>
      </c>
      <c r="B14" s="67" t="str">
        <f>FEAS!B14</f>
        <v>Pivot and Linear_Sprinkler package replacement, MESA</v>
      </c>
      <c r="C14" s="68">
        <f>FEAS!C14*(1-BASE!C14)</f>
        <v>0.42567395183397994</v>
      </c>
      <c r="D14" s="68">
        <f>FEAS!D14*(1-BASE!D14)</f>
        <v>0.3934424102825036</v>
      </c>
      <c r="E14" s="68">
        <f>FEAS!E14*(1-BASE!E14)</f>
        <v>0.29755395412279939</v>
      </c>
      <c r="F14" s="68">
        <f>FEAS!F14*(1-BASE!F14)</f>
        <v>0.40383551646544014</v>
      </c>
      <c r="G14" s="57" t="s">
        <v>405</v>
      </c>
    </row>
    <row r="15" spans="1:7" x14ac:dyDescent="0.3">
      <c r="A15" s="57" t="str">
        <f>INDEX('Final Measure List'!$C$4:$C$159,MATCH($B15&amp;" - "&amp;$C$3,'Final Measure List'!$F$4:$F$159,0),1)</f>
        <v>Irrigation</v>
      </c>
      <c r="B15" s="67" t="str">
        <f>FEAS!B15</f>
        <v>Pivot and Linear_Sprinkler package replacement, LESA/LEPA/MDI</v>
      </c>
      <c r="C15" s="68">
        <f>FEAS!C15*(1-BASE!C15)</f>
        <v>0.23144656875125835</v>
      </c>
      <c r="D15" s="68">
        <f>FEAS!D15*(1-BASE!D15)</f>
        <v>0.27474807606654172</v>
      </c>
      <c r="E15" s="68">
        <f>FEAS!E15*(1-BASE!E15)</f>
        <v>0.41213682120047768</v>
      </c>
      <c r="F15" s="68">
        <f>FEAS!F15*(1-BASE!F15)</f>
        <v>0.28110565046524894</v>
      </c>
      <c r="G15" s="57" t="s">
        <v>405</v>
      </c>
    </row>
    <row r="16" spans="1:7" x14ac:dyDescent="0.3">
      <c r="A16" s="57" t="str">
        <f>INDEX('Final Measure List'!$C$4:$C$159,MATCH($B16&amp;" - "&amp;$C$3,'Final Measure List'!$F$4:$F$159,0),1)</f>
        <v>Irrigation</v>
      </c>
      <c r="B16" s="67" t="str">
        <f>FEAS!B16</f>
        <v>Pivot and Linear_Upgrade from high pressure to MESA</v>
      </c>
      <c r="C16" s="104">
        <f>FEAS!C16*(1-BASE!C16)</f>
        <v>0.12383930588634895</v>
      </c>
      <c r="D16" s="68">
        <f>FEAS!D16*(1-BASE!D16)</f>
        <v>0.10907935153460624</v>
      </c>
      <c r="E16" s="68">
        <f>FEAS!E16*(1-BASE!E16)</f>
        <v>5.3745632902297169E-2</v>
      </c>
      <c r="F16" s="68">
        <f>FEAS!F16*(1-BASE!F16)</f>
        <v>8.6745110759081312E-2</v>
      </c>
      <c r="G16" s="105" t="str">
        <f>FEAS!G16</f>
        <v>Assuming all high P systems can be at least retrofitted to MESA. Achievability is capped at 85% later in the model, so 15% will still not be converted in the end.</v>
      </c>
    </row>
    <row r="17" spans="1:7" x14ac:dyDescent="0.3">
      <c r="A17" s="57" t="str">
        <f>INDEX('Final Measure List'!$C$4:$C$159,MATCH($B17&amp;" - "&amp;$C$3,'Final Measure List'!$F$4:$F$159,0),1)</f>
        <v>Irrigation</v>
      </c>
      <c r="B17" s="67" t="str">
        <f>FEAS!B17</f>
        <v>Pivot and Linear_Upgrade from MESA to LESA/LEPA/MDI</v>
      </c>
      <c r="C17" s="68">
        <f>FEAS!C17*(1-BASE!C17)</f>
        <v>0.17026958073359197</v>
      </c>
      <c r="D17" s="68">
        <f>FEAS!D17*(1-BASE!D17)</f>
        <v>0.15737696411300142</v>
      </c>
      <c r="E17" s="68">
        <f>FEAS!E17*(1-BASE!E17)</f>
        <v>0.11902158164911975</v>
      </c>
      <c r="F17" s="68">
        <f>FEAS!F17*(1-BASE!F17)</f>
        <v>0.16153420658617604</v>
      </c>
      <c r="G17" s="105" t="s">
        <v>417</v>
      </c>
    </row>
    <row r="18" spans="1:7" x14ac:dyDescent="0.3">
      <c r="A18" s="57" t="str">
        <f>INDEX('Final Measure List'!$C$4:$C$159,MATCH($B18&amp;" - "&amp;$C$3,'Final Measure List'!$F$4:$F$159,0),1)</f>
        <v>Irrigation</v>
      </c>
      <c r="B18" s="67" t="str">
        <f>FEAS!B18</f>
        <v>Pivot and Linear_Pressure Reduction_High to Medium</v>
      </c>
      <c r="C18" s="68">
        <f>FEAS!C18*(1-BASE!C18)</f>
        <v>6.1919652943174475E-2</v>
      </c>
      <c r="D18" s="68">
        <f>FEAS!D18*(1-BASE!D18)</f>
        <v>5.453967576730312E-2</v>
      </c>
      <c r="E18" s="68">
        <f>FEAS!E18*(1-BASE!E18)</f>
        <v>2.6872816451148585E-2</v>
      </c>
      <c r="F18" s="68">
        <f>FEAS!F18*(1-BASE!F18)</f>
        <v>4.3372555379540656E-2</v>
      </c>
      <c r="G18" s="105" t="str">
        <f>FEAS!G18</f>
        <v>Half of the technical feasibility of the MESA hardware upgrade: Assume half of the MESA upgrades could also get a pressure reduction and provide same level of service.</v>
      </c>
    </row>
    <row r="19" spans="1:7" x14ac:dyDescent="0.3">
      <c r="A19" s="57" t="str">
        <f>INDEX('Final Measure List'!$C$4:$C$159,MATCH($B19&amp;" - "&amp;$C$3,'Final Measure List'!$F$4:$F$159,0),1)</f>
        <v>Irrigation</v>
      </c>
      <c r="B19" s="67" t="str">
        <f>FEAS!B19</f>
        <v>Pivot and Linear_Pressure Reduction_Medium to Low</v>
      </c>
      <c r="C19" s="68">
        <f>FEAS!C19*(1-BASE!C19)</f>
        <v>8.5134790366795984E-2</v>
      </c>
      <c r="D19" s="68">
        <f>FEAS!D19*(1-BASE!D19)</f>
        <v>7.8688482056500711E-2</v>
      </c>
      <c r="E19" s="68">
        <f>FEAS!E19*(1-BASE!E19)</f>
        <v>5.9510790824559873E-2</v>
      </c>
      <c r="F19" s="68">
        <f>FEAS!F19*(1-BASE!F19)</f>
        <v>8.0767103293088019E-2</v>
      </c>
      <c r="G19" s="105" t="str">
        <f>FEAS!G19</f>
        <v>Half of the technical feasibility of the LESA hardware upgrade: Assume half of the LESA upgrades could also get a pressure reduction and provide same level of service.</v>
      </c>
    </row>
    <row r="20" spans="1:7" x14ac:dyDescent="0.3">
      <c r="A20" s="57" t="s">
        <v>34</v>
      </c>
      <c r="B20" s="67" t="str">
        <f>FEAS!B20</f>
        <v>Pivot and Linear_Pressure Reduction_Medium2 to Low</v>
      </c>
      <c r="C20" s="68">
        <v>0</v>
      </c>
      <c r="D20" s="68">
        <v>0</v>
      </c>
      <c r="E20" s="68">
        <v>0</v>
      </c>
      <c r="F20" s="68">
        <v>0</v>
      </c>
      <c r="G20" s="105"/>
    </row>
    <row r="21" spans="1:7" x14ac:dyDescent="0.3">
      <c r="A21" s="57" t="str">
        <f>INDEX('Final Measure List'!$C$4:$C$159,MATCH($B21&amp;" - "&amp;$C$3,'Final Measure List'!$F$4:$F$159,0),1)</f>
        <v>Irrigation</v>
      </c>
      <c r="B21" s="67" t="str">
        <f>FEAS!B21</f>
        <v>Wheel-Line_Conversion to Low Pressure System (Alfalfa)</v>
      </c>
      <c r="C21" s="68">
        <f>FEAS!C21*(1-BASE!C21)</f>
        <v>2.2500000000000003E-2</v>
      </c>
      <c r="D21" s="68">
        <f>FEAS!D21*(1-BASE!D21)</f>
        <v>4.5000000000000005E-2</v>
      </c>
      <c r="E21" s="68">
        <f>FEAS!E21*(1-BASE!E21)</f>
        <v>4.5000000000000005E-2</v>
      </c>
      <c r="F21" s="68">
        <f>FEAS!F21*(1-BASE!F21)</f>
        <v>4.5000000000000005E-2</v>
      </c>
      <c r="G21" s="57" t="s">
        <v>252</v>
      </c>
    </row>
    <row r="22" spans="1:7" x14ac:dyDescent="0.3">
      <c r="A22" s="57" t="str">
        <f>INDEX('Final Measure List'!$C$4:$C$159,MATCH($B22&amp;" - "&amp;$C$3,'Final Measure List'!$F$4:$F$159,0),1)</f>
        <v>Irrigation</v>
      </c>
      <c r="B22" s="67" t="str">
        <f>FEAS!B22</f>
        <v>Hand-Line_Conversion to Low Pressure System (Alfalfa)</v>
      </c>
      <c r="C22" s="68">
        <f>FEAS!C22*(1-BASE!C22)</f>
        <v>2.2500000000000003E-2</v>
      </c>
      <c r="D22" s="68">
        <f>FEAS!D22*(1-BASE!D22)</f>
        <v>4.5000000000000005E-2</v>
      </c>
      <c r="E22" s="68">
        <f>FEAS!E22*(1-BASE!E22)</f>
        <v>4.5000000000000005E-2</v>
      </c>
      <c r="F22" s="68">
        <f>FEAS!F22*(1-BASE!F22)</f>
        <v>4.5000000000000005E-2</v>
      </c>
      <c r="G22" s="57" t="s">
        <v>252</v>
      </c>
    </row>
    <row r="23" spans="1:7" x14ac:dyDescent="0.3">
      <c r="A23" s="57" t="s">
        <v>34</v>
      </c>
      <c r="B23" s="67" t="str">
        <f>FEAS!B23</f>
        <v>Variable Rate Irrigation</v>
      </c>
      <c r="C23" s="68">
        <f>FEAS!C23*(1-BASE!C23)</f>
        <v>0.47499999999999998</v>
      </c>
      <c r="D23" s="68">
        <f>FEAS!D23*(1-BASE!D23)</f>
        <v>0.47499999999999998</v>
      </c>
      <c r="E23" s="68">
        <f>FEAS!E23*(1-BASE!E23)</f>
        <v>0.47499999999999998</v>
      </c>
      <c r="F23" s="68">
        <f>FEAS!F23*(1-BASE!F23)</f>
        <v>0.47499999999999998</v>
      </c>
      <c r="G23" s="57"/>
    </row>
    <row r="24" spans="1:7" x14ac:dyDescent="0.3">
      <c r="A24" s="57"/>
      <c r="B24" s="67"/>
      <c r="C24" s="68"/>
      <c r="D24" s="68"/>
      <c r="E24" s="68"/>
      <c r="F24" s="68"/>
      <c r="G24" s="57"/>
    </row>
    <row r="25" spans="1:7" x14ac:dyDescent="0.3">
      <c r="A25" s="57" t="str">
        <f>INDEX('Final Measure List'!$C$4:$C$159,MATCH($B25&amp;" - "&amp;$C$3,'Final Measure List'!$F$4:$F$159,0),1)</f>
        <v>Motors/Drives</v>
      </c>
      <c r="B25" s="67" t="str">
        <f>FEAS!B25</f>
        <v>VSD - Vacuum Pump - Free Stall</v>
      </c>
      <c r="C25" s="68">
        <f>FEAS!C25*(1-BASE!C25)</f>
        <v>2.5000000000000022E-3</v>
      </c>
      <c r="D25" s="68">
        <f>FEAS!D25*(1-BASE!D25)</f>
        <v>2.5000000000000022E-3</v>
      </c>
      <c r="E25" s="68">
        <f>FEAS!E25*(1-BASE!E25)</f>
        <v>2.5000000000000022E-3</v>
      </c>
      <c r="F25" s="68">
        <f>FEAS!F25*(1-BASE!F25)</f>
        <v>2.5000000000000022E-3</v>
      </c>
      <c r="G25" s="57"/>
    </row>
    <row r="26" spans="1:7" x14ac:dyDescent="0.3">
      <c r="A26" s="57" t="str">
        <f>INDEX('Final Measure List'!$C$4:$C$159,MATCH($B26&amp;" - "&amp;$C$3,'Final Measure List'!$F$4:$F$159,0),1)</f>
        <v>Motors/Drives</v>
      </c>
      <c r="B26" s="67" t="str">
        <f>FEAS!B26</f>
        <v>VSD - Vacuum Pump - Tie Stall</v>
      </c>
      <c r="C26" s="68">
        <f>FEAS!C26*(1-BASE!C26)</f>
        <v>4.7500000000000042E-2</v>
      </c>
      <c r="D26" s="68">
        <f>FEAS!D26*(1-BASE!D26)</f>
        <v>4.7500000000000042E-2</v>
      </c>
      <c r="E26" s="68">
        <f>FEAS!E26*(1-BASE!E26)</f>
        <v>4.7500000000000042E-2</v>
      </c>
      <c r="F26" s="68">
        <f>FEAS!F26*(1-BASE!F26)</f>
        <v>4.7500000000000042E-2</v>
      </c>
      <c r="G26" s="57"/>
    </row>
    <row r="27" spans="1:7" x14ac:dyDescent="0.3">
      <c r="A27" s="57" t="str">
        <f>INDEX('Final Measure List'!$C$4:$C$159,MATCH($B27&amp;" - "&amp;$C$3,'Final Measure List'!$F$4:$F$159,0),1)</f>
        <v>Refrigeration</v>
      </c>
      <c r="B27" s="67" t="str">
        <f>FEAS!B27</f>
        <v>Plate Milk Pre-cooler - Free Stall</v>
      </c>
      <c r="C27" s="68">
        <f>FEAS!C27*(1-BASE!C27)</f>
        <v>4.7500000000000042E-2</v>
      </c>
      <c r="D27" s="68">
        <f>FEAS!D27*(1-BASE!D27)</f>
        <v>4.7500000000000042E-2</v>
      </c>
      <c r="E27" s="68">
        <f>FEAS!E27*(1-BASE!E27)</f>
        <v>4.7500000000000042E-2</v>
      </c>
      <c r="F27" s="68">
        <f>FEAS!F27*(1-BASE!F27)</f>
        <v>4.7500000000000042E-2</v>
      </c>
      <c r="G27" s="57"/>
    </row>
    <row r="28" spans="1:7" x14ac:dyDescent="0.3">
      <c r="A28" s="57" t="str">
        <f>INDEX('Final Measure List'!$C$4:$C$159,MATCH($B28&amp;" - "&amp;$C$3,'Final Measure List'!$F$4:$F$159,0),1)</f>
        <v>Refrigeration</v>
      </c>
      <c r="B28" s="67" t="str">
        <f>FEAS!B28</f>
        <v>Plate Milk Pre-Cooler - Tie Stall</v>
      </c>
      <c r="C28" s="68">
        <f>FEAS!C28*(1-BASE!C28)</f>
        <v>0.28500000000000003</v>
      </c>
      <c r="D28" s="68">
        <f>FEAS!D28*(1-BASE!D28)</f>
        <v>0.28500000000000003</v>
      </c>
      <c r="E28" s="68">
        <f>FEAS!E28*(1-BASE!E28)</f>
        <v>0.28500000000000003</v>
      </c>
      <c r="F28" s="68">
        <f>FEAS!F28*(1-BASE!F28)</f>
        <v>0.28500000000000003</v>
      </c>
      <c r="G28" s="57"/>
    </row>
    <row r="29" spans="1:7" x14ac:dyDescent="0.3">
      <c r="A29" s="57" t="str">
        <f>INDEX('Final Measure List'!$C$4:$C$159,MATCH($B29&amp;" - "&amp;$C$3,'Final Measure List'!$F$4:$F$159,0),1)</f>
        <v>Lighting</v>
      </c>
      <c r="B29" s="67" t="str">
        <f>FEAS!B29</f>
        <v>Energy Efficient Lighting - Free Stall</v>
      </c>
      <c r="C29" s="68">
        <f>FEAS!C29*(1-BASE!C29)</f>
        <v>0.47499999999999998</v>
      </c>
      <c r="D29" s="68">
        <f>FEAS!D29*(1-BASE!D29)</f>
        <v>0.47499999999999998</v>
      </c>
      <c r="E29" s="68">
        <f>FEAS!E29*(1-BASE!E29)</f>
        <v>0.47499999999999998</v>
      </c>
      <c r="F29" s="68">
        <f>FEAS!F29*(1-BASE!F29)</f>
        <v>0.47499999999999998</v>
      </c>
      <c r="G29" s="57"/>
    </row>
    <row r="30" spans="1:7" x14ac:dyDescent="0.3">
      <c r="A30" s="57" t="str">
        <f>INDEX('Final Measure List'!$C$4:$C$159,MATCH($B30&amp;" - "&amp;$C$3,'Final Measure List'!$F$4:$F$159,0),1)</f>
        <v>Lighting</v>
      </c>
      <c r="B30" s="67" t="str">
        <f>FEAS!B30</f>
        <v>Energy Efficient Lighting - Tie Stall</v>
      </c>
      <c r="C30" s="68">
        <f>FEAS!C30*(1-BASE!C30)</f>
        <v>0.47499999999999998</v>
      </c>
      <c r="D30" s="68">
        <f>FEAS!D30*(1-BASE!D30)</f>
        <v>0.47499999999999998</v>
      </c>
      <c r="E30" s="68">
        <f>FEAS!E30*(1-BASE!E30)</f>
        <v>0.47499999999999998</v>
      </c>
      <c r="F30" s="68">
        <f>FEAS!F30*(1-BASE!F30)</f>
        <v>0.47499999999999998</v>
      </c>
      <c r="G30" s="57"/>
    </row>
    <row r="31" spans="1:7" x14ac:dyDescent="0.3">
      <c r="A31" s="57" t="s">
        <v>115</v>
      </c>
      <c r="B31" s="67" t="str">
        <f>FEAS!B31</f>
        <v>Heat Recovery Refrigeration - Free Stall</v>
      </c>
      <c r="C31" s="68">
        <f>FEAS!C31*(1-BASE!C31)</f>
        <v>0.19</v>
      </c>
      <c r="D31" s="68">
        <f>FEAS!D31*(1-BASE!D31)</f>
        <v>0.19</v>
      </c>
      <c r="E31" s="68">
        <f>FEAS!E31*(1-BASE!E31)</f>
        <v>0.19</v>
      </c>
      <c r="F31" s="68">
        <f>FEAS!F31*(1-BASE!F31)</f>
        <v>0.19</v>
      </c>
      <c r="G31" s="57"/>
    </row>
    <row r="32" spans="1:7" x14ac:dyDescent="0.3">
      <c r="A32" s="57" t="s">
        <v>115</v>
      </c>
      <c r="B32" s="67" t="str">
        <f>FEAS!B32</f>
        <v>Heat Recovery Refrigeration - Tie Stall</v>
      </c>
      <c r="C32" s="68">
        <f>FEAS!C32*(1-BASE!C32)</f>
        <v>0.19</v>
      </c>
      <c r="D32" s="68">
        <f>FEAS!D32*(1-BASE!D32)</f>
        <v>0.19</v>
      </c>
      <c r="E32" s="68">
        <f>FEAS!E32*(1-BASE!E32)</f>
        <v>0.19</v>
      </c>
      <c r="F32" s="68">
        <f>FEAS!F32*(1-BASE!F32)</f>
        <v>0.19</v>
      </c>
      <c r="G32" s="57"/>
    </row>
    <row r="33" spans="1:7" x14ac:dyDescent="0.3">
      <c r="A33" s="57" t="str">
        <f>INDEX('Final Measure List'!$C$4:$C$159,MATCH($B33&amp;" - "&amp;$C$3,'Final Measure List'!$F$4:$F$159,0),1)</f>
        <v>Refrigeration</v>
      </c>
      <c r="B33" s="67" t="str">
        <f>FEAS!B33</f>
        <v>Compressor Upgrade - Any</v>
      </c>
      <c r="C33" s="68">
        <f>FEAS!C33*(1-BASE!C33)</f>
        <v>0.375</v>
      </c>
      <c r="D33" s="68">
        <f>FEAS!D33*(1-BASE!D33)</f>
        <v>0.375</v>
      </c>
      <c r="E33" s="68">
        <f>FEAS!E33*(1-BASE!E33)</f>
        <v>0.375</v>
      </c>
      <c r="F33" s="68">
        <f>FEAS!F33*(1-BASE!F33)</f>
        <v>0.375</v>
      </c>
      <c r="G33" s="57"/>
    </row>
    <row r="34" spans="1:7" x14ac:dyDescent="0.3">
      <c r="A34" s="57" t="str">
        <f>INDEX('Final Measure List'!$C$4:$C$159,MATCH($B34&amp;" - "&amp;$C$3,'Final Measure List'!$F$4:$F$159,0),1)</f>
        <v>Motors/Drives</v>
      </c>
      <c r="B34" s="67" t="str">
        <f>FEAS!B34</f>
        <v>VSD - Milk Transfer Pump - Any</v>
      </c>
      <c r="C34" s="68">
        <f>FEAS!C34*(1-BASE!C34)</f>
        <v>0.28500000000000003</v>
      </c>
      <c r="D34" s="68">
        <f>FEAS!D34*(1-BASE!D34)</f>
        <v>0.28500000000000003</v>
      </c>
      <c r="E34" s="68">
        <f>FEAS!E34*(1-BASE!E34)</f>
        <v>0.28500000000000003</v>
      </c>
      <c r="F34" s="68">
        <f>FEAS!F34*(1-BASE!F34)</f>
        <v>0.28500000000000003</v>
      </c>
      <c r="G34" s="57"/>
    </row>
    <row r="35" spans="1:7" x14ac:dyDescent="0.3">
      <c r="A35" s="57" t="s">
        <v>381</v>
      </c>
      <c r="B35" s="67" t="str">
        <f>FEAS!B35</f>
        <v>Efficient High Speed Fans - Free Stall</v>
      </c>
      <c r="C35" s="68">
        <f>FEAS!C35*(1-BASE!C35)</f>
        <v>0.375</v>
      </c>
      <c r="D35" s="68">
        <f>FEAS!D35*(1-BASE!D35)</f>
        <v>0.375</v>
      </c>
      <c r="E35" s="68">
        <f>FEAS!E35*(1-BASE!E35)</f>
        <v>0.375</v>
      </c>
      <c r="F35" s="68">
        <f>FEAS!F35*(1-BASE!F35)</f>
        <v>0.375</v>
      </c>
      <c r="G35" s="57"/>
    </row>
    <row r="36" spans="1:7" x14ac:dyDescent="0.3">
      <c r="A36" s="57" t="s">
        <v>381</v>
      </c>
      <c r="B36" s="67" t="str">
        <f>FEAS!B36</f>
        <v>Efficient High Speed Fans - Tie Stall</v>
      </c>
      <c r="C36" s="68">
        <f>FEAS!C36*(1-BASE!C36)</f>
        <v>0.375</v>
      </c>
      <c r="D36" s="68">
        <f>FEAS!D36*(1-BASE!D36)</f>
        <v>0.375</v>
      </c>
      <c r="E36" s="68">
        <f>FEAS!E36*(1-BASE!E36)</f>
        <v>0.375</v>
      </c>
      <c r="F36" s="68">
        <f>FEAS!F36*(1-BASE!F36)</f>
        <v>0.375</v>
      </c>
      <c r="G36" s="57"/>
    </row>
    <row r="37" spans="1:7" x14ac:dyDescent="0.3">
      <c r="A37" s="57" t="s">
        <v>381</v>
      </c>
      <c r="B37" s="67" t="str">
        <f>FEAS!B37</f>
        <v>High Volume Low Speed Fans - Free Stall</v>
      </c>
      <c r="C37" s="68">
        <f>FEAS!C37*(1-BASE!C37)</f>
        <v>0.45</v>
      </c>
      <c r="D37" s="68">
        <f>FEAS!D37*(1-BASE!D37)</f>
        <v>0.45</v>
      </c>
      <c r="E37" s="68">
        <f>FEAS!E37*(1-BASE!E37)</f>
        <v>0.45</v>
      </c>
      <c r="F37" s="68">
        <f>FEAS!F37*(1-BASE!F37)</f>
        <v>0.45</v>
      </c>
      <c r="G37" s="57"/>
    </row>
    <row r="38" spans="1:7" x14ac:dyDescent="0.3">
      <c r="A38" s="57" t="s">
        <v>381</v>
      </c>
      <c r="B38" s="67" t="str">
        <f>FEAS!B38</f>
        <v>High Volume Low Speed Fans - Tie Stall</v>
      </c>
      <c r="C38" s="68">
        <f>FEAS!C38*(1-BASE!C38)</f>
        <v>0</v>
      </c>
      <c r="D38" s="68">
        <f>FEAS!D38*(1-BASE!D38)</f>
        <v>0</v>
      </c>
      <c r="E38" s="68">
        <f>FEAS!E38*(1-BASE!E38)</f>
        <v>0</v>
      </c>
      <c r="F38" s="68">
        <f>FEAS!F38*(1-BASE!F38)</f>
        <v>0</v>
      </c>
      <c r="G38" s="57"/>
    </row>
    <row r="39" spans="1:7" x14ac:dyDescent="0.3">
      <c r="A39" s="57" t="s">
        <v>106</v>
      </c>
      <c r="B39" s="67" t="str">
        <f>FEAS!B39</f>
        <v>Exterior LED Area Light w/ New Photocell 20 - 29W</v>
      </c>
      <c r="C39" s="68">
        <f>FEAS!C39*(1-BASE!C39)</f>
        <v>0.25</v>
      </c>
      <c r="D39" s="68">
        <f>FEAS!D39*(1-BASE!D39)</f>
        <v>0.25</v>
      </c>
      <c r="E39" s="68">
        <f>FEAS!E39*(1-BASE!E39)</f>
        <v>0.25</v>
      </c>
      <c r="F39" s="68">
        <f>FEAS!F39*(1-BASE!F39)</f>
        <v>0.25</v>
      </c>
      <c r="G39" s="57"/>
    </row>
    <row r="40" spans="1:7" x14ac:dyDescent="0.3">
      <c r="A40" s="57" t="s">
        <v>106</v>
      </c>
      <c r="B40" s="67" t="str">
        <f>FEAS!B40</f>
        <v>Exterior LED Area Light w/ New Photocell 30 - 44W</v>
      </c>
      <c r="C40" s="68">
        <f>FEAS!C40*(1-BASE!C40)</f>
        <v>0.25</v>
      </c>
      <c r="D40" s="68">
        <f>FEAS!D40*(1-BASE!D40)</f>
        <v>0.25</v>
      </c>
      <c r="E40" s="68">
        <f>FEAS!E40*(1-BASE!E40)</f>
        <v>0.25</v>
      </c>
      <c r="F40" s="68">
        <f>FEAS!F40*(1-BASE!F40)</f>
        <v>0.25</v>
      </c>
      <c r="G40" s="57"/>
    </row>
    <row r="41" spans="1:7" x14ac:dyDescent="0.3">
      <c r="A41" s="57" t="s">
        <v>106</v>
      </c>
      <c r="B41" s="67" t="str">
        <f>FEAS!B41</f>
        <v>Exterior LED Area Light w/ New Photocell 45 - 59W</v>
      </c>
      <c r="C41" s="68">
        <f>FEAS!C41*(1-BASE!C41)</f>
        <v>0.25</v>
      </c>
      <c r="D41" s="68">
        <f>FEAS!D41*(1-BASE!D41)</f>
        <v>0.25</v>
      </c>
      <c r="E41" s="68">
        <f>FEAS!E41*(1-BASE!E41)</f>
        <v>0.25</v>
      </c>
      <c r="F41" s="68">
        <f>FEAS!F41*(1-BASE!F41)</f>
        <v>0.25</v>
      </c>
      <c r="G41" s="57"/>
    </row>
    <row r="42" spans="1:7" x14ac:dyDescent="0.3">
      <c r="A42" s="57" t="s">
        <v>106</v>
      </c>
      <c r="B42" s="67" t="str">
        <f>FEAS!B42</f>
        <v>Exterior LED Area Light w/ New Photocell 60 - 75W</v>
      </c>
      <c r="C42" s="68">
        <f>FEAS!C42*(1-BASE!C42)</f>
        <v>0.25</v>
      </c>
      <c r="D42" s="68">
        <f>FEAS!D42*(1-BASE!D42)</f>
        <v>0.25</v>
      </c>
      <c r="E42" s="68">
        <f>FEAS!E42*(1-BASE!E42)</f>
        <v>0.25</v>
      </c>
      <c r="F42" s="68">
        <f>FEAS!F42*(1-BASE!F42)</f>
        <v>0.25</v>
      </c>
      <c r="G42" s="57"/>
    </row>
    <row r="43" spans="1:7" x14ac:dyDescent="0.3">
      <c r="A43" s="57"/>
      <c r="B43" s="67"/>
      <c r="C43" s="68"/>
      <c r="D43" s="68"/>
      <c r="E43" s="68"/>
      <c r="F43" s="68"/>
      <c r="G43" s="57"/>
    </row>
    <row r="44" spans="1:7" x14ac:dyDescent="0.3">
      <c r="A44" s="57"/>
      <c r="B44" s="67"/>
      <c r="C44" s="68"/>
      <c r="D44" s="68"/>
      <c r="E44" s="68"/>
      <c r="F44" s="68"/>
      <c r="G44" s="57"/>
    </row>
    <row r="45" spans="1:7" x14ac:dyDescent="0.3">
      <c r="A45" s="57" t="s">
        <v>70</v>
      </c>
      <c r="B45" s="67" t="str">
        <f>FEAS!B45</f>
        <v>Motor Rewind</v>
      </c>
      <c r="C45" s="71" t="s">
        <v>266</v>
      </c>
      <c r="D45" s="68"/>
      <c r="E45" s="68"/>
      <c r="F45" s="68"/>
      <c r="G45" s="57"/>
    </row>
    <row r="46" spans="1:7" x14ac:dyDescent="0.3">
      <c r="A46" s="57" t="s">
        <v>34</v>
      </c>
      <c r="B46" s="67" t="str">
        <f>FEAS!B46</f>
        <v>Install VSD on Irrigation Pump</v>
      </c>
      <c r="C46" s="68">
        <f>FEAS!C46*(1-BASE!C46)</f>
        <v>0.81</v>
      </c>
      <c r="D46" s="68">
        <f>FEAS!D46*(1-BASE!D46)</f>
        <v>0.81</v>
      </c>
      <c r="E46" s="68">
        <f>FEAS!E46*(1-BASE!E46)</f>
        <v>0.81</v>
      </c>
      <c r="F46" s="68">
        <f>FEAS!F46*(1-BASE!F46)</f>
        <v>0.81</v>
      </c>
      <c r="G46" s="57"/>
    </row>
    <row r="47" spans="1:7" x14ac:dyDescent="0.3">
      <c r="A47" s="57" t="s">
        <v>70</v>
      </c>
      <c r="B47" s="67" t="str">
        <f>FEAS!B47</f>
        <v>Pump Upgrade</v>
      </c>
      <c r="C47" s="68">
        <f>FEAS!C47*(1-BASE!C47)</f>
        <v>0.72000000000000008</v>
      </c>
      <c r="D47" s="68">
        <f>FEAS!D47*(1-BASE!D47)</f>
        <v>0.72000000000000008</v>
      </c>
      <c r="E47" s="68">
        <f>FEAS!E47*(1-BASE!E47)</f>
        <v>0.72000000000000008</v>
      </c>
      <c r="F47" s="68">
        <f>FEAS!F47*(1-BASE!F47)</f>
        <v>0.72000000000000008</v>
      </c>
      <c r="G47" s="57"/>
    </row>
    <row r="48" spans="1:7" x14ac:dyDescent="0.3">
      <c r="A48" s="57" t="str">
        <f>INDEX('Final Measure List'!$C$4:$C$159,MATCH($B48&amp;" - "&amp;$C$3,'Final Measure List'!$F$4:$F$159,0),1)</f>
        <v>Process Loads</v>
      </c>
      <c r="B48" s="67" t="str">
        <f>FEAS!B48</f>
        <v>Energy-Free Stock Watering Tanks</v>
      </c>
      <c r="C48" s="68">
        <f>FEAS!C48*(1-BASE!C48)</f>
        <v>0.99</v>
      </c>
      <c r="D48" s="68">
        <f>FEAS!D48*(1-BASE!D48)</f>
        <v>0.99</v>
      </c>
      <c r="E48" s="68">
        <f>FEAS!E48*(1-BASE!E48)</f>
        <v>0.99</v>
      </c>
      <c r="F48" s="68">
        <f>FEAS!F48*(1-BASE!F48)</f>
        <v>0.99</v>
      </c>
      <c r="G48" s="57"/>
    </row>
    <row r="49" spans="1:7" x14ac:dyDescent="0.3">
      <c r="A49" s="57" t="s">
        <v>455</v>
      </c>
      <c r="B49" s="67" t="s">
        <v>415</v>
      </c>
      <c r="C49" s="68">
        <f>FEAS!C49*(1-BASE!C49)</f>
        <v>0.81</v>
      </c>
      <c r="D49" s="68">
        <f>FEAS!D49*(1-BASE!D49)</f>
        <v>0.81</v>
      </c>
      <c r="E49" s="68">
        <f>FEAS!E49*(1-BASE!E49)</f>
        <v>0.81</v>
      </c>
      <c r="F49" s="68">
        <f>FEAS!F49*(1-BASE!F49)</f>
        <v>0.81</v>
      </c>
      <c r="G49" s="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DB29-F821-41D4-B7B9-886C2816EFF7}">
  <sheetPr codeName="Sheet4">
    <tabColor rgb="FFFF0000"/>
    <pageSetUpPr fitToPage="1"/>
  </sheetPr>
  <dimension ref="A1:L49"/>
  <sheetViews>
    <sheetView zoomScale="85" zoomScaleNormal="85" workbookViewId="0">
      <pane ySplit="3" topLeftCell="A32" activePane="bottomLeft" state="frozen"/>
      <selection activeCell="E15" sqref="E15"/>
      <selection pane="bottomLeft" activeCell="G43" sqref="G43"/>
    </sheetView>
  </sheetViews>
  <sheetFormatPr defaultColWidth="9.109375" defaultRowHeight="14.4" customHeight="1" x14ac:dyDescent="0.3"/>
  <cols>
    <col min="1" max="1" width="13.5546875" bestFit="1" customWidth="1"/>
    <col min="2" max="2" width="57.5546875" bestFit="1" customWidth="1"/>
    <col min="4" max="4" width="10.5546875" customWidth="1"/>
    <col min="6" max="6" width="7.44140625" customWidth="1"/>
    <col min="7" max="7" width="125.44140625" customWidth="1"/>
  </cols>
  <sheetData>
    <row r="1" spans="1:12" x14ac:dyDescent="0.3">
      <c r="A1" s="93" t="s">
        <v>249</v>
      </c>
      <c r="B1" s="93" t="s">
        <v>253</v>
      </c>
      <c r="C1" s="93"/>
      <c r="D1" s="63" t="str">
        <f ca="1">CELL("filename")</f>
        <v>Q:\Eighth Plan\Conservation Analysis\Ag sector\[Ag-Irr_Eff-2021P_v3.xlsm]forRPM</v>
      </c>
      <c r="E1" s="93"/>
      <c r="F1" s="93"/>
      <c r="G1" s="93"/>
      <c r="H1" s="93"/>
      <c r="I1" s="93"/>
      <c r="J1" s="93"/>
      <c r="K1" s="93"/>
      <c r="L1" s="93"/>
    </row>
    <row r="2" spans="1:12" x14ac:dyDescent="0.3">
      <c r="A2" s="97"/>
      <c r="B2" s="99">
        <f>COLUMN()-1</f>
        <v>1</v>
      </c>
      <c r="C2" s="99">
        <f t="shared" ref="C2:F2" si="0">COLUMN()-1</f>
        <v>2</v>
      </c>
      <c r="D2" s="99">
        <f t="shared" si="0"/>
        <v>3</v>
      </c>
      <c r="E2" s="99">
        <f t="shared" si="0"/>
        <v>4</v>
      </c>
      <c r="F2" s="99">
        <f t="shared" si="0"/>
        <v>5</v>
      </c>
      <c r="G2" s="6"/>
      <c r="H2" s="6"/>
      <c r="I2" s="6"/>
      <c r="J2" s="6"/>
      <c r="K2" s="6"/>
      <c r="L2" s="6"/>
    </row>
    <row r="3" spans="1:12" x14ac:dyDescent="0.3">
      <c r="A3" s="98" t="s">
        <v>254</v>
      </c>
      <c r="B3" s="100" t="s">
        <v>236</v>
      </c>
      <c r="C3" s="101" t="s">
        <v>22</v>
      </c>
      <c r="D3" s="101" t="s">
        <v>25</v>
      </c>
      <c r="E3" s="101" t="s">
        <v>24</v>
      </c>
      <c r="F3" s="101" t="s">
        <v>23</v>
      </c>
      <c r="G3" s="101" t="s">
        <v>255</v>
      </c>
      <c r="H3" s="6"/>
      <c r="I3" s="6"/>
      <c r="J3" s="6"/>
      <c r="K3" s="6"/>
      <c r="L3" s="6"/>
    </row>
    <row r="4" spans="1:12" ht="12.6" customHeight="1" x14ac:dyDescent="0.3">
      <c r="A4" s="132" t="str">
        <f>APPLIC!A4</f>
        <v>Irrigation</v>
      </c>
      <c r="B4" s="136" t="s">
        <v>386</v>
      </c>
      <c r="C4" s="150">
        <v>1</v>
      </c>
      <c r="D4" s="150">
        <v>1</v>
      </c>
      <c r="E4" s="150">
        <v>1</v>
      </c>
      <c r="F4" s="150">
        <v>1</v>
      </c>
      <c r="G4" s="151" t="s">
        <v>405</v>
      </c>
      <c r="H4" s="146"/>
      <c r="I4" s="146"/>
      <c r="J4" s="146"/>
      <c r="K4" s="146"/>
      <c r="L4" s="146"/>
    </row>
    <row r="5" spans="1:12" x14ac:dyDescent="0.3">
      <c r="A5" s="132" t="str">
        <f>APPLIC!A5</f>
        <v>Irrigation</v>
      </c>
      <c r="B5" s="136" t="s">
        <v>387</v>
      </c>
      <c r="C5" s="150">
        <v>1</v>
      </c>
      <c r="D5" s="150">
        <v>1</v>
      </c>
      <c r="E5" s="150">
        <v>1</v>
      </c>
      <c r="F5" s="150">
        <v>1</v>
      </c>
      <c r="G5" s="151" t="s">
        <v>405</v>
      </c>
      <c r="H5" s="146"/>
      <c r="I5" s="146"/>
      <c r="J5" s="146"/>
      <c r="K5" s="146"/>
      <c r="L5" s="146"/>
    </row>
    <row r="6" spans="1:12" x14ac:dyDescent="0.3">
      <c r="A6" s="132" t="str">
        <f>APPLIC!A6</f>
        <v>Irrigation</v>
      </c>
      <c r="B6" s="136" t="s">
        <v>388</v>
      </c>
      <c r="C6" s="150">
        <v>1</v>
      </c>
      <c r="D6" s="150">
        <v>1</v>
      </c>
      <c r="E6" s="150">
        <v>1</v>
      </c>
      <c r="F6" s="150">
        <v>1</v>
      </c>
      <c r="G6" s="151" t="s">
        <v>405</v>
      </c>
      <c r="H6" s="146"/>
      <c r="I6" s="146"/>
      <c r="J6" s="146"/>
      <c r="K6" s="146"/>
      <c r="L6" s="146"/>
    </row>
    <row r="7" spans="1:12" x14ac:dyDescent="0.3">
      <c r="A7" s="132" t="str">
        <f>APPLIC!A7</f>
        <v>Irrigation</v>
      </c>
      <c r="B7" s="136" t="s">
        <v>389</v>
      </c>
      <c r="C7" s="150">
        <v>1</v>
      </c>
      <c r="D7" s="150">
        <v>1</v>
      </c>
      <c r="E7" s="150">
        <v>1</v>
      </c>
      <c r="F7" s="150">
        <v>1</v>
      </c>
      <c r="G7" s="151" t="s">
        <v>405</v>
      </c>
      <c r="H7" s="146"/>
      <c r="I7" s="146"/>
      <c r="J7" s="146"/>
      <c r="K7" s="146"/>
      <c r="L7" s="146"/>
    </row>
    <row r="8" spans="1:12" x14ac:dyDescent="0.3">
      <c r="A8" s="132" t="str">
        <f>APPLIC!A8</f>
        <v>Irrigation</v>
      </c>
      <c r="B8" s="136" t="s">
        <v>390</v>
      </c>
      <c r="C8" s="152">
        <v>0.25</v>
      </c>
      <c r="D8" s="152">
        <v>0.25</v>
      </c>
      <c r="E8" s="152">
        <v>0.25</v>
      </c>
      <c r="F8" s="152">
        <v>0.25</v>
      </c>
      <c r="G8" s="153" t="s">
        <v>407</v>
      </c>
      <c r="H8" s="146"/>
      <c r="I8" s="146"/>
      <c r="J8" s="146"/>
      <c r="K8" s="146"/>
      <c r="L8" s="146"/>
    </row>
    <row r="9" spans="1:12" x14ac:dyDescent="0.3">
      <c r="A9" s="132" t="str">
        <f>APPLIC!A9</f>
        <v>Irrigation</v>
      </c>
      <c r="B9" s="136" t="s">
        <v>391</v>
      </c>
      <c r="C9" s="150">
        <v>1</v>
      </c>
      <c r="D9" s="150">
        <v>1</v>
      </c>
      <c r="E9" s="150">
        <v>1</v>
      </c>
      <c r="F9" s="150">
        <v>1</v>
      </c>
      <c r="G9" s="151" t="s">
        <v>405</v>
      </c>
      <c r="H9" s="146"/>
      <c r="I9" s="146"/>
      <c r="J9" s="146"/>
      <c r="K9" s="146"/>
      <c r="L9" s="146"/>
    </row>
    <row r="10" spans="1:12" x14ac:dyDescent="0.3">
      <c r="A10" s="132" t="str">
        <f>APPLIC!A10</f>
        <v>Irrigation</v>
      </c>
      <c r="B10" s="136" t="s">
        <v>392</v>
      </c>
      <c r="C10" s="150">
        <v>1</v>
      </c>
      <c r="D10" s="150">
        <v>1</v>
      </c>
      <c r="E10" s="150">
        <v>1</v>
      </c>
      <c r="F10" s="150">
        <v>1</v>
      </c>
      <c r="G10" s="151" t="s">
        <v>405</v>
      </c>
      <c r="H10" s="146"/>
      <c r="I10" s="146"/>
      <c r="J10" s="146"/>
      <c r="K10" s="146"/>
      <c r="L10" s="146"/>
    </row>
    <row r="11" spans="1:12" x14ac:dyDescent="0.3">
      <c r="A11" s="132" t="str">
        <f>APPLIC!A11</f>
        <v>Irrigation</v>
      </c>
      <c r="B11" s="136" t="s">
        <v>393</v>
      </c>
      <c r="C11" s="150">
        <v>1</v>
      </c>
      <c r="D11" s="150">
        <v>1</v>
      </c>
      <c r="E11" s="150">
        <v>1</v>
      </c>
      <c r="F11" s="150">
        <v>1</v>
      </c>
      <c r="G11" s="151" t="s">
        <v>405</v>
      </c>
      <c r="H11" s="146"/>
      <c r="I11" s="146"/>
      <c r="J11" s="146"/>
      <c r="K11" s="146"/>
      <c r="L11" s="146"/>
    </row>
    <row r="12" spans="1:12" x14ac:dyDescent="0.3">
      <c r="A12" s="132" t="str">
        <f>APPLIC!A12</f>
        <v>Irrigation</v>
      </c>
      <c r="B12" s="136" t="s">
        <v>394</v>
      </c>
      <c r="C12" s="150">
        <v>1</v>
      </c>
      <c r="D12" s="150">
        <v>1</v>
      </c>
      <c r="E12" s="150">
        <v>1</v>
      </c>
      <c r="F12" s="150">
        <v>1</v>
      </c>
      <c r="G12" s="151" t="s">
        <v>405</v>
      </c>
      <c r="H12" s="146"/>
      <c r="I12" s="146"/>
      <c r="J12" s="146"/>
      <c r="K12" s="146"/>
      <c r="L12" s="146"/>
    </row>
    <row r="13" spans="1:12" x14ac:dyDescent="0.3">
      <c r="A13" s="132" t="str">
        <f>APPLIC!A13</f>
        <v>Irrigation</v>
      </c>
      <c r="B13" s="136" t="s">
        <v>397</v>
      </c>
      <c r="C13" s="150">
        <v>1</v>
      </c>
      <c r="D13" s="150">
        <v>1</v>
      </c>
      <c r="E13" s="150">
        <v>1</v>
      </c>
      <c r="F13" s="150">
        <v>1</v>
      </c>
      <c r="G13" s="151" t="s">
        <v>405</v>
      </c>
      <c r="H13" s="146"/>
      <c r="I13" s="146"/>
      <c r="J13" s="146"/>
      <c r="K13" s="146"/>
      <c r="L13" s="146"/>
    </row>
    <row r="14" spans="1:12" x14ac:dyDescent="0.3">
      <c r="A14" s="132" t="str">
        <f>APPLIC!A14</f>
        <v>Irrigation</v>
      </c>
      <c r="B14" s="136" t="s">
        <v>398</v>
      </c>
      <c r="C14" s="150">
        <v>1</v>
      </c>
      <c r="D14" s="150">
        <v>1</v>
      </c>
      <c r="E14" s="150">
        <v>1</v>
      </c>
      <c r="F14" s="150">
        <v>1</v>
      </c>
      <c r="G14" s="151" t="s">
        <v>405</v>
      </c>
      <c r="H14" s="146"/>
      <c r="I14" s="146"/>
      <c r="J14" s="146"/>
      <c r="K14" s="146"/>
      <c r="L14" s="146"/>
    </row>
    <row r="15" spans="1:12" x14ac:dyDescent="0.3">
      <c r="A15" s="132" t="str">
        <f>APPLIC!A15</f>
        <v>Irrigation</v>
      </c>
      <c r="B15" s="136" t="s">
        <v>399</v>
      </c>
      <c r="C15" s="150">
        <v>1</v>
      </c>
      <c r="D15" s="150">
        <v>1</v>
      </c>
      <c r="E15" s="150">
        <v>1</v>
      </c>
      <c r="F15" s="150">
        <v>1</v>
      </c>
      <c r="G15" s="151" t="s">
        <v>405</v>
      </c>
      <c r="H15" s="146"/>
      <c r="I15" s="146"/>
      <c r="J15" s="146"/>
      <c r="K15" s="146"/>
      <c r="L15" s="146"/>
    </row>
    <row r="16" spans="1:12" ht="26.4" x14ac:dyDescent="0.3">
      <c r="A16" s="132" t="str">
        <f>APPLIC!A16</f>
        <v>Irrigation</v>
      </c>
      <c r="B16" s="136" t="s">
        <v>400</v>
      </c>
      <c r="C16" s="152">
        <v>1</v>
      </c>
      <c r="D16" s="152">
        <v>1</v>
      </c>
      <c r="E16" s="152">
        <v>1</v>
      </c>
      <c r="F16" s="152">
        <v>1</v>
      </c>
      <c r="G16" s="153" t="s">
        <v>464</v>
      </c>
      <c r="H16" s="146"/>
      <c r="I16" s="146"/>
      <c r="J16" s="146"/>
      <c r="K16" s="146"/>
      <c r="L16" s="146"/>
    </row>
    <row r="17" spans="1:12" ht="26.4" x14ac:dyDescent="0.3">
      <c r="A17" s="132" t="str">
        <f>APPLIC!A17</f>
        <v>Irrigation</v>
      </c>
      <c r="B17" s="136" t="s">
        <v>401</v>
      </c>
      <c r="C17" s="152">
        <f>0.3*C16</f>
        <v>0.3</v>
      </c>
      <c r="D17" s="152">
        <v>0.3</v>
      </c>
      <c r="E17" s="152">
        <v>0.3</v>
      </c>
      <c r="F17" s="152">
        <v>0.3</v>
      </c>
      <c r="G17" s="153" t="s">
        <v>461</v>
      </c>
      <c r="H17" s="146"/>
      <c r="I17" s="146"/>
      <c r="J17" s="146"/>
      <c r="K17" s="146"/>
      <c r="L17" s="146"/>
    </row>
    <row r="18" spans="1:12" ht="26.4" x14ac:dyDescent="0.3">
      <c r="A18" s="132" t="str">
        <f>APPLIC!A18</f>
        <v>Irrigation</v>
      </c>
      <c r="B18" s="136" t="s">
        <v>402</v>
      </c>
      <c r="C18" s="152">
        <f t="shared" ref="C18:F19" si="1">C16/2</f>
        <v>0.5</v>
      </c>
      <c r="D18" s="152">
        <f t="shared" si="1"/>
        <v>0.5</v>
      </c>
      <c r="E18" s="152">
        <f t="shared" si="1"/>
        <v>0.5</v>
      </c>
      <c r="F18" s="152">
        <f t="shared" si="1"/>
        <v>0.5</v>
      </c>
      <c r="G18" s="153" t="s">
        <v>463</v>
      </c>
      <c r="H18" s="146"/>
      <c r="I18" s="146"/>
      <c r="J18" s="146"/>
      <c r="K18" s="146"/>
      <c r="L18" s="146"/>
    </row>
    <row r="19" spans="1:12" ht="26.4" x14ac:dyDescent="0.3">
      <c r="A19" s="132" t="str">
        <f>APPLIC!A19</f>
        <v>Irrigation</v>
      </c>
      <c r="B19" s="136" t="s">
        <v>403</v>
      </c>
      <c r="C19" s="152">
        <f t="shared" si="1"/>
        <v>0.15</v>
      </c>
      <c r="D19" s="152">
        <f t="shared" si="1"/>
        <v>0.15</v>
      </c>
      <c r="E19" s="152">
        <f t="shared" si="1"/>
        <v>0.15</v>
      </c>
      <c r="F19" s="152">
        <f t="shared" si="1"/>
        <v>0.15</v>
      </c>
      <c r="G19" s="153" t="s">
        <v>462</v>
      </c>
      <c r="H19" s="146"/>
      <c r="I19" s="148"/>
      <c r="J19" s="148"/>
      <c r="K19" s="148"/>
      <c r="L19" s="148"/>
    </row>
    <row r="20" spans="1:12" x14ac:dyDescent="0.3">
      <c r="A20" s="132" t="str">
        <f>APPLIC!A20</f>
        <v>Irrigation</v>
      </c>
      <c r="B20" s="136" t="s">
        <v>512</v>
      </c>
      <c r="C20" s="152">
        <v>0.3</v>
      </c>
      <c r="D20" s="152">
        <v>0.3</v>
      </c>
      <c r="E20" s="152">
        <v>0.3</v>
      </c>
      <c r="F20" s="152">
        <v>0.3</v>
      </c>
      <c r="G20" s="153" t="s">
        <v>514</v>
      </c>
      <c r="H20" s="146"/>
      <c r="I20" s="148"/>
      <c r="J20" s="148"/>
      <c r="K20" s="148"/>
      <c r="L20" s="148"/>
    </row>
    <row r="21" spans="1:12" ht="39.6" x14ac:dyDescent="0.3">
      <c r="A21" s="132" t="str">
        <f>APPLIC!A21</f>
        <v>Irrigation</v>
      </c>
      <c r="B21" s="136" t="s">
        <v>395</v>
      </c>
      <c r="C21" s="152">
        <f>D21*0.5</f>
        <v>7.4999999999999997E-2</v>
      </c>
      <c r="D21" s="152">
        <v>0.15</v>
      </c>
      <c r="E21" s="152">
        <v>0.15</v>
      </c>
      <c r="F21" s="152">
        <v>0.15</v>
      </c>
      <c r="G21" s="153" t="s">
        <v>406</v>
      </c>
      <c r="H21" s="146"/>
      <c r="I21" s="146"/>
      <c r="J21" s="146"/>
      <c r="K21" s="146"/>
      <c r="L21" s="146"/>
    </row>
    <row r="22" spans="1:12" ht="39.6" x14ac:dyDescent="0.3">
      <c r="A22" s="132" t="str">
        <f>APPLIC!A22</f>
        <v>Irrigation</v>
      </c>
      <c r="B22" s="136" t="s">
        <v>396</v>
      </c>
      <c r="C22" s="152">
        <f>D22*0.5</f>
        <v>7.4999999999999997E-2</v>
      </c>
      <c r="D22" s="152">
        <v>0.15</v>
      </c>
      <c r="E22" s="152">
        <v>0.15</v>
      </c>
      <c r="F22" s="152">
        <v>0.15</v>
      </c>
      <c r="G22" s="153" t="s">
        <v>406</v>
      </c>
      <c r="H22" s="146"/>
      <c r="I22" s="146"/>
      <c r="J22" s="146"/>
      <c r="K22" s="146"/>
      <c r="L22" s="146"/>
    </row>
    <row r="23" spans="1:12" x14ac:dyDescent="0.3">
      <c r="A23" s="132" t="str">
        <f>APPLIC!A23</f>
        <v>Irrigation</v>
      </c>
      <c r="B23" s="136" t="s">
        <v>404</v>
      </c>
      <c r="C23" s="152">
        <v>0.5</v>
      </c>
      <c r="D23" s="152">
        <v>0.5</v>
      </c>
      <c r="E23" s="152">
        <v>0.5</v>
      </c>
      <c r="F23" s="152">
        <v>0.5</v>
      </c>
      <c r="G23" s="153" t="s">
        <v>471</v>
      </c>
      <c r="H23" s="146"/>
      <c r="I23" s="146"/>
      <c r="J23" s="146"/>
      <c r="K23" s="146"/>
      <c r="L23" s="146"/>
    </row>
    <row r="24" spans="1:12" x14ac:dyDescent="0.3">
      <c r="C24" s="144"/>
      <c r="D24" s="144"/>
      <c r="E24" s="144"/>
      <c r="F24" s="144"/>
      <c r="G24" s="145"/>
      <c r="H24" s="146"/>
      <c r="I24" s="146"/>
      <c r="J24" s="146"/>
      <c r="K24" s="146"/>
      <c r="L24" s="146"/>
    </row>
    <row r="25" spans="1:12" x14ac:dyDescent="0.3">
      <c r="A25" s="147" t="str">
        <f>APPLIC!A25</f>
        <v>Motors/Drives</v>
      </c>
      <c r="B25" s="154" t="s">
        <v>369</v>
      </c>
      <c r="C25" s="155">
        <v>0.05</v>
      </c>
      <c r="D25" s="155">
        <v>0.05</v>
      </c>
      <c r="E25" s="155">
        <v>0.05</v>
      </c>
      <c r="F25" s="155">
        <v>0.05</v>
      </c>
      <c r="G25" s="151" t="s">
        <v>457</v>
      </c>
      <c r="H25" s="146"/>
      <c r="I25" s="148"/>
      <c r="J25" s="148"/>
      <c r="K25" s="148"/>
      <c r="L25" s="148"/>
    </row>
    <row r="26" spans="1:12" x14ac:dyDescent="0.3">
      <c r="A26" s="147" t="str">
        <f>APPLIC!A26</f>
        <v>Motors/Drives</v>
      </c>
      <c r="B26" s="154" t="s">
        <v>370</v>
      </c>
      <c r="C26" s="155">
        <v>0.95</v>
      </c>
      <c r="D26" s="155">
        <v>0.95</v>
      </c>
      <c r="E26" s="155">
        <v>0.95</v>
      </c>
      <c r="F26" s="155">
        <v>0.95</v>
      </c>
      <c r="G26" s="151" t="s">
        <v>366</v>
      </c>
      <c r="H26" s="146"/>
      <c r="I26" s="148"/>
      <c r="J26" s="148"/>
      <c r="K26" s="148"/>
      <c r="L26" s="148"/>
    </row>
    <row r="27" spans="1:12" x14ac:dyDescent="0.3">
      <c r="A27" s="147" t="str">
        <f>APPLIC!A27</f>
        <v>Refrigeration</v>
      </c>
      <c r="B27" s="154" t="s">
        <v>371</v>
      </c>
      <c r="C27" s="155">
        <v>0.95</v>
      </c>
      <c r="D27" s="155">
        <v>0.95</v>
      </c>
      <c r="E27" s="155">
        <v>0.95</v>
      </c>
      <c r="F27" s="155">
        <v>0.95</v>
      </c>
      <c r="G27" s="151" t="s">
        <v>366</v>
      </c>
      <c r="H27" s="146"/>
      <c r="I27" s="148"/>
      <c r="J27" s="148"/>
      <c r="K27" s="148"/>
      <c r="L27" s="148"/>
    </row>
    <row r="28" spans="1:12" x14ac:dyDescent="0.3">
      <c r="A28" s="147" t="str">
        <f>APPLIC!A28</f>
        <v>Refrigeration</v>
      </c>
      <c r="B28" s="154" t="s">
        <v>372</v>
      </c>
      <c r="C28" s="155">
        <v>0.95</v>
      </c>
      <c r="D28" s="155">
        <v>0.95</v>
      </c>
      <c r="E28" s="155">
        <v>0.95</v>
      </c>
      <c r="F28" s="155">
        <v>0.95</v>
      </c>
      <c r="G28" s="151" t="s">
        <v>366</v>
      </c>
      <c r="H28" s="146"/>
      <c r="I28" s="148"/>
      <c r="J28" s="148"/>
      <c r="K28" s="148"/>
      <c r="L28" s="148"/>
    </row>
    <row r="29" spans="1:12" x14ac:dyDescent="0.3">
      <c r="A29" s="147" t="str">
        <f>APPLIC!A29</f>
        <v>Lighting</v>
      </c>
      <c r="B29" s="154" t="s">
        <v>373</v>
      </c>
      <c r="C29" s="155">
        <v>0.95</v>
      </c>
      <c r="D29" s="155">
        <v>0.95</v>
      </c>
      <c r="E29" s="155">
        <v>0.95</v>
      </c>
      <c r="F29" s="155">
        <v>0.95</v>
      </c>
      <c r="G29" s="151" t="s">
        <v>366</v>
      </c>
      <c r="H29" s="146"/>
      <c r="I29" s="148"/>
      <c r="J29" s="148"/>
      <c r="K29" s="148"/>
      <c r="L29" s="148"/>
    </row>
    <row r="30" spans="1:12" x14ac:dyDescent="0.3">
      <c r="A30" s="147" t="str">
        <f>APPLIC!A30</f>
        <v>Lighting</v>
      </c>
      <c r="B30" s="154" t="s">
        <v>374</v>
      </c>
      <c r="C30" s="155">
        <v>0.95</v>
      </c>
      <c r="D30" s="155">
        <v>0.95</v>
      </c>
      <c r="E30" s="155">
        <v>0.95</v>
      </c>
      <c r="F30" s="155">
        <v>0.95</v>
      </c>
      <c r="G30" s="151" t="s">
        <v>366</v>
      </c>
      <c r="H30" s="146"/>
      <c r="I30" s="148"/>
      <c r="J30" s="148"/>
      <c r="K30" s="148"/>
      <c r="L30" s="148"/>
    </row>
    <row r="31" spans="1:12" x14ac:dyDescent="0.3">
      <c r="A31" s="147" t="str">
        <f>APPLIC!A31</f>
        <v>Refrigeration</v>
      </c>
      <c r="B31" s="136" t="s">
        <v>375</v>
      </c>
      <c r="C31" s="152">
        <v>0.2</v>
      </c>
      <c r="D31" s="152">
        <f t="shared" ref="D31:F31" si="2">$C$31</f>
        <v>0.2</v>
      </c>
      <c r="E31" s="152">
        <f t="shared" si="2"/>
        <v>0.2</v>
      </c>
      <c r="F31" s="152">
        <f t="shared" si="2"/>
        <v>0.2</v>
      </c>
      <c r="G31" s="153" t="s">
        <v>474</v>
      </c>
      <c r="H31" s="146"/>
      <c r="I31" s="148"/>
      <c r="J31" s="148"/>
      <c r="K31" s="148"/>
      <c r="L31" s="148"/>
    </row>
    <row r="32" spans="1:12" ht="26.4" x14ac:dyDescent="0.3">
      <c r="A32" s="147" t="str">
        <f>APPLIC!A32</f>
        <v>Refrigeration</v>
      </c>
      <c r="B32" s="136" t="s">
        <v>376</v>
      </c>
      <c r="C32" s="152">
        <f>80%*0.25</f>
        <v>0.2</v>
      </c>
      <c r="D32" s="152">
        <f t="shared" ref="D32:F32" si="3">$C$32</f>
        <v>0.2</v>
      </c>
      <c r="E32" s="152">
        <f t="shared" si="3"/>
        <v>0.2</v>
      </c>
      <c r="F32" s="152">
        <f t="shared" si="3"/>
        <v>0.2</v>
      </c>
      <c r="G32" s="153" t="s">
        <v>473</v>
      </c>
      <c r="H32" s="146"/>
      <c r="I32" s="148"/>
      <c r="J32" s="148"/>
      <c r="K32" s="148"/>
      <c r="L32" s="148"/>
    </row>
    <row r="33" spans="1:12" x14ac:dyDescent="0.3">
      <c r="A33" s="147" t="str">
        <f>APPLIC!A33</f>
        <v>Refrigeration</v>
      </c>
      <c r="B33" s="136" t="s">
        <v>359</v>
      </c>
      <c r="C33" s="152">
        <v>0.5</v>
      </c>
      <c r="D33" s="152">
        <v>0.5</v>
      </c>
      <c r="E33" s="152">
        <v>0.5</v>
      </c>
      <c r="F33" s="152">
        <v>0.5</v>
      </c>
      <c r="G33" s="153" t="s">
        <v>367</v>
      </c>
      <c r="H33" s="146"/>
      <c r="I33" s="148"/>
      <c r="J33" s="148"/>
      <c r="K33" s="148"/>
      <c r="L33" s="148"/>
    </row>
    <row r="34" spans="1:12" x14ac:dyDescent="0.3">
      <c r="A34" s="147" t="str">
        <f>APPLIC!A34</f>
        <v>Motors/Drives</v>
      </c>
      <c r="B34" s="136" t="s">
        <v>360</v>
      </c>
      <c r="C34" s="152">
        <v>0.95</v>
      </c>
      <c r="D34" s="152">
        <v>0.95</v>
      </c>
      <c r="E34" s="152">
        <v>0.95</v>
      </c>
      <c r="F34" s="152">
        <v>0.95</v>
      </c>
      <c r="G34" s="153" t="s">
        <v>368</v>
      </c>
      <c r="H34" s="146"/>
      <c r="I34" s="148"/>
      <c r="J34" s="148"/>
      <c r="K34" s="148"/>
      <c r="L34" s="148"/>
    </row>
    <row r="35" spans="1:12" ht="39.6" x14ac:dyDescent="0.3">
      <c r="A35" s="147" t="str">
        <f>APPLIC!A35</f>
        <v>HVAC</v>
      </c>
      <c r="B35" s="136" t="s">
        <v>377</v>
      </c>
      <c r="C35" s="152">
        <v>0.75</v>
      </c>
      <c r="D35" s="152">
        <v>0.75</v>
      </c>
      <c r="E35" s="152">
        <v>0.75</v>
      </c>
      <c r="F35" s="152">
        <v>0.75</v>
      </c>
      <c r="G35" s="153" t="s">
        <v>476</v>
      </c>
      <c r="H35" s="146"/>
      <c r="I35" s="148"/>
      <c r="J35" s="148"/>
      <c r="K35" s="148"/>
      <c r="L35" s="148"/>
    </row>
    <row r="36" spans="1:12" ht="39.6" x14ac:dyDescent="0.3">
      <c r="A36" s="147" t="str">
        <f>APPLIC!A36</f>
        <v>HVAC</v>
      </c>
      <c r="B36" s="136" t="s">
        <v>378</v>
      </c>
      <c r="C36" s="152">
        <v>0.75</v>
      </c>
      <c r="D36" s="152">
        <v>0.75</v>
      </c>
      <c r="E36" s="152">
        <v>0.75</v>
      </c>
      <c r="F36" s="152">
        <v>0.75</v>
      </c>
      <c r="G36" s="153" t="s">
        <v>476</v>
      </c>
      <c r="H36" s="146"/>
      <c r="I36" s="148"/>
      <c r="J36" s="148"/>
      <c r="K36" s="148"/>
      <c r="L36" s="148"/>
    </row>
    <row r="37" spans="1:12" ht="39.6" x14ac:dyDescent="0.3">
      <c r="A37" s="147" t="str">
        <f>APPLIC!A37</f>
        <v>HVAC</v>
      </c>
      <c r="B37" s="136" t="s">
        <v>379</v>
      </c>
      <c r="C37" s="152">
        <v>0.5</v>
      </c>
      <c r="D37" s="152">
        <v>0.5</v>
      </c>
      <c r="E37" s="152">
        <v>0.5</v>
      </c>
      <c r="F37" s="152">
        <v>0.5</v>
      </c>
      <c r="G37" s="153" t="s">
        <v>475</v>
      </c>
      <c r="H37" s="146"/>
      <c r="I37" s="148"/>
      <c r="J37" s="148"/>
      <c r="K37" s="148"/>
      <c r="L37" s="148"/>
    </row>
    <row r="38" spans="1:12" x14ac:dyDescent="0.3">
      <c r="A38" s="147" t="str">
        <f>APPLIC!A38</f>
        <v>HVAC</v>
      </c>
      <c r="B38" s="136" t="s">
        <v>380</v>
      </c>
      <c r="C38" s="152">
        <v>0</v>
      </c>
      <c r="D38" s="152">
        <v>0</v>
      </c>
      <c r="E38" s="152">
        <v>0</v>
      </c>
      <c r="F38" s="152">
        <v>0</v>
      </c>
      <c r="G38" s="153" t="s">
        <v>456</v>
      </c>
      <c r="H38" s="146"/>
      <c r="I38" s="148"/>
      <c r="J38" s="148"/>
      <c r="K38" s="148"/>
      <c r="L38" s="148"/>
    </row>
    <row r="39" spans="1:12" x14ac:dyDescent="0.3">
      <c r="A39" s="132" t="str">
        <f>APPLIC!A39</f>
        <v>Lighting</v>
      </c>
      <c r="B39" s="136" t="s">
        <v>192</v>
      </c>
      <c r="C39" s="152">
        <v>0.25</v>
      </c>
      <c r="D39" s="152">
        <v>0.25</v>
      </c>
      <c r="E39" s="152">
        <v>0.25</v>
      </c>
      <c r="F39" s="152">
        <v>0.25</v>
      </c>
      <c r="G39" s="153" t="s">
        <v>256</v>
      </c>
      <c r="H39" s="146"/>
      <c r="I39" s="146"/>
      <c r="J39" s="146"/>
      <c r="K39" s="146"/>
      <c r="L39" s="146"/>
    </row>
    <row r="40" spans="1:12" x14ac:dyDescent="0.3">
      <c r="A40" s="132" t="str">
        <f>APPLIC!A40</f>
        <v>Lighting</v>
      </c>
      <c r="B40" s="136" t="s">
        <v>193</v>
      </c>
      <c r="C40" s="152">
        <v>0.25</v>
      </c>
      <c r="D40" s="152">
        <v>0.25</v>
      </c>
      <c r="E40" s="152">
        <v>0.25</v>
      </c>
      <c r="F40" s="152">
        <v>0.25</v>
      </c>
      <c r="G40" s="153" t="s">
        <v>256</v>
      </c>
      <c r="H40" s="146"/>
      <c r="I40" s="148"/>
      <c r="J40" s="148"/>
      <c r="K40" s="148"/>
      <c r="L40" s="148"/>
    </row>
    <row r="41" spans="1:12" x14ac:dyDescent="0.3">
      <c r="A41" s="132" t="str">
        <f>APPLIC!A41</f>
        <v>Lighting</v>
      </c>
      <c r="B41" s="136" t="s">
        <v>194</v>
      </c>
      <c r="C41" s="152">
        <v>0.25</v>
      </c>
      <c r="D41" s="152">
        <v>0.25</v>
      </c>
      <c r="E41" s="152">
        <v>0.25</v>
      </c>
      <c r="F41" s="152">
        <v>0.25</v>
      </c>
      <c r="G41" s="153" t="s">
        <v>256</v>
      </c>
      <c r="H41" s="146"/>
      <c r="I41" s="148"/>
      <c r="J41" s="148"/>
      <c r="K41" s="148"/>
      <c r="L41" s="148"/>
    </row>
    <row r="42" spans="1:12" x14ac:dyDescent="0.3">
      <c r="A42" s="132" t="str">
        <f>APPLIC!A42</f>
        <v>Lighting</v>
      </c>
      <c r="B42" s="136" t="s">
        <v>195</v>
      </c>
      <c r="C42" s="152">
        <v>0.25</v>
      </c>
      <c r="D42" s="152">
        <v>0.25</v>
      </c>
      <c r="E42" s="152">
        <v>0.25</v>
      </c>
      <c r="F42" s="152">
        <v>0.25</v>
      </c>
      <c r="G42" s="153" t="s">
        <v>256</v>
      </c>
      <c r="H42" s="146"/>
      <c r="I42" s="148"/>
      <c r="J42" s="148"/>
      <c r="K42" s="148"/>
      <c r="L42" s="148"/>
    </row>
    <row r="43" spans="1:12" x14ac:dyDescent="0.3">
      <c r="C43" s="149"/>
      <c r="D43" s="149"/>
      <c r="E43" s="149"/>
      <c r="F43" s="149"/>
      <c r="G43" s="145"/>
      <c r="H43" s="146"/>
      <c r="I43" s="148"/>
      <c r="J43" s="148"/>
      <c r="K43" s="148"/>
      <c r="L43" s="148"/>
    </row>
    <row r="44" spans="1:12" x14ac:dyDescent="0.3">
      <c r="C44" s="149"/>
      <c r="D44" s="149"/>
      <c r="E44" s="149"/>
      <c r="F44" s="149"/>
      <c r="G44" s="129"/>
      <c r="H44" s="132"/>
      <c r="I44" s="147"/>
      <c r="J44" s="147"/>
      <c r="K44" s="147"/>
      <c r="L44" s="147"/>
    </row>
    <row r="45" spans="1:12" x14ac:dyDescent="0.3">
      <c r="A45" s="147" t="str">
        <f>APPLIC!A45</f>
        <v>Motors/Drives</v>
      </c>
      <c r="B45" s="154" t="s">
        <v>218</v>
      </c>
      <c r="C45" s="155">
        <v>0.7</v>
      </c>
      <c r="D45" s="155">
        <v>0.7</v>
      </c>
      <c r="E45" s="155">
        <v>0.7</v>
      </c>
      <c r="F45" s="155">
        <v>0.7</v>
      </c>
      <c r="G45" s="151" t="s">
        <v>264</v>
      </c>
      <c r="H45" s="146"/>
      <c r="I45" s="148"/>
      <c r="J45" s="148"/>
      <c r="K45" s="148"/>
      <c r="L45" s="148"/>
    </row>
    <row r="46" spans="1:12" x14ac:dyDescent="0.3">
      <c r="A46" s="147" t="str">
        <f>APPLIC!A46</f>
        <v>Irrigation</v>
      </c>
      <c r="B46" s="154" t="s">
        <v>437</v>
      </c>
      <c r="C46" s="155">
        <v>0.9</v>
      </c>
      <c r="D46" s="155">
        <v>0.9</v>
      </c>
      <c r="E46" s="155">
        <v>0.9</v>
      </c>
      <c r="F46" s="155">
        <v>0.9</v>
      </c>
      <c r="G46" s="151" t="s">
        <v>264</v>
      </c>
      <c r="H46" s="146"/>
      <c r="I46" s="148"/>
      <c r="J46" s="148"/>
      <c r="K46" s="148"/>
      <c r="L46" s="148"/>
    </row>
    <row r="47" spans="1:12" x14ac:dyDescent="0.3">
      <c r="A47" s="147" t="str">
        <f>APPLIC!A47</f>
        <v>Motors/Drives</v>
      </c>
      <c r="B47" s="156" t="s">
        <v>267</v>
      </c>
      <c r="C47" s="155">
        <f>C46</f>
        <v>0.9</v>
      </c>
      <c r="D47" s="155">
        <f>D46</f>
        <v>0.9</v>
      </c>
      <c r="E47" s="155">
        <f>E46</f>
        <v>0.9</v>
      </c>
      <c r="F47" s="155">
        <f>F46</f>
        <v>0.9</v>
      </c>
      <c r="G47" s="151" t="s">
        <v>264</v>
      </c>
      <c r="H47" s="132"/>
      <c r="I47" s="147"/>
      <c r="J47" s="147"/>
      <c r="K47" s="147"/>
      <c r="L47" s="147"/>
    </row>
    <row r="48" spans="1:12" x14ac:dyDescent="0.3">
      <c r="A48" s="147" t="str">
        <f>APPLIC!A48</f>
        <v>Process Loads</v>
      </c>
      <c r="B48" s="143" t="s">
        <v>262</v>
      </c>
      <c r="C48" s="152">
        <v>1</v>
      </c>
      <c r="D48" s="152">
        <v>1</v>
      </c>
      <c r="E48" s="152">
        <v>1</v>
      </c>
      <c r="F48" s="152">
        <v>1</v>
      </c>
      <c r="G48" s="140" t="s">
        <v>559</v>
      </c>
      <c r="H48" s="132"/>
      <c r="I48" s="147"/>
      <c r="J48" s="147"/>
      <c r="K48" s="147"/>
      <c r="L48" s="147"/>
    </row>
    <row r="49" spans="1:12" x14ac:dyDescent="0.3">
      <c r="A49" s="147" t="str">
        <f>APPLIC!A49</f>
        <v>Process Loads</v>
      </c>
      <c r="B49" s="143" t="s">
        <v>415</v>
      </c>
      <c r="C49" s="152">
        <v>0.9</v>
      </c>
      <c r="D49" s="152">
        <v>0.9</v>
      </c>
      <c r="E49" s="152">
        <v>0.9</v>
      </c>
      <c r="F49" s="152">
        <v>0.9</v>
      </c>
      <c r="G49" s="140" t="s">
        <v>413</v>
      </c>
      <c r="H49" s="132"/>
      <c r="I49" s="147"/>
      <c r="J49" s="147"/>
      <c r="K49" s="147"/>
      <c r="L49" s="147"/>
    </row>
  </sheetData>
  <printOptions headings="1" gridLines="1"/>
  <pageMargins left="0.63" right="0.62" top="1" bottom="1" header="0.5" footer="0.5"/>
  <pageSetup scale="61" orientation="landscape" r:id="rId1"/>
  <headerFooter alignWithMargins="0">
    <oddFooter>&amp;L&amp;D &amp;T&amp;C&amp;P of &amp;N&amp;R&amp;F &amp;A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0140-3D07-4BE5-8CE5-9DA8ECBBACE3}">
  <sheetPr codeName="Sheet5">
    <tabColor rgb="FFFF0000"/>
  </sheetPr>
  <dimension ref="A1:H49"/>
  <sheetViews>
    <sheetView zoomScale="85" zoomScaleNormal="85" workbookViewId="0">
      <pane xSplit="2" ySplit="3" topLeftCell="C4" activePane="bottomRight" state="frozen"/>
      <selection pane="topRight" activeCell="C1" sqref="C1"/>
      <selection pane="bottomLeft" activeCell="A4" sqref="A4"/>
      <selection pane="bottomRight" activeCell="G45" sqref="G45"/>
    </sheetView>
  </sheetViews>
  <sheetFormatPr defaultColWidth="9.109375" defaultRowHeight="14.4" customHeight="1" x14ac:dyDescent="0.3"/>
  <cols>
    <col min="1" max="1" width="9.33203125" customWidth="1"/>
    <col min="2" max="2" width="57.5546875" bestFit="1" customWidth="1"/>
    <col min="3" max="6" width="10.33203125" customWidth="1"/>
    <col min="7" max="7" width="122" customWidth="1"/>
    <col min="8" max="8" width="28" customWidth="1"/>
  </cols>
  <sheetData>
    <row r="1" spans="1:8" x14ac:dyDescent="0.3">
      <c r="A1" s="93" t="s">
        <v>257</v>
      </c>
      <c r="B1" s="63" t="s">
        <v>258</v>
      </c>
      <c r="C1" s="93"/>
      <c r="D1" s="93"/>
      <c r="E1" s="93"/>
      <c r="F1" s="93"/>
      <c r="G1" s="93"/>
      <c r="H1" s="93"/>
    </row>
    <row r="2" spans="1:8" x14ac:dyDescent="0.3">
      <c r="A2" s="93"/>
      <c r="B2" s="93"/>
      <c r="C2" s="93"/>
      <c r="D2" s="93"/>
      <c r="E2" s="93"/>
      <c r="F2" s="93"/>
      <c r="G2" s="93"/>
      <c r="H2" s="93"/>
    </row>
    <row r="3" spans="1:8" x14ac:dyDescent="0.3">
      <c r="A3" s="94" t="s">
        <v>259</v>
      </c>
      <c r="B3" s="94" t="s">
        <v>236</v>
      </c>
      <c r="C3" s="135" t="s">
        <v>22</v>
      </c>
      <c r="D3" s="135" t="s">
        <v>25</v>
      </c>
      <c r="E3" s="135" t="s">
        <v>24</v>
      </c>
      <c r="F3" s="135" t="s">
        <v>23</v>
      </c>
      <c r="G3" s="135" t="s">
        <v>255</v>
      </c>
      <c r="H3" s="95" t="s">
        <v>260</v>
      </c>
    </row>
    <row r="4" spans="1:8" x14ac:dyDescent="0.3">
      <c r="A4" s="132" t="str">
        <f>APPLIC!A4</f>
        <v>Irrigation</v>
      </c>
      <c r="B4" s="136" t="s">
        <v>386</v>
      </c>
      <c r="C4" s="137">
        <v>0.7</v>
      </c>
      <c r="D4" s="137">
        <v>0.7</v>
      </c>
      <c r="E4" s="137">
        <v>0.7</v>
      </c>
      <c r="F4" s="137">
        <v>0.7</v>
      </c>
      <c r="G4" s="138" t="s">
        <v>408</v>
      </c>
      <c r="H4" s="93"/>
    </row>
    <row r="5" spans="1:8" x14ac:dyDescent="0.3">
      <c r="A5" s="132" t="str">
        <f>APPLIC!A5</f>
        <v>Irrigation</v>
      </c>
      <c r="B5" s="136" t="s">
        <v>387</v>
      </c>
      <c r="C5" s="137">
        <v>0.7</v>
      </c>
      <c r="D5" s="137">
        <v>0.7</v>
      </c>
      <c r="E5" s="137">
        <v>0.7</v>
      </c>
      <c r="F5" s="137">
        <v>0.7</v>
      </c>
      <c r="G5" s="138" t="s">
        <v>408</v>
      </c>
      <c r="H5" s="93"/>
    </row>
    <row r="6" spans="1:8" x14ac:dyDescent="0.3">
      <c r="A6" s="132" t="str">
        <f>APPLIC!A6</f>
        <v>Irrigation</v>
      </c>
      <c r="B6" s="136" t="s">
        <v>388</v>
      </c>
      <c r="C6" s="137">
        <v>0.7</v>
      </c>
      <c r="D6" s="137">
        <v>0.7</v>
      </c>
      <c r="E6" s="137">
        <v>0.7</v>
      </c>
      <c r="F6" s="137">
        <v>0.7</v>
      </c>
      <c r="G6" s="138" t="s">
        <v>408</v>
      </c>
      <c r="H6" s="93"/>
    </row>
    <row r="7" spans="1:8" x14ac:dyDescent="0.3">
      <c r="A7" s="132" t="str">
        <f>APPLIC!A7</f>
        <v>Irrigation</v>
      </c>
      <c r="B7" s="136" t="s">
        <v>389</v>
      </c>
      <c r="C7" s="137">
        <v>0.7</v>
      </c>
      <c r="D7" s="137">
        <v>0.7</v>
      </c>
      <c r="E7" s="137">
        <v>0.7</v>
      </c>
      <c r="F7" s="137">
        <v>0.7</v>
      </c>
      <c r="G7" s="138" t="s">
        <v>408</v>
      </c>
      <c r="H7" s="93"/>
    </row>
    <row r="8" spans="1:8" x14ac:dyDescent="0.3">
      <c r="A8" s="132" t="str">
        <f>APPLIC!A8</f>
        <v>Irrigation</v>
      </c>
      <c r="B8" s="136" t="s">
        <v>390</v>
      </c>
      <c r="C8" s="137">
        <v>0.7</v>
      </c>
      <c r="D8" s="137">
        <v>0.7</v>
      </c>
      <c r="E8" s="137">
        <v>0.7</v>
      </c>
      <c r="F8" s="137">
        <v>0.7</v>
      </c>
      <c r="G8" s="138" t="s">
        <v>408</v>
      </c>
      <c r="H8" s="93"/>
    </row>
    <row r="9" spans="1:8" x14ac:dyDescent="0.3">
      <c r="A9" s="132" t="str">
        <f>APPLIC!A9</f>
        <v>Irrigation</v>
      </c>
      <c r="B9" s="136" t="s">
        <v>391</v>
      </c>
      <c r="C9" s="137">
        <v>0.7</v>
      </c>
      <c r="D9" s="137">
        <v>0.7</v>
      </c>
      <c r="E9" s="137">
        <v>0.7</v>
      </c>
      <c r="F9" s="137">
        <v>0.7</v>
      </c>
      <c r="G9" s="138" t="s">
        <v>408</v>
      </c>
      <c r="H9" s="93"/>
    </row>
    <row r="10" spans="1:8" x14ac:dyDescent="0.3">
      <c r="A10" s="132" t="str">
        <f>APPLIC!A10</f>
        <v>Irrigation</v>
      </c>
      <c r="B10" s="136" t="s">
        <v>392</v>
      </c>
      <c r="C10" s="137">
        <v>0.7</v>
      </c>
      <c r="D10" s="137">
        <v>0.7</v>
      </c>
      <c r="E10" s="137">
        <v>0.7</v>
      </c>
      <c r="F10" s="137">
        <v>0.7</v>
      </c>
      <c r="G10" s="138" t="s">
        <v>408</v>
      </c>
      <c r="H10" s="93"/>
    </row>
    <row r="11" spans="1:8" x14ac:dyDescent="0.3">
      <c r="A11" s="132" t="str">
        <f>APPLIC!A11</f>
        <v>Irrigation</v>
      </c>
      <c r="B11" s="136" t="s">
        <v>393</v>
      </c>
      <c r="C11" s="137">
        <v>0.7</v>
      </c>
      <c r="D11" s="137">
        <v>0.7</v>
      </c>
      <c r="E11" s="137">
        <v>0.7</v>
      </c>
      <c r="F11" s="137">
        <v>0.7</v>
      </c>
      <c r="G11" s="138" t="s">
        <v>408</v>
      </c>
      <c r="H11" s="93"/>
    </row>
    <row r="12" spans="1:8" x14ac:dyDescent="0.3">
      <c r="A12" s="132" t="str">
        <f>APPLIC!A12</f>
        <v>Irrigation</v>
      </c>
      <c r="B12" s="136" t="s">
        <v>394</v>
      </c>
      <c r="C12" s="137">
        <v>0.7</v>
      </c>
      <c r="D12" s="137">
        <v>0.7</v>
      </c>
      <c r="E12" s="137">
        <v>0.7</v>
      </c>
      <c r="F12" s="137">
        <v>0.7</v>
      </c>
      <c r="G12" s="138" t="s">
        <v>408</v>
      </c>
      <c r="H12" s="93"/>
    </row>
    <row r="13" spans="1:8" ht="26.4" x14ac:dyDescent="0.3">
      <c r="A13" s="132" t="str">
        <f>APPLIC!A13</f>
        <v>Irrigation</v>
      </c>
      <c r="B13" s="136" t="s">
        <v>397</v>
      </c>
      <c r="C13" s="139">
        <f>1-[3]Acres!C$30</f>
        <v>0.87616069411365105</v>
      </c>
      <c r="D13" s="139">
        <f>1-[3]Acres!D$30</f>
        <v>0.89092064846539376</v>
      </c>
      <c r="E13" s="139">
        <f>1-[3]Acres!E$30</f>
        <v>0.94625436709770283</v>
      </c>
      <c r="F13" s="139">
        <f>1-[3]Acres!F$30</f>
        <v>0.91325488924091869</v>
      </c>
      <c r="G13" s="140" t="s">
        <v>466</v>
      </c>
      <c r="H13" s="93"/>
    </row>
    <row r="14" spans="1:8" ht="39.6" x14ac:dyDescent="0.3">
      <c r="A14" s="132" t="str">
        <f>APPLIC!A14</f>
        <v>Irrigation</v>
      </c>
      <c r="B14" s="136" t="s">
        <v>398</v>
      </c>
      <c r="C14" s="139">
        <f>(1-[3]Acres!C31*0.75)</f>
        <v>0.57432604816602006</v>
      </c>
      <c r="D14" s="139">
        <f>(1-[3]Acres!D31*0.75)</f>
        <v>0.6065575897174964</v>
      </c>
      <c r="E14" s="139">
        <f>(1-[3]Acres!E31*0.75)</f>
        <v>0.70244604587720061</v>
      </c>
      <c r="F14" s="139">
        <f>(1-[3]Acres!F31*0.75)</f>
        <v>0.59616448353455986</v>
      </c>
      <c r="G14" s="140" t="s">
        <v>469</v>
      </c>
      <c r="H14" s="93"/>
    </row>
    <row r="15" spans="1:8" ht="39.6" x14ac:dyDescent="0.3">
      <c r="A15" s="132" t="str">
        <f>APPLIC!A15</f>
        <v>Irrigation</v>
      </c>
      <c r="B15" s="136" t="s">
        <v>399</v>
      </c>
      <c r="C15" s="139">
        <f>(1-[3]Acres!C32*0.75)</f>
        <v>0.76855343124874165</v>
      </c>
      <c r="D15" s="139">
        <f>(1-[3]Acres!D32*0.75)</f>
        <v>0.72525192393345828</v>
      </c>
      <c r="E15" s="139">
        <f>(1-[3]Acres!E32*0.75)</f>
        <v>0.58786317879952232</v>
      </c>
      <c r="F15" s="139">
        <f>(1-[3]Acres!F32*0.75)</f>
        <v>0.71889434953475106</v>
      </c>
      <c r="G15" s="140" t="s">
        <v>485</v>
      </c>
      <c r="H15" s="93"/>
    </row>
    <row r="16" spans="1:8" ht="26.4" x14ac:dyDescent="0.3">
      <c r="A16" s="132" t="str">
        <f>APPLIC!A16</f>
        <v>Irrigation</v>
      </c>
      <c r="B16" s="136" t="s">
        <v>400</v>
      </c>
      <c r="C16" s="139">
        <f>1-[3]Acres!C$30</f>
        <v>0.87616069411365105</v>
      </c>
      <c r="D16" s="139">
        <f>1-[3]Acres!D$30</f>
        <v>0.89092064846539376</v>
      </c>
      <c r="E16" s="139">
        <f>1-[3]Acres!E$30</f>
        <v>0.94625436709770283</v>
      </c>
      <c r="F16" s="139">
        <f>1-[3]Acres!F$30</f>
        <v>0.91325488924091869</v>
      </c>
      <c r="G16" s="140" t="s">
        <v>470</v>
      </c>
      <c r="H16" s="93"/>
    </row>
    <row r="17" spans="1:8" ht="26.4" x14ac:dyDescent="0.3">
      <c r="A17" s="132" t="str">
        <f>APPLIC!A17</f>
        <v>Irrigation</v>
      </c>
      <c r="B17" s="136" t="s">
        <v>401</v>
      </c>
      <c r="C17" s="139">
        <f>1-[3]Acres!C$31</f>
        <v>0.43243473088802675</v>
      </c>
      <c r="D17" s="139">
        <f>1-[3]Acres!D$31</f>
        <v>0.47541011962332858</v>
      </c>
      <c r="E17" s="139">
        <f>1-[3]Acres!E$31</f>
        <v>0.60326139450293415</v>
      </c>
      <c r="F17" s="139">
        <f>1-[3]Acres!F$31</f>
        <v>0.46155264471274648</v>
      </c>
      <c r="G17" s="140" t="s">
        <v>468</v>
      </c>
      <c r="H17" s="96"/>
    </row>
    <row r="18" spans="1:8" ht="26.4" x14ac:dyDescent="0.3">
      <c r="A18" s="132" t="str">
        <f>APPLIC!A18</f>
        <v>Irrigation</v>
      </c>
      <c r="B18" s="136" t="s">
        <v>402</v>
      </c>
      <c r="C18" s="139">
        <f>1-[3]Acres!C$30</f>
        <v>0.87616069411365105</v>
      </c>
      <c r="D18" s="139">
        <f>1-[3]Acres!D$30</f>
        <v>0.89092064846539376</v>
      </c>
      <c r="E18" s="139">
        <f>1-[3]Acres!E$30</f>
        <v>0.94625436709770283</v>
      </c>
      <c r="F18" s="139">
        <f>1-[3]Acres!F$30</f>
        <v>0.91325488924091869</v>
      </c>
      <c r="G18" s="140" t="s">
        <v>467</v>
      </c>
      <c r="H18" s="93"/>
    </row>
    <row r="19" spans="1:8" ht="26.4" x14ac:dyDescent="0.3">
      <c r="A19" s="132" t="str">
        <f>APPLIC!A19</f>
        <v>Irrigation</v>
      </c>
      <c r="B19" s="136" t="s">
        <v>403</v>
      </c>
      <c r="C19" s="139">
        <f>1-[3]Acres!C$31</f>
        <v>0.43243473088802675</v>
      </c>
      <c r="D19" s="139">
        <f>1-[3]Acres!D$31</f>
        <v>0.47541011962332858</v>
      </c>
      <c r="E19" s="139">
        <f>1-[3]Acres!E$31</f>
        <v>0.60326139450293415</v>
      </c>
      <c r="F19" s="139">
        <f>1-[3]Acres!F$31</f>
        <v>0.46155264471274648</v>
      </c>
      <c r="G19" s="140" t="s">
        <v>468</v>
      </c>
      <c r="H19" s="93"/>
    </row>
    <row r="20" spans="1:8" x14ac:dyDescent="0.3">
      <c r="A20" s="132" t="str">
        <f>APPLIC!A20</f>
        <v>Irrigation</v>
      </c>
      <c r="B20" s="180" t="s">
        <v>512</v>
      </c>
      <c r="C20" s="181">
        <v>0</v>
      </c>
      <c r="D20" s="181">
        <v>0</v>
      </c>
      <c r="E20" s="181">
        <v>0</v>
      </c>
      <c r="F20" s="181">
        <v>0</v>
      </c>
      <c r="G20" s="182" t="s">
        <v>513</v>
      </c>
      <c r="H20" s="93"/>
    </row>
    <row r="21" spans="1:8" x14ac:dyDescent="0.3">
      <c r="A21" s="132" t="str">
        <f>APPLIC!A21</f>
        <v>Irrigation</v>
      </c>
      <c r="B21" s="136" t="s">
        <v>395</v>
      </c>
      <c r="C21" s="137">
        <v>0.7</v>
      </c>
      <c r="D21" s="137">
        <v>0.7</v>
      </c>
      <c r="E21" s="137">
        <v>0.7</v>
      </c>
      <c r="F21" s="137">
        <v>0.7</v>
      </c>
      <c r="G21" s="138" t="s">
        <v>408</v>
      </c>
      <c r="H21" s="93"/>
    </row>
    <row r="22" spans="1:8" x14ac:dyDescent="0.3">
      <c r="A22" s="132" t="str">
        <f>APPLIC!A22</f>
        <v>Irrigation</v>
      </c>
      <c r="B22" s="136" t="s">
        <v>396</v>
      </c>
      <c r="C22" s="137">
        <v>0.7</v>
      </c>
      <c r="D22" s="137">
        <v>0.7</v>
      </c>
      <c r="E22" s="137">
        <v>0.7</v>
      </c>
      <c r="F22" s="137">
        <v>0.7</v>
      </c>
      <c r="G22" s="138" t="s">
        <v>408</v>
      </c>
      <c r="H22" s="93"/>
    </row>
    <row r="23" spans="1:8" ht="26.4" x14ac:dyDescent="0.3">
      <c r="A23" s="132" t="str">
        <f>APPLIC!A23</f>
        <v>Irrigation</v>
      </c>
      <c r="B23" s="136" t="s">
        <v>404</v>
      </c>
      <c r="C23" s="139">
        <v>0.05</v>
      </c>
      <c r="D23" s="139">
        <v>0.05</v>
      </c>
      <c r="E23" s="139">
        <v>0.05</v>
      </c>
      <c r="F23" s="139">
        <v>0.05</v>
      </c>
      <c r="G23" s="140" t="s">
        <v>465</v>
      </c>
      <c r="H23" s="93"/>
    </row>
    <row r="24" spans="1:8" x14ac:dyDescent="0.3">
      <c r="A24" s="132"/>
      <c r="B24" s="132"/>
      <c r="C24" s="128"/>
      <c r="D24" s="128"/>
      <c r="E24" s="128"/>
      <c r="F24" s="128"/>
      <c r="G24" s="129"/>
      <c r="H24" s="93"/>
    </row>
    <row r="25" spans="1:8" x14ac:dyDescent="0.3">
      <c r="A25" s="147" t="str">
        <f>APPLIC!A25</f>
        <v>Motors/Drives</v>
      </c>
      <c r="B25" s="141" t="s">
        <v>369</v>
      </c>
      <c r="C25" s="137">
        <v>0.95</v>
      </c>
      <c r="D25" s="137">
        <v>0.95</v>
      </c>
      <c r="E25" s="137">
        <v>0.95</v>
      </c>
      <c r="F25" s="137">
        <v>0.95</v>
      </c>
      <c r="G25" s="138" t="s">
        <v>261</v>
      </c>
      <c r="H25" s="93"/>
    </row>
    <row r="26" spans="1:8" x14ac:dyDescent="0.3">
      <c r="A26" s="147" t="str">
        <f>APPLIC!A26</f>
        <v>Motors/Drives</v>
      </c>
      <c r="B26" s="141" t="s">
        <v>370</v>
      </c>
      <c r="C26" s="139">
        <f t="shared" ref="C26:F26" si="0">C25</f>
        <v>0.95</v>
      </c>
      <c r="D26" s="139">
        <f t="shared" si="0"/>
        <v>0.95</v>
      </c>
      <c r="E26" s="139">
        <f t="shared" si="0"/>
        <v>0.95</v>
      </c>
      <c r="F26" s="139">
        <f t="shared" si="0"/>
        <v>0.95</v>
      </c>
      <c r="G26" s="140" t="s">
        <v>357</v>
      </c>
      <c r="H26" s="93"/>
    </row>
    <row r="27" spans="1:8" x14ac:dyDescent="0.3">
      <c r="A27" s="147" t="str">
        <f>APPLIC!A27</f>
        <v>Refrigeration</v>
      </c>
      <c r="B27" s="141" t="s">
        <v>371</v>
      </c>
      <c r="C27" s="139">
        <v>0.95</v>
      </c>
      <c r="D27" s="139">
        <v>0.95</v>
      </c>
      <c r="E27" s="139">
        <v>0.95</v>
      </c>
      <c r="F27" s="139">
        <v>0.95</v>
      </c>
      <c r="G27" s="140" t="s">
        <v>356</v>
      </c>
      <c r="H27" s="93"/>
    </row>
    <row r="28" spans="1:8" ht="26.4" x14ac:dyDescent="0.3">
      <c r="A28" s="147" t="str">
        <f>APPLIC!A28</f>
        <v>Refrigeration</v>
      </c>
      <c r="B28" s="141" t="s">
        <v>372</v>
      </c>
      <c r="C28" s="139">
        <f>ROUND(C27*0.75,1)</f>
        <v>0.7</v>
      </c>
      <c r="D28" s="139">
        <f t="shared" ref="D28:F28" si="1">$C$28</f>
        <v>0.7</v>
      </c>
      <c r="E28" s="139">
        <f t="shared" si="1"/>
        <v>0.7</v>
      </c>
      <c r="F28" s="139">
        <f t="shared" si="1"/>
        <v>0.7</v>
      </c>
      <c r="G28" s="140" t="s">
        <v>358</v>
      </c>
      <c r="H28" s="93"/>
    </row>
    <row r="29" spans="1:8" ht="52.8" x14ac:dyDescent="0.3">
      <c r="A29" s="147" t="str">
        <f>APPLIC!A29</f>
        <v>Lighting</v>
      </c>
      <c r="B29" s="141" t="s">
        <v>373</v>
      </c>
      <c r="C29" s="139">
        <v>0.5</v>
      </c>
      <c r="D29" s="139">
        <v>0.5</v>
      </c>
      <c r="E29" s="139">
        <v>0.5</v>
      </c>
      <c r="F29" s="139">
        <v>0.5</v>
      </c>
      <c r="G29" s="140" t="s">
        <v>438</v>
      </c>
      <c r="H29" s="93"/>
    </row>
    <row r="30" spans="1:8" ht="52.8" x14ac:dyDescent="0.3">
      <c r="A30" s="147" t="str">
        <f>APPLIC!A30</f>
        <v>Lighting</v>
      </c>
      <c r="B30" s="141" t="s">
        <v>374</v>
      </c>
      <c r="C30" s="139">
        <v>0.5</v>
      </c>
      <c r="D30" s="139">
        <v>0.5</v>
      </c>
      <c r="E30" s="139">
        <v>0.5</v>
      </c>
      <c r="F30" s="139">
        <v>0.5</v>
      </c>
      <c r="G30" s="140" t="s">
        <v>438</v>
      </c>
      <c r="H30" s="93"/>
    </row>
    <row r="31" spans="1:8" x14ac:dyDescent="0.3">
      <c r="A31" s="147" t="str">
        <f>APPLIC!A31</f>
        <v>Refrigeration</v>
      </c>
      <c r="B31" s="141" t="s">
        <v>375</v>
      </c>
      <c r="C31" s="139">
        <v>0.05</v>
      </c>
      <c r="D31" s="139">
        <v>0.05</v>
      </c>
      <c r="E31" s="139">
        <v>0.05</v>
      </c>
      <c r="F31" s="139">
        <v>0.05</v>
      </c>
      <c r="G31" s="140" t="s">
        <v>363</v>
      </c>
      <c r="H31" s="93"/>
    </row>
    <row r="32" spans="1:8" ht="26.4" x14ac:dyDescent="0.3">
      <c r="A32" s="147" t="str">
        <f>APPLIC!A32</f>
        <v>Refrigeration</v>
      </c>
      <c r="B32" s="141" t="s">
        <v>376</v>
      </c>
      <c r="C32" s="139">
        <v>0.05</v>
      </c>
      <c r="D32" s="139">
        <v>0.05</v>
      </c>
      <c r="E32" s="139">
        <v>0.05</v>
      </c>
      <c r="F32" s="139">
        <v>0.05</v>
      </c>
      <c r="G32" s="140" t="s">
        <v>364</v>
      </c>
      <c r="H32" s="93"/>
    </row>
    <row r="33" spans="1:8" x14ac:dyDescent="0.3">
      <c r="A33" s="147" t="str">
        <f>APPLIC!A33</f>
        <v>Refrigeration</v>
      </c>
      <c r="B33" s="143" t="s">
        <v>359</v>
      </c>
      <c r="C33" s="139">
        <v>0.25</v>
      </c>
      <c r="D33" s="139">
        <v>0.25</v>
      </c>
      <c r="E33" s="139">
        <v>0.25</v>
      </c>
      <c r="F33" s="139">
        <v>0.25</v>
      </c>
      <c r="G33" s="140" t="s">
        <v>362</v>
      </c>
      <c r="H33" s="93"/>
    </row>
    <row r="34" spans="1:8" x14ac:dyDescent="0.3">
      <c r="A34" s="147" t="str">
        <f>APPLIC!A34</f>
        <v>Motors/Drives</v>
      </c>
      <c r="B34" s="143" t="s">
        <v>360</v>
      </c>
      <c r="C34" s="139">
        <f t="shared" ref="C34:F34" si="2">C28</f>
        <v>0.7</v>
      </c>
      <c r="D34" s="139">
        <f t="shared" si="2"/>
        <v>0.7</v>
      </c>
      <c r="E34" s="139">
        <f t="shared" si="2"/>
        <v>0.7</v>
      </c>
      <c r="F34" s="139">
        <f t="shared" si="2"/>
        <v>0.7</v>
      </c>
      <c r="G34" s="140" t="s">
        <v>361</v>
      </c>
      <c r="H34" s="93"/>
    </row>
    <row r="35" spans="1:8" x14ac:dyDescent="0.3">
      <c r="A35" s="147" t="str">
        <f>APPLIC!A35</f>
        <v>HVAC</v>
      </c>
      <c r="B35" s="143" t="s">
        <v>377</v>
      </c>
      <c r="C35" s="139">
        <v>0.5</v>
      </c>
      <c r="D35" s="139">
        <v>0.5</v>
      </c>
      <c r="E35" s="139">
        <v>0.5</v>
      </c>
      <c r="F35" s="139">
        <v>0.5</v>
      </c>
      <c r="G35" s="140" t="s">
        <v>384</v>
      </c>
      <c r="H35" s="93"/>
    </row>
    <row r="36" spans="1:8" x14ac:dyDescent="0.3">
      <c r="A36" s="147" t="str">
        <f>APPLIC!A36</f>
        <v>HVAC</v>
      </c>
      <c r="B36" s="143" t="s">
        <v>378</v>
      </c>
      <c r="C36" s="139">
        <v>0.5</v>
      </c>
      <c r="D36" s="139">
        <v>0.5</v>
      </c>
      <c r="E36" s="139">
        <v>0.5</v>
      </c>
      <c r="F36" s="139">
        <v>0.5</v>
      </c>
      <c r="G36" s="140" t="s">
        <v>384</v>
      </c>
      <c r="H36" s="93"/>
    </row>
    <row r="37" spans="1:8" x14ac:dyDescent="0.3">
      <c r="A37" s="147" t="str">
        <f>APPLIC!A37</f>
        <v>HVAC</v>
      </c>
      <c r="B37" s="143" t="s">
        <v>379</v>
      </c>
      <c r="C37" s="139">
        <v>0.1</v>
      </c>
      <c r="D37" s="139">
        <v>0.1</v>
      </c>
      <c r="E37" s="139">
        <v>0.1</v>
      </c>
      <c r="F37" s="139">
        <v>0.1</v>
      </c>
      <c r="G37" s="140" t="s">
        <v>365</v>
      </c>
      <c r="H37" s="93"/>
    </row>
    <row r="38" spans="1:8" x14ac:dyDescent="0.3">
      <c r="A38" s="147" t="str">
        <f>APPLIC!A38</f>
        <v>HVAC</v>
      </c>
      <c r="B38" s="143" t="s">
        <v>380</v>
      </c>
      <c r="C38" s="139">
        <v>0.1</v>
      </c>
      <c r="D38" s="139">
        <v>0.1</v>
      </c>
      <c r="E38" s="139">
        <v>0.1</v>
      </c>
      <c r="F38" s="139">
        <v>0.1</v>
      </c>
      <c r="G38" s="140" t="s">
        <v>365</v>
      </c>
      <c r="H38" s="93"/>
    </row>
    <row r="39" spans="1:8" x14ac:dyDescent="0.3">
      <c r="A39" s="132" t="str">
        <f>APPLIC!A39</f>
        <v>Lighting</v>
      </c>
      <c r="B39" s="141" t="s">
        <v>192</v>
      </c>
      <c r="C39" s="139">
        <v>0</v>
      </c>
      <c r="D39" s="139">
        <v>0</v>
      </c>
      <c r="E39" s="139">
        <v>0</v>
      </c>
      <c r="F39" s="139">
        <v>0</v>
      </c>
      <c r="G39" s="220" t="s">
        <v>542</v>
      </c>
      <c r="H39" s="93"/>
    </row>
    <row r="40" spans="1:8" x14ac:dyDescent="0.3">
      <c r="A40" s="132" t="str">
        <f>APPLIC!A40</f>
        <v>Lighting</v>
      </c>
      <c r="B40" s="141" t="s">
        <v>193</v>
      </c>
      <c r="C40" s="139">
        <v>0</v>
      </c>
      <c r="D40" s="139">
        <v>0</v>
      </c>
      <c r="E40" s="139">
        <v>0</v>
      </c>
      <c r="F40" s="139">
        <v>0</v>
      </c>
      <c r="G40" s="220"/>
      <c r="H40" s="93"/>
    </row>
    <row r="41" spans="1:8" x14ac:dyDescent="0.3">
      <c r="A41" s="132" t="str">
        <f>APPLIC!A41</f>
        <v>Lighting</v>
      </c>
      <c r="B41" s="141" t="s">
        <v>194</v>
      </c>
      <c r="C41" s="139">
        <v>0</v>
      </c>
      <c r="D41" s="139">
        <v>0</v>
      </c>
      <c r="E41" s="139">
        <v>0</v>
      </c>
      <c r="F41" s="139">
        <v>0</v>
      </c>
      <c r="G41" s="220"/>
      <c r="H41" s="93"/>
    </row>
    <row r="42" spans="1:8" x14ac:dyDescent="0.3">
      <c r="A42" s="132" t="str">
        <f>APPLIC!A42</f>
        <v>Lighting</v>
      </c>
      <c r="B42" s="141" t="s">
        <v>195</v>
      </c>
      <c r="C42" s="139">
        <v>0</v>
      </c>
      <c r="D42" s="139">
        <v>0</v>
      </c>
      <c r="E42" s="139">
        <v>0</v>
      </c>
      <c r="F42" s="139">
        <v>0</v>
      </c>
      <c r="G42" s="220"/>
      <c r="H42" s="93"/>
    </row>
    <row r="43" spans="1:8" x14ac:dyDescent="0.3">
      <c r="A43" s="147"/>
      <c r="B43" s="132"/>
      <c r="C43" s="128"/>
      <c r="D43" s="128"/>
      <c r="E43" s="128"/>
      <c r="F43" s="128"/>
      <c r="G43" s="129"/>
      <c r="H43" s="93"/>
    </row>
    <row r="44" spans="1:8" x14ac:dyDescent="0.3">
      <c r="A44" s="147"/>
      <c r="B44" s="132"/>
      <c r="C44" s="128"/>
      <c r="D44" s="128"/>
      <c r="E44" s="128"/>
      <c r="F44" s="128"/>
      <c r="G44" s="129"/>
      <c r="H44" s="93"/>
    </row>
    <row r="45" spans="1:8" ht="26.4" x14ac:dyDescent="0.3">
      <c r="A45" s="147" t="str">
        <f>APPLIC!A45</f>
        <v>Motors/Drives</v>
      </c>
      <c r="B45" s="141" t="s">
        <v>218</v>
      </c>
      <c r="C45" s="142" t="s">
        <v>269</v>
      </c>
      <c r="D45" s="142"/>
      <c r="E45" s="142"/>
      <c r="F45" s="142"/>
      <c r="G45" s="140" t="s">
        <v>265</v>
      </c>
      <c r="H45" s="93"/>
    </row>
    <row r="46" spans="1:8" x14ac:dyDescent="0.3">
      <c r="A46" s="147" t="str">
        <f>APPLIC!A46</f>
        <v>Irrigation</v>
      </c>
      <c r="B46" s="141" t="s">
        <v>437</v>
      </c>
      <c r="C46" s="139">
        <v>0.1</v>
      </c>
      <c r="D46" s="139">
        <v>0.1</v>
      </c>
      <c r="E46" s="139">
        <v>0.1</v>
      </c>
      <c r="F46" s="139">
        <v>0.1</v>
      </c>
      <c r="G46" s="140" t="s">
        <v>268</v>
      </c>
      <c r="H46" s="93"/>
    </row>
    <row r="47" spans="1:8" ht="26.4" x14ac:dyDescent="0.3">
      <c r="A47" s="147" t="str">
        <f>APPLIC!A47</f>
        <v>Motors/Drives</v>
      </c>
      <c r="B47" s="132" t="s">
        <v>267</v>
      </c>
      <c r="C47" s="134">
        <v>0.2</v>
      </c>
      <c r="D47" s="134">
        <v>0.2</v>
      </c>
      <c r="E47" s="134">
        <v>0.2</v>
      </c>
      <c r="F47" s="134">
        <v>0.2</v>
      </c>
      <c r="G47" s="129" t="s">
        <v>418</v>
      </c>
      <c r="H47" s="93"/>
    </row>
    <row r="48" spans="1:8" x14ac:dyDescent="0.3">
      <c r="A48" s="147" t="str">
        <f>APPLIC!A48</f>
        <v>Process Loads</v>
      </c>
      <c r="B48" s="133" t="s">
        <v>262</v>
      </c>
      <c r="C48" s="130">
        <v>0.01</v>
      </c>
      <c r="D48" s="130">
        <f t="shared" ref="D48:F48" si="3">C48</f>
        <v>0.01</v>
      </c>
      <c r="E48" s="130">
        <f t="shared" si="3"/>
        <v>0.01</v>
      </c>
      <c r="F48" s="130">
        <f t="shared" si="3"/>
        <v>0.01</v>
      </c>
      <c r="G48" s="131" t="s">
        <v>385</v>
      </c>
      <c r="H48" s="93"/>
    </row>
    <row r="49" spans="1:8" x14ac:dyDescent="0.3">
      <c r="A49" s="147" t="str">
        <f>APPLIC!A49</f>
        <v>Process Loads</v>
      </c>
      <c r="B49" s="133" t="s">
        <v>415</v>
      </c>
      <c r="C49" s="130">
        <v>0.1</v>
      </c>
      <c r="D49" s="130">
        <v>0.1</v>
      </c>
      <c r="E49" s="130">
        <v>0.1</v>
      </c>
      <c r="F49" s="130">
        <v>0.1</v>
      </c>
      <c r="G49" s="131" t="s">
        <v>412</v>
      </c>
      <c r="H49" s="93"/>
    </row>
  </sheetData>
  <mergeCells count="1">
    <mergeCell ref="G39:G42"/>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F4D2-F7B4-4679-AE3F-6608BF6F2926}">
  <sheetPr>
    <tabColor rgb="FFFF99FF"/>
  </sheetPr>
  <dimension ref="A1:Y56"/>
  <sheetViews>
    <sheetView workbookViewId="0">
      <pane xSplit="1" ySplit="1" topLeftCell="B2" activePane="bottomRight" state="frozen"/>
      <selection pane="topRight" activeCell="B1" sqref="B1"/>
      <selection pane="bottomLeft" activeCell="A2" sqref="A2"/>
      <selection pane="bottomRight" activeCell="Y18" sqref="Y18"/>
    </sheetView>
  </sheetViews>
  <sheetFormatPr defaultRowHeight="14.4" customHeight="1" x14ac:dyDescent="0.3"/>
  <cols>
    <col min="1" max="1" width="34.44140625" bestFit="1" customWidth="1"/>
    <col min="24" max="24" width="20.109375" customWidth="1"/>
  </cols>
  <sheetData>
    <row r="1" spans="1:25" x14ac:dyDescent="0.3">
      <c r="B1">
        <v>2022</v>
      </c>
      <c r="C1">
        <v>2023</v>
      </c>
      <c r="D1">
        <v>2024</v>
      </c>
      <c r="E1" s="168">
        <v>2025</v>
      </c>
      <c r="F1" s="168">
        <v>2026</v>
      </c>
      <c r="G1" s="168">
        <v>2027</v>
      </c>
      <c r="H1" s="168">
        <v>2028</v>
      </c>
      <c r="I1" s="168">
        <v>2029</v>
      </c>
      <c r="J1" s="168">
        <v>2030</v>
      </c>
      <c r="K1" s="168">
        <v>2031</v>
      </c>
      <c r="L1" s="168">
        <v>2032</v>
      </c>
      <c r="M1" s="168">
        <v>2033</v>
      </c>
      <c r="N1" s="168">
        <v>2034</v>
      </c>
      <c r="O1" s="168">
        <v>2035</v>
      </c>
      <c r="P1" s="168">
        <v>2036</v>
      </c>
      <c r="Q1" s="168">
        <v>2037</v>
      </c>
      <c r="R1" s="168">
        <v>2038</v>
      </c>
      <c r="S1" s="168">
        <v>2039</v>
      </c>
      <c r="T1" s="168">
        <v>2040</v>
      </c>
      <c r="U1" s="168">
        <v>2041</v>
      </c>
      <c r="V1" t="s">
        <v>518</v>
      </c>
      <c r="W1" t="s">
        <v>519</v>
      </c>
      <c r="X1" t="s">
        <v>528</v>
      </c>
    </row>
    <row r="2" spans="1:25" x14ac:dyDescent="0.3">
      <c r="A2" t="s">
        <v>529</v>
      </c>
      <c r="B2" s="184">
        <f>SUM([3]forRPM!L$3:L$58)</f>
        <v>1.0361865463925992</v>
      </c>
      <c r="C2" s="184">
        <f>SUM([3]forRPM!M$3:M$58)</f>
        <v>1.0669091532967121</v>
      </c>
      <c r="D2" s="184">
        <f>SUM([3]forRPM!N$3:N$58)</f>
        <v>1.1046293114167487</v>
      </c>
      <c r="E2" s="184">
        <f>SUM([3]forRPM!O$3:O$58)</f>
        <v>1.1470202877040312</v>
      </c>
      <c r="F2" s="184">
        <f>SUM([3]forRPM!P$3:P$58)</f>
        <v>1.203330926832912</v>
      </c>
      <c r="G2" s="184">
        <f>SUM([3]forRPM!Q$3:Q$58)</f>
        <v>1.2662979551701778</v>
      </c>
      <c r="H2" s="184">
        <f>SUM([3]forRPM!R$3:R$58)</f>
        <v>1.3298761116679569</v>
      </c>
      <c r="I2" s="184">
        <f>SUM([3]forRPM!S$3:S$58)</f>
        <v>1.3951379885358512</v>
      </c>
      <c r="J2" s="184">
        <f>SUM([3]forRPM!T$3:T$58)</f>
        <v>1.4474057715360906</v>
      </c>
      <c r="K2" s="184">
        <f>SUM([3]forRPM!U$3:U$58)</f>
        <v>1.4900018862925322</v>
      </c>
      <c r="L2" s="184">
        <f>SUM([3]forRPM!V$3:V$58)</f>
        <v>1.5055463966501155</v>
      </c>
      <c r="M2" s="184">
        <f>SUM([3]forRPM!W$3:W$58)</f>
        <v>1.4925653590928731</v>
      </c>
      <c r="N2" s="184">
        <f>SUM([3]forRPM!X$3:X$58)</f>
        <v>1.4615080555181255</v>
      </c>
      <c r="O2" s="184">
        <f>SUM([3]forRPM!Y$3:Y$58)</f>
        <v>1.4099971021474678</v>
      </c>
      <c r="P2" s="184">
        <f>SUM([3]forRPM!Z$3:Z$58)</f>
        <v>1.3493450731695045</v>
      </c>
      <c r="Q2" s="184">
        <f>SUM([3]forRPM!AA$3:AA$58)</f>
        <v>1.2799578592925038</v>
      </c>
      <c r="R2" s="184">
        <f>SUM([3]forRPM!AB$3:AB$58)</f>
        <v>1.2047256436248632</v>
      </c>
      <c r="S2" s="184">
        <f>SUM([3]forRPM!AC$3:AC$58)</f>
        <v>1.1305041318772133</v>
      </c>
      <c r="T2" s="184">
        <f>SUM([3]forRPM!AD$3:AD$58)</f>
        <v>1.0713734461793141</v>
      </c>
      <c r="U2" s="184">
        <f>SUM([3]forRPM!AE$3:AE$58)</f>
        <v>1.0369497704802708</v>
      </c>
      <c r="V2" s="184">
        <f>SUM([3]forRPM!AF$3:AF$58)</f>
        <v>25.062930057267671</v>
      </c>
      <c r="W2" s="184">
        <f>SUM(B2:U2)</f>
        <v>25.429268776877862</v>
      </c>
      <c r="X2" s="185">
        <f>MIN(V2,W2)</f>
        <v>25.062930057267671</v>
      </c>
      <c r="Y2" s="184">
        <f>SUM(X2:X4)</f>
        <v>48.196212547356836</v>
      </c>
    </row>
    <row r="3" spans="1:25" x14ac:dyDescent="0.3">
      <c r="A3" t="s">
        <v>530</v>
      </c>
      <c r="B3" s="184">
        <f>SUM([3]forRPM!L$59:L$78)</f>
        <v>5.1477873599471272E-2</v>
      </c>
      <c r="C3" s="184">
        <f>SUM([3]forRPM!M$59:M$78)</f>
        <v>9.0222708441576149E-2</v>
      </c>
      <c r="D3" s="184">
        <f>SUM([3]forRPM!N$59:N$78)</f>
        <v>0.17034572772721032</v>
      </c>
      <c r="E3" s="184">
        <f>SUM([3]forRPM!O$59:O$78)</f>
        <v>0.28803011271066647</v>
      </c>
      <c r="F3" s="184">
        <f>SUM([3]forRPM!P$59:P$78)</f>
        <v>0.44404643804490485</v>
      </c>
      <c r="G3" s="184">
        <f>SUM([3]forRPM!Q$59:Q$78)</f>
        <v>0.62505817421765708</v>
      </c>
      <c r="H3" s="184">
        <f>SUM([3]forRPM!R$59:R$78)</f>
        <v>0.81649054207424598</v>
      </c>
      <c r="I3" s="184">
        <f>SUM([3]forRPM!S$59:S$78)</f>
        <v>1.00427657411821</v>
      </c>
      <c r="J3" s="184">
        <f>SUM([3]forRPM!T$59:T$78)</f>
        <v>1.1621950639350767</v>
      </c>
      <c r="K3" s="184">
        <f>SUM([3]forRPM!U$59:U$78)</f>
        <v>1.2799557005700621</v>
      </c>
      <c r="L3" s="184">
        <f>SUM([3]forRPM!V$59:V$78)</f>
        <v>1.3369408681666468</v>
      </c>
      <c r="M3" s="184">
        <f>SUM([3]forRPM!W$59:W$78)</f>
        <v>1.3275440630445807</v>
      </c>
      <c r="N3" s="184">
        <f>SUM([3]forRPM!X$59:X$78)</f>
        <v>1.2564222378802825</v>
      </c>
      <c r="O3" s="184">
        <f>SUM([3]forRPM!Y$59:Y$78)</f>
        <v>1.127780684647413</v>
      </c>
      <c r="P3" s="184">
        <f>SUM([3]forRPM!Z$59:Z$78)</f>
        <v>0.9581070571194934</v>
      </c>
      <c r="Q3" s="184">
        <f>SUM([3]forRPM!AA$59:AA$78)</f>
        <v>0.77034643344672438</v>
      </c>
      <c r="R3" s="184">
        <f>SUM([3]forRPM!AB$59:AB$78)</f>
        <v>0.57746543209438739</v>
      </c>
      <c r="S3" s="184">
        <f>SUM([3]forRPM!AC$59:AC$78)</f>
        <v>0.39579277660078804</v>
      </c>
      <c r="T3" s="184">
        <f>SUM([3]forRPM!AD$59:AD$78)</f>
        <v>0.25176364761896863</v>
      </c>
      <c r="U3" s="184">
        <f>SUM([3]forRPM!AE$59:AE$78)</f>
        <v>0.16553995222535467</v>
      </c>
      <c r="V3" s="184">
        <f>SUM([3]forRPM!AF$59:AF$78)</f>
        <v>14.561432974199764</v>
      </c>
      <c r="W3" s="184">
        <f>SUM(B3:U3)</f>
        <v>14.099802068283719</v>
      </c>
      <c r="X3" s="185">
        <f>MIN(V3,W3)</f>
        <v>14.099802068283719</v>
      </c>
    </row>
    <row r="4" spans="1:25" x14ac:dyDescent="0.3">
      <c r="A4" t="s">
        <v>404</v>
      </c>
      <c r="B4" s="184">
        <f>SUM([3]forRPM!L$79:L$82)</f>
        <v>2.4423697793522395E-2</v>
      </c>
      <c r="C4" s="184">
        <f>SUM([3]forRPM!M$79:M$82)</f>
        <v>4.8813882069117548E-2</v>
      </c>
      <c r="D4" s="184">
        <f>SUM([3]forRPM!N$79:N$82)</f>
        <v>8.6441784088472889E-2</v>
      </c>
      <c r="E4" s="184">
        <f>SUM([3]forRPM!O$79:O$82)</f>
        <v>0.1401221135672584</v>
      </c>
      <c r="F4" s="184">
        <f>SUM([3]forRPM!P$79:P$82)</f>
        <v>0.21249641778117051</v>
      </c>
      <c r="G4" s="184">
        <f>SUM([3]forRPM!Q$79:Q$82)</f>
        <v>0.30175196327294584</v>
      </c>
      <c r="H4" s="184">
        <f>SUM([3]forRPM!R$79:R$82)</f>
        <v>0.40660233269967755</v>
      </c>
      <c r="I4" s="184">
        <f>SUM([3]forRPM!S$79:S$82)</f>
        <v>0.52488561226143604</v>
      </c>
      <c r="J4" s="184">
        <f>SUM([3]forRPM!T$79:T$82)</f>
        <v>0.64494377126599423</v>
      </c>
      <c r="K4" s="184">
        <f>SUM([3]forRPM!U$79:U$82)</f>
        <v>0.75827481926329454</v>
      </c>
      <c r="L4" s="184">
        <f>SUM([3]forRPM!V$79:V$82)</f>
        <v>0.84528399425907597</v>
      </c>
      <c r="M4" s="184">
        <f>SUM([3]forRPM!W$79:W$82)</f>
        <v>0.89166409509949296</v>
      </c>
      <c r="N4" s="184">
        <f>SUM([3]forRPM!X$79:X$82)</f>
        <v>0.8900471886339294</v>
      </c>
      <c r="O4" s="184">
        <f>SUM([3]forRPM!Y$79:Y$82)</f>
        <v>0.83539245414529995</v>
      </c>
      <c r="P4" s="184">
        <f>SUM([3]forRPM!Z$79:Z$82)</f>
        <v>0.73575533844286767</v>
      </c>
      <c r="Q4" s="184">
        <f>SUM([3]forRPM!AA$79:AA$82)</f>
        <v>0.60954267132754325</v>
      </c>
      <c r="R4" s="184">
        <f>SUM([3]forRPM!AB$79:AB$82)</f>
        <v>0.46697869654896246</v>
      </c>
      <c r="S4" s="184">
        <f>SUM([3]forRPM!AC$79:AC$82)</f>
        <v>0.32390850203733318</v>
      </c>
      <c r="T4" s="184">
        <f>SUM([3]forRPM!AD$79:AD$82)</f>
        <v>0.20734876805601049</v>
      </c>
      <c r="U4" s="184">
        <f>SUM([3]forRPM!AE$79:AE$82)</f>
        <v>0.13550220632708179</v>
      </c>
      <c r="V4" s="184">
        <f>SUM([3]forRPM!AF$79:AF$82)</f>
        <v>9.0334804218054519</v>
      </c>
      <c r="W4" s="184">
        <f>SUM(B4:U4)</f>
        <v>9.0901803089404893</v>
      </c>
      <c r="X4" s="185">
        <f>MIN(V4,W4)</f>
        <v>9.0334804218054519</v>
      </c>
    </row>
    <row r="5" spans="1:25" x14ac:dyDescent="0.3">
      <c r="A5" t="s">
        <v>526</v>
      </c>
      <c r="B5" s="184">
        <f>SUM([5]forRPM!L$3:L$14)</f>
        <v>0.19591653861314257</v>
      </c>
      <c r="C5" s="184">
        <f>SUM([5]forRPM!M$3:M$14)</f>
        <v>0.1967482971023351</v>
      </c>
      <c r="D5" s="184">
        <f>SUM([5]forRPM!N$3:N$14)</f>
        <v>0.19743045516721724</v>
      </c>
      <c r="E5" s="184">
        <f>SUM([5]forRPM!O$3:O$14)</f>
        <v>0.19907269417209755</v>
      </c>
      <c r="F5" s="184">
        <f>SUM([5]forRPM!P$3:P$14)</f>
        <v>0.19887842842445128</v>
      </c>
      <c r="G5" s="184">
        <f>SUM([5]forRPM!Q$3:Q$14)</f>
        <v>0.17853067619096558</v>
      </c>
      <c r="H5" s="184">
        <f>SUM([5]forRPM!R$3:R$14)</f>
        <v>0.14285132102139553</v>
      </c>
      <c r="I5" s="184">
        <f>SUM([5]forRPM!S$3:S$14)</f>
        <v>0.1140912268735966</v>
      </c>
      <c r="J5" s="184">
        <f>SUM([5]forRPM!T$3:T$14)</f>
        <v>9.1794301963435382E-2</v>
      </c>
      <c r="K5" s="184">
        <f>SUM([5]forRPM!U$3:U$14)</f>
        <v>7.3427416034068438E-2</v>
      </c>
      <c r="L5" s="184">
        <f>SUM([5]forRPM!V$3:V$14)</f>
        <v>5.8663654345769208E-2</v>
      </c>
      <c r="M5" s="184">
        <f>SUM([5]forRPM!W$3:W$14)</f>
        <v>4.6950657400319611E-2</v>
      </c>
      <c r="N5" s="184">
        <f>SUM([5]forRPM!X$3:X$14)</f>
        <v>3.7582729533633161E-2</v>
      </c>
      <c r="O5" s="184">
        <f>SUM([5]forRPM!Y$3:Y$14)</f>
        <v>3.0292402184936354E-2</v>
      </c>
      <c r="P5" s="184">
        <f>SUM([5]forRPM!Z$3:Z$14)</f>
        <v>2.4417426074381628E-2</v>
      </c>
      <c r="Q5" s="184">
        <f>SUM([5]forRPM!AA$3:AA$14)</f>
        <v>1.9682789889119666E-2</v>
      </c>
      <c r="R5" s="184">
        <f>SUM([5]forRPM!AB$3:AB$14)</f>
        <v>1.352810883028785E-4</v>
      </c>
      <c r="S5" s="184">
        <f>SUM([5]forRPM!AC$3:AC$14)</f>
        <v>4.8687398206376188E-5</v>
      </c>
      <c r="T5" s="184">
        <f>SUM([5]forRPM!AD$3:AD$14)</f>
        <v>1.6726796509387044E-5</v>
      </c>
      <c r="U5" s="184">
        <f>SUM([5]forRPM!AE$3:AE$14)</f>
        <v>5.4969751525338897E-6</v>
      </c>
      <c r="V5" s="184">
        <f>SUM([5]forRPM!AF$3:AF$14)</f>
        <v>1.9205152434383452</v>
      </c>
      <c r="W5" s="184">
        <f>SUM(B5:U5)</f>
        <v>1.806537207249036</v>
      </c>
      <c r="X5" s="185">
        <f>MIN(V5,W5)</f>
        <v>1.806537207249036</v>
      </c>
      <c r="Y5" s="184">
        <f>SUM(X5:X6)</f>
        <v>8.7468850679361072</v>
      </c>
    </row>
    <row r="6" spans="1:25" x14ac:dyDescent="0.3">
      <c r="A6" t="s">
        <v>527</v>
      </c>
      <c r="B6" s="184">
        <f>SUM([5]forRPM!L$15:L$22)</f>
        <v>0.7552845529458817</v>
      </c>
      <c r="C6" s="184">
        <f>SUM([5]forRPM!M$15:M$22)</f>
        <v>0.75792401965148226</v>
      </c>
      <c r="D6" s="184">
        <f>SUM([5]forRPM!N$15:N$22)</f>
        <v>0.75999529981125324</v>
      </c>
      <c r="E6" s="184">
        <f>SUM([5]forRPM!O$15:O$22)</f>
        <v>0.76559042738415284</v>
      </c>
      <c r="F6" s="184">
        <f>SUM([5]forRPM!P$15:P$22)</f>
        <v>0.76423668401450728</v>
      </c>
      <c r="G6" s="184">
        <f>SUM([5]forRPM!Q$15:Q$22)</f>
        <v>0.68555108157953026</v>
      </c>
      <c r="H6" s="184">
        <f>SUM([5]forRPM!R$15:R$22)</f>
        <v>0.54830525074633962</v>
      </c>
      <c r="I6" s="184">
        <f>SUM([5]forRPM!S$15:S$22)</f>
        <v>0.43768564737019017</v>
      </c>
      <c r="J6" s="184">
        <f>SUM([5]forRPM!T$15:T$22)</f>
        <v>0.35183475443731743</v>
      </c>
      <c r="K6" s="184">
        <f>SUM([5]forRPM!U$15:U$22)</f>
        <v>0.28125379292315483</v>
      </c>
      <c r="L6" s="184">
        <f>SUM([5]forRPM!V$15:V$22)</f>
        <v>0.22453837275209948</v>
      </c>
      <c r="M6" s="184">
        <f>SUM([5]forRPM!W$15:W$22)</f>
        <v>0.17958709628296646</v>
      </c>
      <c r="N6" s="184">
        <f>SUM([5]forRPM!X$15:X$22)</f>
        <v>0.14368163964730543</v>
      </c>
      <c r="O6" s="184">
        <f>SUM([5]forRPM!Y$15:Y$22)</f>
        <v>0.11574062063452077</v>
      </c>
      <c r="P6" s="184">
        <f>SUM([5]forRPM!Z$15:Z$22)</f>
        <v>9.3238039115419682E-2</v>
      </c>
      <c r="Q6" s="184">
        <f>SUM([5]forRPM!AA$15:AA$22)</f>
        <v>7.511438060454341E-2</v>
      </c>
      <c r="R6" s="184">
        <f>SUM([5]forRPM!AB$15:AB$22)</f>
        <v>5.1596321291700773E-4</v>
      </c>
      <c r="S6" s="184">
        <f>SUM([5]forRPM!AC$15:AC$22)</f>
        <v>1.8558611037160629E-4</v>
      </c>
      <c r="T6" s="184">
        <f>SUM([5]forRPM!AD$15:AD$22)</f>
        <v>6.3722230466217925E-5</v>
      </c>
      <c r="U6" s="184">
        <f>SUM([5]forRPM!AE$15:AE$22)</f>
        <v>2.0929232652265162E-5</v>
      </c>
      <c r="V6" s="184">
        <f>SUM([5]forRPM!AF$15:AF$22)</f>
        <v>7.3121870168204275</v>
      </c>
      <c r="W6" s="184">
        <f>SUM(B6:U6)</f>
        <v>6.940347860687071</v>
      </c>
      <c r="X6" s="185">
        <f>MIN(V6,W6)</f>
        <v>6.940347860687071</v>
      </c>
    </row>
    <row r="7" spans="1:25" x14ac:dyDescent="0.3">
      <c r="A7" t="s">
        <v>522</v>
      </c>
      <c r="B7" s="184">
        <f>SUM([1]forRPM!L$3:L$30)</f>
        <v>2.5877344675033317E-2</v>
      </c>
      <c r="C7" s="184">
        <f>SUM([1]forRPM!M$3:M$30)</f>
        <v>4.1365434594979669E-2</v>
      </c>
      <c r="D7" s="184">
        <f>SUM([1]forRPM!N$3:N$30)</f>
        <v>8.4249449926713987E-2</v>
      </c>
      <c r="E7" s="184">
        <f>SUM([1]forRPM!O$3:O$30)</f>
        <v>0.1503076331292606</v>
      </c>
      <c r="F7" s="184">
        <f>SUM([1]forRPM!P$3:P$30)</f>
        <v>0.23898664887848611</v>
      </c>
      <c r="G7" s="184">
        <f>SUM([1]forRPM!Q$3:Q$30)</f>
        <v>0.34128809074582966</v>
      </c>
      <c r="H7" s="184">
        <f>SUM([1]forRPM!R$3:R$30)</f>
        <v>0.4431736170082714</v>
      </c>
      <c r="I7" s="184">
        <f>SUM([1]forRPM!S$3:S$30)</f>
        <v>0.52616048279410599</v>
      </c>
      <c r="J7" s="184">
        <f>SUM([1]forRPM!T$3:T$30)</f>
        <v>0.57677533186310781</v>
      </c>
      <c r="K7" s="184">
        <f>SUM([1]forRPM!U$3:U$30)</f>
        <v>0.5875811622349445</v>
      </c>
      <c r="L7" s="184">
        <f>SUM([1]forRPM!V$3:V$30)</f>
        <v>0.55789244867345311</v>
      </c>
      <c r="M7" s="184">
        <f>SUM([1]forRPM!W$3:W$30)</f>
        <v>0.49584777481267206</v>
      </c>
      <c r="N7" s="184">
        <f>SUM([1]forRPM!X$3:X$30)</f>
        <v>0.41556979177418607</v>
      </c>
      <c r="O7" s="184">
        <f>SUM([1]forRPM!Y$3:Y$30)</f>
        <v>0.3273346950926499</v>
      </c>
      <c r="P7" s="184">
        <f>SUM([1]forRPM!Z$3:Z$30)</f>
        <v>0.24119398585774271</v>
      </c>
      <c r="Q7" s="184">
        <f>SUM([1]forRPM!AA$3:AA$30)</f>
        <v>0.16883579010041924</v>
      </c>
      <c r="R7" s="184">
        <f>SUM([1]forRPM!AB$3:AB$30)</f>
        <v>0.1125571934002795</v>
      </c>
      <c r="S7" s="184">
        <f>SUM([1]forRPM!AC$3:AC$30)</f>
        <v>7.1627304891087082E-2</v>
      </c>
      <c r="T7" s="184">
        <f>SUM([1]forRPM!AD$3:AD$30)</f>
        <v>4.359922906414071E-2</v>
      </c>
      <c r="U7" s="184">
        <f>SUM([1]forRPM!AE$3:AE$30)</f>
        <v>2.543288362074754E-2</v>
      </c>
      <c r="V7" s="184">
        <f>SUM([1]forRPM!AF$3:AF$30)</f>
        <v>5.904065466965073</v>
      </c>
      <c r="W7" s="184">
        <f t="shared" ref="W7:W9" si="0">SUM(B7:U7)</f>
        <v>5.475656293138111</v>
      </c>
      <c r="X7" s="185">
        <f t="shared" ref="X7:X9" si="1">MIN(V7,W7)</f>
        <v>5.475656293138111</v>
      </c>
      <c r="Y7" s="184">
        <f>SUM(X7:X9)</f>
        <v>10.194291905645571</v>
      </c>
    </row>
    <row r="8" spans="1:25" x14ac:dyDescent="0.3">
      <c r="A8" t="s">
        <v>524</v>
      </c>
      <c r="B8" s="184">
        <f>SUM([1]forRPM!L$31:L$46)</f>
        <v>6.1756161449629211E-3</v>
      </c>
      <c r="C8" s="184">
        <f>SUM([1]forRPM!M$31:M$46)</f>
        <v>1.3758287872265042E-2</v>
      </c>
      <c r="D8" s="184">
        <f>SUM([1]forRPM!N$31:N$46)</f>
        <v>2.3037259055064631E-2</v>
      </c>
      <c r="E8" s="184">
        <f>SUM([1]forRPM!O$31:O$46)</f>
        <v>3.3808682563720889E-2</v>
      </c>
      <c r="F8" s="184">
        <f>SUM([1]forRPM!P$31:P$46)</f>
        <v>4.6094855092346329E-2</v>
      </c>
      <c r="G8" s="184">
        <f>SUM([1]forRPM!Q$31:Q$46)</f>
        <v>6.0458867611619421E-2</v>
      </c>
      <c r="H8" s="184">
        <f>SUM([1]forRPM!R$31:R$46)</f>
        <v>7.6216412411308859E-2</v>
      </c>
      <c r="I8" s="184">
        <f>SUM([1]forRPM!S$31:S$46)</f>
        <v>9.2313857489064316E-2</v>
      </c>
      <c r="J8" s="184">
        <f>SUM([1]forRPM!T$31:T$46)</f>
        <v>0.10748376760595463</v>
      </c>
      <c r="K8" s="184">
        <f>SUM([1]forRPM!U$31:U$46)</f>
        <v>0.12052359028735299</v>
      </c>
      <c r="L8" s="184">
        <f>SUM([1]forRPM!V$31:V$46)</f>
        <v>0.13061435562295134</v>
      </c>
      <c r="M8" s="184">
        <f>SUM([1]forRPM!W$31:W$46)</f>
        <v>0.13753942736714705</v>
      </c>
      <c r="N8" s="184">
        <f>SUM([1]forRPM!X$31:X$46)</f>
        <v>0.14168344311451261</v>
      </c>
      <c r="O8" s="184">
        <f>SUM([1]forRPM!Y$31:Y$46)</f>
        <v>0.14380526488927428</v>
      </c>
      <c r="P8" s="184">
        <f>SUM([1]forRPM!Z$31:Z$46)</f>
        <v>0.14471559873064993</v>
      </c>
      <c r="Q8" s="184">
        <f>SUM([1]forRPM!AA$31:AA$46)</f>
        <v>0.14503541776520543</v>
      </c>
      <c r="R8" s="184">
        <f>SUM([1]forRPM!AB$31:AB$46)</f>
        <v>0.1451251379810938</v>
      </c>
      <c r="S8" s="184">
        <f>SUM([1]forRPM!AC$31:AC$46)</f>
        <v>0.14514469291434981</v>
      </c>
      <c r="T8" s="184">
        <f>SUM([1]forRPM!AD$31:AD$46)</f>
        <v>0.14514790719855586</v>
      </c>
      <c r="U8" s="184">
        <f>SUM([1]forRPM!AE$31:AE$46)</f>
        <v>0.14514829302209553</v>
      </c>
      <c r="V8" s="184">
        <f>SUM([1]forRPM!AF$31:AF$46)</f>
        <v>6.6056559036660856</v>
      </c>
      <c r="W8" s="184">
        <f t="shared" si="0"/>
        <v>2.0038307347394957</v>
      </c>
      <c r="X8" s="185">
        <f t="shared" si="1"/>
        <v>2.0038307347394957</v>
      </c>
    </row>
    <row r="9" spans="1:25" x14ac:dyDescent="0.3">
      <c r="A9" t="s">
        <v>525</v>
      </c>
      <c r="B9" s="184">
        <f>SUM([1]forRPM!L$47:L$54)</f>
        <v>5.9537552651067666E-2</v>
      </c>
      <c r="C9" s="184">
        <f>SUM([1]forRPM!M$47:M$54)</f>
        <v>0.10297406913208665</v>
      </c>
      <c r="D9" s="184">
        <f>SUM([1]forRPM!N$47:N$54)</f>
        <v>0.13476641571836434</v>
      </c>
      <c r="E9" s="184">
        <f>SUM([1]forRPM!O$47:O$54)</f>
        <v>0.16112422379325717</v>
      </c>
      <c r="F9" s="184">
        <f>SUM([1]forRPM!P$47:P$54)</f>
        <v>0.18593640304924799</v>
      </c>
      <c r="G9" s="184">
        <f>SUM([1]forRPM!Q$47:Q$54)</f>
        <v>0.20841280111902757</v>
      </c>
      <c r="H9" s="184">
        <f>SUM([1]forRPM!R$47:R$54)</f>
        <v>0.2290203461561727</v>
      </c>
      <c r="I9" s="184">
        <f>SUM([1]forRPM!S$47:S$54)</f>
        <v>0.24722313374202642</v>
      </c>
      <c r="J9" s="184">
        <f>SUM([1]forRPM!T$47:T$54)</f>
        <v>0.26380405873714802</v>
      </c>
      <c r="K9" s="184">
        <f>SUM([1]forRPM!U$47:U$54)</f>
        <v>0.27912726649223085</v>
      </c>
      <c r="L9" s="184">
        <f>SUM([1]forRPM!V$47:V$54)</f>
        <v>0.29276282810502013</v>
      </c>
      <c r="M9" s="184">
        <f>SUM([1]forRPM!W$47:W$54)</f>
        <v>0.30434059104547245</v>
      </c>
      <c r="N9" s="184">
        <f>SUM([1]forRPM!X$47:X$54)</f>
        <v>0.31523752698206792</v>
      </c>
      <c r="O9" s="184">
        <f>SUM([1]forRPM!Y$47:Y$54)</f>
        <v>0.32359848563495391</v>
      </c>
      <c r="P9" s="184">
        <f>SUM([1]forRPM!Z$47:Z$54)</f>
        <v>0.32699859425621747</v>
      </c>
      <c r="Q9" s="184">
        <f>SUM([1]forRPM!AA$47:AA$54)</f>
        <v>0.32964660151298542</v>
      </c>
      <c r="R9" s="184">
        <f>SUM([1]forRPM!AB$47:AB$54)</f>
        <v>0.33170887163813484</v>
      </c>
      <c r="S9" s="184">
        <f>SUM([1]forRPM!AC$47:AC$54)</f>
        <v>0.33331496922650622</v>
      </c>
      <c r="T9" s="184">
        <f>SUM([1]forRPM!AD$47:AD$54)</f>
        <v>0.33456579928601876</v>
      </c>
      <c r="U9" s="184">
        <f>SUM([1]forRPM!AE$47:AE$54)</f>
        <v>0.33553994671585652</v>
      </c>
      <c r="V9" s="184">
        <f>SUM([1]forRPM!AF$47:AF$54)</f>
        <v>2.7148048777679645</v>
      </c>
      <c r="W9" s="184">
        <f t="shared" si="0"/>
        <v>5.0996404849938637</v>
      </c>
      <c r="X9" s="185">
        <f t="shared" si="1"/>
        <v>2.7148048777679645</v>
      </c>
    </row>
    <row r="10" spans="1:25" x14ac:dyDescent="0.3">
      <c r="A10" t="s">
        <v>521</v>
      </c>
      <c r="B10" s="184">
        <f>SUM([4]forRPM!L$3:L$6)</f>
        <v>9.5438323356987422E-4</v>
      </c>
      <c r="C10" s="184">
        <f>SUM([4]forRPM!M$3:M$6)</f>
        <v>2.8366362132458208E-3</v>
      </c>
      <c r="D10" s="184">
        <f>SUM([4]forRPM!N$3:N$6)</f>
        <v>6.124736858603516E-3</v>
      </c>
      <c r="E10" s="184">
        <f>SUM([4]forRPM!O$3:O$6)</f>
        <v>1.1405334350318626E-2</v>
      </c>
      <c r="F10" s="184">
        <f>SUM([4]forRPM!P$3:P$6)</f>
        <v>1.9220691176806304E-2</v>
      </c>
      <c r="G10" s="184">
        <f>SUM([4]forRPM!Q$3:Q$6)</f>
        <v>3.0184532842596788E-2</v>
      </c>
      <c r="H10" s="184">
        <f>SUM([4]forRPM!R$3:R$6)</f>
        <v>4.5010724973339633E-2</v>
      </c>
      <c r="I10" s="184">
        <f>SUM([4]forRPM!S$3:S$6)</f>
        <v>6.4003394438288591E-2</v>
      </c>
      <c r="J10" s="184">
        <f>SUM([4]forRPM!T$3:T$6)</f>
        <v>8.7294358822883625E-2</v>
      </c>
      <c r="K10" s="184">
        <f>SUM([4]forRPM!U$3:U$6)</f>
        <v>0.1142274771194163</v>
      </c>
      <c r="L10" s="184">
        <f>SUM([4]forRPM!V$3:V$6)</f>
        <v>0.14366905997547835</v>
      </c>
      <c r="M10" s="184">
        <f>SUM([4]forRPM!W$3:W$6)</f>
        <v>0.17491452211652378</v>
      </c>
      <c r="N10" s="184">
        <f>SUM([4]forRPM!X$3:X$6)</f>
        <v>0.20615194513819124</v>
      </c>
      <c r="O10" s="184">
        <f>SUM([4]forRPM!Y$3:Y$6)</f>
        <v>0.23650577046646559</v>
      </c>
      <c r="P10" s="184">
        <f>SUM([4]forRPM!Z$3:Z$6)</f>
        <v>0.26314217101735382</v>
      </c>
      <c r="Q10" s="184">
        <f>SUM([4]forRPM!AA$3:AA$6)</f>
        <v>0.28477448868695049</v>
      </c>
      <c r="R10" s="184">
        <f>SUM([4]forRPM!AB$3:AB$6)</f>
        <v>0.30089487024537148</v>
      </c>
      <c r="S10" s="184">
        <f>SUM([4]forRPM!AC$3:AC$6)</f>
        <v>0.31181163366976494</v>
      </c>
      <c r="T10" s="184">
        <f>SUM([4]forRPM!AD$3:AD$6)</f>
        <v>0.31845667723881854</v>
      </c>
      <c r="U10" s="184">
        <f>SUM([4]forRPM!AE$3:AE$6)</f>
        <v>0.32159714392878763</v>
      </c>
      <c r="V10" s="184">
        <f>SUM([4]forRPM!AF$3:AF$6)</f>
        <v>3.2543200636354599</v>
      </c>
      <c r="W10" s="184">
        <f>SUM(B10:U10)</f>
        <v>2.9431805525127754</v>
      </c>
      <c r="X10" s="185">
        <f>MIN(V10,W10)</f>
        <v>2.9431805525127754</v>
      </c>
      <c r="Y10" s="184">
        <f>SUM(X10:X12)</f>
        <v>7.6442370618721363</v>
      </c>
    </row>
    <row r="11" spans="1:25" x14ac:dyDescent="0.3">
      <c r="A11" t="s">
        <v>520</v>
      </c>
      <c r="B11" s="184">
        <f>SUM([7]forRPM!L$3:L$6)</f>
        <v>1.0121183326811174E-2</v>
      </c>
      <c r="C11" s="184">
        <f>SUM([7]forRPM!M$3:M$6)</f>
        <v>1.2427198980242563E-2</v>
      </c>
      <c r="D11" s="184">
        <f>SUM([7]forRPM!N$3:N$6)</f>
        <v>1.5207254826210782E-2</v>
      </c>
      <c r="E11" s="184">
        <f>SUM([7]forRPM!O$3:O$6)</f>
        <v>1.7653226732810189E-2</v>
      </c>
      <c r="F11" s="184">
        <f>SUM([7]forRPM!P$3:P$6)</f>
        <v>2.0135740568732505E-2</v>
      </c>
      <c r="G11" s="184">
        <f>SUM([7]forRPM!Q$3:Q$6)</f>
        <v>2.3541101098835643E-2</v>
      </c>
      <c r="H11" s="184">
        <f>SUM([7]forRPM!R$3:R$6)</f>
        <v>2.5824953487139767E-2</v>
      </c>
      <c r="I11" s="184">
        <f>SUM([7]forRPM!S$3:S$6)</f>
        <v>2.6382014183009957E-2</v>
      </c>
      <c r="J11" s="184">
        <f>SUM([7]forRPM!T$3:T$6)</f>
        <v>2.4861882238183759E-2</v>
      </c>
      <c r="K11" s="184">
        <f>SUM([7]forRPM!U$3:U$6)</f>
        <v>2.1370893658147806E-2</v>
      </c>
      <c r="L11" s="184">
        <f>SUM([7]forRPM!V$3:V$6)</f>
        <v>1.6537699797407844E-2</v>
      </c>
      <c r="M11" s="184">
        <f>SUM([7]forRPM!W$3:W$6)</f>
        <v>1.1349461985504575E-2</v>
      </c>
      <c r="N11" s="184">
        <f>SUM([7]forRPM!X$3:X$6)</f>
        <v>6.7916046113858878E-3</v>
      </c>
      <c r="O11" s="184">
        <f>SUM([7]forRPM!Y$3:Y$6)</f>
        <v>3.4774420341359834E-3</v>
      </c>
      <c r="P11" s="184">
        <f>SUM([7]forRPM!Z$3:Z$6)</f>
        <v>1.4919411247213531E-3</v>
      </c>
      <c r="Q11" s="184">
        <f>SUM([7]forRPM!AA$3:AA$6)</f>
        <v>5.2414965635130275E-4</v>
      </c>
      <c r="R11" s="184">
        <f>SUM([7]forRPM!AB$3:AB$6)</f>
        <v>1.4704196825248659E-4</v>
      </c>
      <c r="S11" s="184">
        <f>SUM([7]forRPM!AC$3:AC$6)</f>
        <v>3.2048472538111724E-5</v>
      </c>
      <c r="T11" s="184">
        <f>SUM([7]forRPM!AD$3:AD$6)</f>
        <v>5.2678727029077121E-6</v>
      </c>
      <c r="U11" s="184">
        <f>SUM([7]forRPM!AE$3:AE$6)</f>
        <v>6.323240767049266E-7</v>
      </c>
      <c r="V11" s="184">
        <f>SUM([7]forRPM!AF$3:AF$6)</f>
        <v>0.23537635643746915</v>
      </c>
      <c r="W11" s="184">
        <f>SUM(B11:U11)</f>
        <v>0.23788273894720133</v>
      </c>
      <c r="X11" s="185">
        <f>MIN(V11,W11)</f>
        <v>0.23537635643746915</v>
      </c>
    </row>
    <row r="12" spans="1:25" x14ac:dyDescent="0.3">
      <c r="A12" t="s">
        <v>523</v>
      </c>
      <c r="B12" s="184">
        <f>SUM([6]forRPM!L$3:L$18)</f>
        <v>8.9800450261808315E-2</v>
      </c>
      <c r="C12" s="184">
        <f>SUM([6]forRPM!M$3:M$18)</f>
        <v>0.15274344514746324</v>
      </c>
      <c r="D12" s="184">
        <f>SUM([6]forRPM!N$3:N$18)</f>
        <v>0.19631682621929214</v>
      </c>
      <c r="E12" s="184">
        <f>SUM([6]forRPM!O$3:O$18)</f>
        <v>0.23025180951910115</v>
      </c>
      <c r="F12" s="184">
        <f>SUM([6]forRPM!P$3:P$18)</f>
        <v>0.25998397503243337</v>
      </c>
      <c r="G12" s="184">
        <f>SUM([6]forRPM!Q$3:Q$18)</f>
        <v>0.28571223479264635</v>
      </c>
      <c r="H12" s="184">
        <f>SUM([6]forRPM!R$3:R$18)</f>
        <v>0.30775314252579661</v>
      </c>
      <c r="I12" s="184">
        <f>SUM([6]forRPM!S$3:S$18)</f>
        <v>0.32647911656454059</v>
      </c>
      <c r="J12" s="184">
        <f>SUM([6]forRPM!T$3:T$18)</f>
        <v>0.34227823674678504</v>
      </c>
      <c r="K12" s="184">
        <f>SUM([6]forRPM!U$3:U$18)</f>
        <v>0.35552909369884611</v>
      </c>
      <c r="L12" s="184">
        <f>SUM([6]forRPM!V$3:V$18)</f>
        <v>0.3665859984530952</v>
      </c>
      <c r="M12" s="184">
        <f>SUM([6]forRPM!W$3:W$18)</f>
        <v>0.3751971245340503</v>
      </c>
      <c r="N12" s="184">
        <f>SUM([6]forRPM!X$3:X$18)</f>
        <v>0.3819034762690246</v>
      </c>
      <c r="O12" s="184">
        <f>SUM([6]forRPM!Y$3:Y$18)</f>
        <v>0.38712638825177509</v>
      </c>
      <c r="P12" s="184">
        <f>SUM([6]forRPM!Z$3:Z$18)</f>
        <v>0.39119399619385403</v>
      </c>
      <c r="Q12" s="184">
        <f>SUM([6]forRPM!AA$3:AA$18)</f>
        <v>0.3943618524443725</v>
      </c>
      <c r="R12" s="184">
        <f>SUM([6]forRPM!AB$3:AB$18)</f>
        <v>0.39682898137293415</v>
      </c>
      <c r="S12" s="184">
        <f>SUM([6]forRPM!AC$3:AC$18)</f>
        <v>0.39875038331443602</v>
      </c>
      <c r="T12" s="184">
        <f>SUM([6]forRPM!AD$3:AD$18)</f>
        <v>0.40024677265107256</v>
      </c>
      <c r="U12" s="184">
        <f>SUM([6]forRPM!AE$3:AE$18)</f>
        <v>0.40141216183822476</v>
      </c>
      <c r="V12" s="184">
        <f>SUM([6]forRPM!AF$3:AF$18)</f>
        <v>4.465680152921891</v>
      </c>
      <c r="W12" s="184">
        <f>SUM(B12:U12)</f>
        <v>6.4404554658315529</v>
      </c>
      <c r="X12" s="185">
        <f>MIN(V12,W12)</f>
        <v>4.465680152921891</v>
      </c>
      <c r="Y12" s="184"/>
    </row>
    <row r="13" spans="1:25" x14ac:dyDescent="0.3">
      <c r="B13" s="184"/>
      <c r="C13" s="184"/>
      <c r="D13" s="184"/>
      <c r="E13" s="184"/>
      <c r="F13" s="184"/>
      <c r="G13" s="184"/>
      <c r="H13" s="184"/>
      <c r="I13" s="184"/>
      <c r="J13" s="184"/>
      <c r="K13" s="184"/>
      <c r="L13" s="184"/>
      <c r="M13" s="184"/>
      <c r="N13" s="184"/>
      <c r="O13" s="184"/>
      <c r="P13" s="184"/>
      <c r="Q13" s="184"/>
      <c r="R13" s="184"/>
      <c r="S13" s="184"/>
      <c r="T13" s="184"/>
      <c r="U13" s="184"/>
      <c r="V13" s="184">
        <f>SUM(V2:V12)</f>
        <v>81.070448534925603</v>
      </c>
      <c r="W13" s="184">
        <f>SUM(W2:W12)</f>
        <v>79.566782492201185</v>
      </c>
      <c r="X13" s="184">
        <f>SUM(X2:X12)</f>
        <v>74.781626582810645</v>
      </c>
    </row>
    <row r="14" spans="1:25" x14ac:dyDescent="0.3">
      <c r="C14" t="s">
        <v>532</v>
      </c>
    </row>
    <row r="15" spans="1:25" x14ac:dyDescent="0.3">
      <c r="C15" t="s">
        <v>531</v>
      </c>
    </row>
    <row r="45" spans="1:24" ht="14.4" customHeight="1" x14ac:dyDescent="0.3">
      <c r="B45" s="168">
        <v>2022</v>
      </c>
      <c r="C45" s="168">
        <v>2023</v>
      </c>
      <c r="D45" s="168">
        <v>2024</v>
      </c>
      <c r="E45" s="168">
        <v>2025</v>
      </c>
      <c r="F45" s="168">
        <v>2026</v>
      </c>
      <c r="G45" s="168">
        <v>2027</v>
      </c>
      <c r="H45" s="168">
        <v>2028</v>
      </c>
      <c r="I45" s="168">
        <v>2029</v>
      </c>
      <c r="J45" s="168">
        <v>2030</v>
      </c>
      <c r="K45" s="168">
        <v>2031</v>
      </c>
      <c r="L45" s="168">
        <v>2032</v>
      </c>
      <c r="M45" s="168">
        <v>2033</v>
      </c>
      <c r="N45" s="168">
        <v>2034</v>
      </c>
      <c r="O45" s="168">
        <v>2035</v>
      </c>
      <c r="P45" s="168">
        <v>2036</v>
      </c>
      <c r="Q45" s="168">
        <v>2037</v>
      </c>
      <c r="R45" s="168">
        <v>2038</v>
      </c>
      <c r="S45" s="168">
        <v>2039</v>
      </c>
      <c r="T45" s="168">
        <v>2040</v>
      </c>
      <c r="U45" s="168">
        <v>2041</v>
      </c>
      <c r="V45" s="168"/>
      <c r="W45" s="168"/>
      <c r="X45" s="168"/>
    </row>
    <row r="46" spans="1:24" ht="14.4" customHeight="1" x14ac:dyDescent="0.3">
      <c r="A46" s="168" t="s">
        <v>529</v>
      </c>
      <c r="B46" s="184">
        <f>B2</f>
        <v>1.0361865463925992</v>
      </c>
      <c r="C46" s="184">
        <f>IF(B46+C2&lt;$V2,B46+C2,$V2)</f>
        <v>2.1030956996893115</v>
      </c>
      <c r="D46" s="184">
        <f t="shared" ref="D46:U56" si="2">IF(C46+D2&lt;$V2,C46+D2,$V2)</f>
        <v>3.20772501110606</v>
      </c>
      <c r="E46" s="184">
        <f t="shared" si="2"/>
        <v>4.3547452988100908</v>
      </c>
      <c r="F46" s="184">
        <f t="shared" si="2"/>
        <v>5.5580762256430027</v>
      </c>
      <c r="G46" s="184">
        <f t="shared" si="2"/>
        <v>6.8243741808131801</v>
      </c>
      <c r="H46" s="184">
        <f t="shared" si="2"/>
        <v>8.1542502924811373</v>
      </c>
      <c r="I46" s="184">
        <f t="shared" si="2"/>
        <v>9.5493882810169879</v>
      </c>
      <c r="J46" s="184">
        <f t="shared" si="2"/>
        <v>10.996794052553078</v>
      </c>
      <c r="K46" s="184">
        <f t="shared" si="2"/>
        <v>12.48679593884561</v>
      </c>
      <c r="L46" s="184">
        <f t="shared" si="2"/>
        <v>13.992342335495726</v>
      </c>
      <c r="M46" s="184">
        <f t="shared" si="2"/>
        <v>15.4849076945886</v>
      </c>
      <c r="N46" s="184">
        <f t="shared" si="2"/>
        <v>16.946415750106723</v>
      </c>
      <c r="O46" s="184">
        <f t="shared" si="2"/>
        <v>18.356412852254191</v>
      </c>
      <c r="P46" s="184">
        <f t="shared" si="2"/>
        <v>19.705757925423697</v>
      </c>
      <c r="Q46" s="184">
        <f t="shared" si="2"/>
        <v>20.985715784716202</v>
      </c>
      <c r="R46" s="184">
        <f t="shared" si="2"/>
        <v>22.190441428341064</v>
      </c>
      <c r="S46" s="184">
        <f t="shared" si="2"/>
        <v>23.320945560218277</v>
      </c>
      <c r="T46" s="184">
        <f t="shared" si="2"/>
        <v>24.392319006397592</v>
      </c>
      <c r="U46" s="184">
        <f t="shared" si="2"/>
        <v>25.062930057267671</v>
      </c>
      <c r="V46" s="184"/>
    </row>
    <row r="47" spans="1:24" ht="14.4" customHeight="1" x14ac:dyDescent="0.3">
      <c r="A47" s="168" t="s">
        <v>530</v>
      </c>
      <c r="B47" s="184">
        <f t="shared" ref="B47:B56" si="3">B3</f>
        <v>5.1477873599471272E-2</v>
      </c>
      <c r="C47" s="184">
        <f t="shared" ref="C47:R56" si="4">IF(B47+C3&lt;$V3,B47+C3,$V3)</f>
        <v>0.14170058204104741</v>
      </c>
      <c r="D47" s="184">
        <f t="shared" si="4"/>
        <v>0.31204630976825776</v>
      </c>
      <c r="E47" s="184">
        <f t="shared" si="4"/>
        <v>0.60007642247892423</v>
      </c>
      <c r="F47" s="184">
        <f t="shared" si="4"/>
        <v>1.0441228605238291</v>
      </c>
      <c r="G47" s="184">
        <f t="shared" si="4"/>
        <v>1.6691810347414862</v>
      </c>
      <c r="H47" s="184">
        <f t="shared" si="4"/>
        <v>2.485671576815732</v>
      </c>
      <c r="I47" s="184">
        <f t="shared" si="4"/>
        <v>3.4899481509339418</v>
      </c>
      <c r="J47" s="184">
        <f t="shared" si="4"/>
        <v>4.6521432148690183</v>
      </c>
      <c r="K47" s="184">
        <f t="shared" si="4"/>
        <v>5.9320989154390809</v>
      </c>
      <c r="L47" s="184">
        <f t="shared" si="4"/>
        <v>7.2690397836057272</v>
      </c>
      <c r="M47" s="184">
        <f t="shared" si="4"/>
        <v>8.5965838466503079</v>
      </c>
      <c r="N47" s="184">
        <f t="shared" si="4"/>
        <v>9.8530060845305911</v>
      </c>
      <c r="O47" s="184">
        <f t="shared" si="4"/>
        <v>10.980786769178003</v>
      </c>
      <c r="P47" s="184">
        <f t="shared" si="4"/>
        <v>11.938893826297496</v>
      </c>
      <c r="Q47" s="184">
        <f t="shared" si="4"/>
        <v>12.70924025974422</v>
      </c>
      <c r="R47" s="184">
        <f t="shared" si="4"/>
        <v>13.286705691838607</v>
      </c>
      <c r="S47" s="184">
        <f t="shared" si="2"/>
        <v>13.682498468439395</v>
      </c>
      <c r="T47" s="184">
        <f t="shared" si="2"/>
        <v>13.934262116058363</v>
      </c>
      <c r="U47" s="184">
        <f t="shared" si="2"/>
        <v>14.099802068283719</v>
      </c>
      <c r="V47" s="184"/>
    </row>
    <row r="48" spans="1:24" ht="14.4" customHeight="1" x14ac:dyDescent="0.3">
      <c r="A48" s="168" t="s">
        <v>404</v>
      </c>
      <c r="B48" s="184">
        <f t="shared" si="3"/>
        <v>2.4423697793522395E-2</v>
      </c>
      <c r="C48" s="184">
        <f t="shared" si="4"/>
        <v>7.3237579862639943E-2</v>
      </c>
      <c r="D48" s="184">
        <f t="shared" si="2"/>
        <v>0.15967936395111282</v>
      </c>
      <c r="E48" s="184">
        <f t="shared" si="2"/>
        <v>0.29980147751837122</v>
      </c>
      <c r="F48" s="184">
        <f t="shared" si="2"/>
        <v>0.51229789529954173</v>
      </c>
      <c r="G48" s="184">
        <f t="shared" si="2"/>
        <v>0.81404985857248757</v>
      </c>
      <c r="H48" s="184">
        <f t="shared" si="2"/>
        <v>1.2206521912721651</v>
      </c>
      <c r="I48" s="184">
        <f t="shared" si="2"/>
        <v>1.7455378035336011</v>
      </c>
      <c r="J48" s="184">
        <f t="shared" si="2"/>
        <v>2.3904815747995953</v>
      </c>
      <c r="K48" s="184">
        <f t="shared" si="2"/>
        <v>3.14875639406289</v>
      </c>
      <c r="L48" s="184">
        <f t="shared" si="2"/>
        <v>3.9940403883219657</v>
      </c>
      <c r="M48" s="184">
        <f t="shared" si="2"/>
        <v>4.8857044834214589</v>
      </c>
      <c r="N48" s="184">
        <f t="shared" si="2"/>
        <v>5.7757516720553888</v>
      </c>
      <c r="O48" s="184">
        <f t="shared" si="2"/>
        <v>6.6111441262006885</v>
      </c>
      <c r="P48" s="184">
        <f t="shared" si="2"/>
        <v>7.3468994646435561</v>
      </c>
      <c r="Q48" s="184">
        <f t="shared" si="2"/>
        <v>7.9564421359710993</v>
      </c>
      <c r="R48" s="184">
        <f t="shared" si="2"/>
        <v>8.4234208325200619</v>
      </c>
      <c r="S48" s="184">
        <f t="shared" si="2"/>
        <v>8.7473293345573957</v>
      </c>
      <c r="T48" s="184">
        <f t="shared" si="2"/>
        <v>8.954678102613407</v>
      </c>
      <c r="U48" s="184">
        <f t="shared" si="2"/>
        <v>9.0334804218054519</v>
      </c>
      <c r="V48" s="184"/>
    </row>
    <row r="49" spans="1:22" ht="14.4" customHeight="1" x14ac:dyDescent="0.3">
      <c r="A49" s="168" t="s">
        <v>526</v>
      </c>
      <c r="B49" s="184">
        <f t="shared" si="3"/>
        <v>0.19591653861314257</v>
      </c>
      <c r="C49" s="184">
        <f t="shared" si="4"/>
        <v>0.39266483571547767</v>
      </c>
      <c r="D49" s="184">
        <f t="shared" si="2"/>
        <v>0.59009529088269486</v>
      </c>
      <c r="E49" s="184">
        <f t="shared" si="2"/>
        <v>0.78916798505479235</v>
      </c>
      <c r="F49" s="184">
        <f t="shared" si="2"/>
        <v>0.9880464134792436</v>
      </c>
      <c r="G49" s="184">
        <f t="shared" si="2"/>
        <v>1.1665770896702092</v>
      </c>
      <c r="H49" s="184">
        <f t="shared" si="2"/>
        <v>1.3094284106916048</v>
      </c>
      <c r="I49" s="184">
        <f t="shared" si="2"/>
        <v>1.4235196375652013</v>
      </c>
      <c r="J49" s="184">
        <f t="shared" si="2"/>
        <v>1.5153139395286366</v>
      </c>
      <c r="K49" s="184">
        <f t="shared" si="2"/>
        <v>1.588741355562705</v>
      </c>
      <c r="L49" s="184">
        <f t="shared" si="2"/>
        <v>1.6474050099084743</v>
      </c>
      <c r="M49" s="184">
        <f t="shared" si="2"/>
        <v>1.6943556673087938</v>
      </c>
      <c r="N49" s="184">
        <f t="shared" si="2"/>
        <v>1.7319383968424269</v>
      </c>
      <c r="O49" s="184">
        <f t="shared" si="2"/>
        <v>1.7622307990273633</v>
      </c>
      <c r="P49" s="184">
        <f t="shared" si="2"/>
        <v>1.786648225101745</v>
      </c>
      <c r="Q49" s="184">
        <f t="shared" si="2"/>
        <v>1.8063310149908647</v>
      </c>
      <c r="R49" s="184">
        <f t="shared" si="2"/>
        <v>1.8064662960791675</v>
      </c>
      <c r="S49" s="184">
        <f t="shared" si="2"/>
        <v>1.8065149834773739</v>
      </c>
      <c r="T49" s="184">
        <f t="shared" si="2"/>
        <v>1.8065317102738834</v>
      </c>
      <c r="U49" s="184">
        <f t="shared" si="2"/>
        <v>1.806537207249036</v>
      </c>
      <c r="V49" s="184"/>
    </row>
    <row r="50" spans="1:22" ht="14.4" customHeight="1" x14ac:dyDescent="0.3">
      <c r="A50" s="168" t="s">
        <v>527</v>
      </c>
      <c r="B50" s="184">
        <f t="shared" si="3"/>
        <v>0.7552845529458817</v>
      </c>
      <c r="C50" s="184">
        <f t="shared" si="4"/>
        <v>1.5132085725973639</v>
      </c>
      <c r="D50" s="184">
        <f t="shared" si="2"/>
        <v>2.273203872408617</v>
      </c>
      <c r="E50" s="184">
        <f t="shared" si="2"/>
        <v>3.0387942997927699</v>
      </c>
      <c r="F50" s="184">
        <f t="shared" si="2"/>
        <v>3.8030309838072771</v>
      </c>
      <c r="G50" s="184">
        <f t="shared" si="2"/>
        <v>4.4885820653868072</v>
      </c>
      <c r="H50" s="184">
        <f t="shared" si="2"/>
        <v>5.0368873161331464</v>
      </c>
      <c r="I50" s="184">
        <f t="shared" si="2"/>
        <v>5.4745729635033369</v>
      </c>
      <c r="J50" s="184">
        <f t="shared" si="2"/>
        <v>5.8264077179406542</v>
      </c>
      <c r="K50" s="184">
        <f t="shared" si="2"/>
        <v>6.1076615108638093</v>
      </c>
      <c r="L50" s="184">
        <f t="shared" si="2"/>
        <v>6.3321998836159086</v>
      </c>
      <c r="M50" s="184">
        <f t="shared" si="2"/>
        <v>6.5117869798988748</v>
      </c>
      <c r="N50" s="184">
        <f t="shared" si="2"/>
        <v>6.6554686195461805</v>
      </c>
      <c r="O50" s="184">
        <f t="shared" si="2"/>
        <v>6.7712092401807009</v>
      </c>
      <c r="P50" s="184">
        <f t="shared" si="2"/>
        <v>6.8644472792961206</v>
      </c>
      <c r="Q50" s="184">
        <f t="shared" si="2"/>
        <v>6.9395616599006642</v>
      </c>
      <c r="R50" s="184">
        <f t="shared" si="2"/>
        <v>6.9400776231135808</v>
      </c>
      <c r="S50" s="184">
        <f t="shared" si="2"/>
        <v>6.9402632092239527</v>
      </c>
      <c r="T50" s="184">
        <f t="shared" si="2"/>
        <v>6.9403269314544191</v>
      </c>
      <c r="U50" s="184">
        <f t="shared" si="2"/>
        <v>6.940347860687071</v>
      </c>
      <c r="V50" s="184"/>
    </row>
    <row r="51" spans="1:22" ht="14.4" customHeight="1" x14ac:dyDescent="0.3">
      <c r="A51" s="168" t="s">
        <v>522</v>
      </c>
      <c r="B51" s="184">
        <f t="shared" si="3"/>
        <v>2.5877344675033317E-2</v>
      </c>
      <c r="C51" s="184">
        <f t="shared" si="4"/>
        <v>6.7242779270012987E-2</v>
      </c>
      <c r="D51" s="184">
        <f t="shared" si="2"/>
        <v>0.15149222919672697</v>
      </c>
      <c r="E51" s="184">
        <f t="shared" si="2"/>
        <v>0.30179986232598754</v>
      </c>
      <c r="F51" s="184">
        <f t="shared" si="2"/>
        <v>0.54078651120447363</v>
      </c>
      <c r="G51" s="184">
        <f t="shared" si="2"/>
        <v>0.88207460195030329</v>
      </c>
      <c r="H51" s="184">
        <f t="shared" si="2"/>
        <v>1.3252482189585746</v>
      </c>
      <c r="I51" s="184">
        <f t="shared" si="2"/>
        <v>1.8514087017526806</v>
      </c>
      <c r="J51" s="184">
        <f t="shared" si="2"/>
        <v>2.4281840336157883</v>
      </c>
      <c r="K51" s="184">
        <f t="shared" si="2"/>
        <v>3.015765195850733</v>
      </c>
      <c r="L51" s="184">
        <f t="shared" si="2"/>
        <v>3.5736576445241859</v>
      </c>
      <c r="M51" s="184">
        <f t="shared" si="2"/>
        <v>4.0695054193368581</v>
      </c>
      <c r="N51" s="184">
        <f t="shared" si="2"/>
        <v>4.4850752111110443</v>
      </c>
      <c r="O51" s="184">
        <f t="shared" si="2"/>
        <v>4.812409906203694</v>
      </c>
      <c r="P51" s="184">
        <f t="shared" si="2"/>
        <v>5.053603892061437</v>
      </c>
      <c r="Q51" s="184">
        <f t="shared" si="2"/>
        <v>5.2224396821618564</v>
      </c>
      <c r="R51" s="184">
        <f t="shared" si="2"/>
        <v>5.334996875562136</v>
      </c>
      <c r="S51" s="184">
        <f t="shared" si="2"/>
        <v>5.4066241804532229</v>
      </c>
      <c r="T51" s="184">
        <f t="shared" si="2"/>
        <v>5.4502234095173634</v>
      </c>
      <c r="U51" s="184">
        <f t="shared" si="2"/>
        <v>5.475656293138111</v>
      </c>
      <c r="V51" s="184"/>
    </row>
    <row r="52" spans="1:22" ht="14.4" customHeight="1" x14ac:dyDescent="0.3">
      <c r="A52" s="168" t="s">
        <v>524</v>
      </c>
      <c r="B52" s="184">
        <f t="shared" si="3"/>
        <v>6.1756161449629211E-3</v>
      </c>
      <c r="C52" s="184">
        <f t="shared" si="4"/>
        <v>1.9933904017227964E-2</v>
      </c>
      <c r="D52" s="184">
        <f t="shared" si="2"/>
        <v>4.2971163072292595E-2</v>
      </c>
      <c r="E52" s="184">
        <f t="shared" si="2"/>
        <v>7.6779845636013477E-2</v>
      </c>
      <c r="F52" s="184">
        <f t="shared" si="2"/>
        <v>0.12287470072835981</v>
      </c>
      <c r="G52" s="184">
        <f t="shared" si="2"/>
        <v>0.18333356833997921</v>
      </c>
      <c r="H52" s="184">
        <f t="shared" si="2"/>
        <v>0.2595499807512881</v>
      </c>
      <c r="I52" s="184">
        <f t="shared" si="2"/>
        <v>0.35186383824035239</v>
      </c>
      <c r="J52" s="184">
        <f t="shared" si="2"/>
        <v>0.45934760584630702</v>
      </c>
      <c r="K52" s="184">
        <f t="shared" si="2"/>
        <v>0.57987119613366001</v>
      </c>
      <c r="L52" s="184">
        <f t="shared" si="2"/>
        <v>0.71048555175661132</v>
      </c>
      <c r="M52" s="184">
        <f t="shared" si="2"/>
        <v>0.8480249791237584</v>
      </c>
      <c r="N52" s="184">
        <f t="shared" si="2"/>
        <v>0.98970842223827105</v>
      </c>
      <c r="O52" s="184">
        <f t="shared" si="2"/>
        <v>1.1335136871275453</v>
      </c>
      <c r="P52" s="184">
        <f t="shared" si="2"/>
        <v>1.2782292858581952</v>
      </c>
      <c r="Q52" s="184">
        <f t="shared" si="2"/>
        <v>1.4232647036234005</v>
      </c>
      <c r="R52" s="184">
        <f t="shared" si="2"/>
        <v>1.5683898416044944</v>
      </c>
      <c r="S52" s="184">
        <f t="shared" si="2"/>
        <v>1.7135345345188442</v>
      </c>
      <c r="T52" s="184">
        <f t="shared" si="2"/>
        <v>1.8586824417173999</v>
      </c>
      <c r="U52" s="184">
        <f t="shared" si="2"/>
        <v>2.0038307347394957</v>
      </c>
      <c r="V52" s="184"/>
    </row>
    <row r="53" spans="1:22" ht="14.4" customHeight="1" x14ac:dyDescent="0.3">
      <c r="A53" s="168" t="s">
        <v>525</v>
      </c>
      <c r="B53" s="184">
        <f t="shared" si="3"/>
        <v>5.9537552651067666E-2</v>
      </c>
      <c r="C53" s="184">
        <f t="shared" si="4"/>
        <v>0.16251162178315431</v>
      </c>
      <c r="D53" s="184">
        <f t="shared" si="2"/>
        <v>0.29727803750151865</v>
      </c>
      <c r="E53" s="184">
        <f t="shared" si="2"/>
        <v>0.45840226129477579</v>
      </c>
      <c r="F53" s="184">
        <f t="shared" si="2"/>
        <v>0.64433866434402376</v>
      </c>
      <c r="G53" s="184">
        <f t="shared" si="2"/>
        <v>0.85275146546305136</v>
      </c>
      <c r="H53" s="184">
        <f t="shared" si="2"/>
        <v>1.0817718116192241</v>
      </c>
      <c r="I53" s="184">
        <f t="shared" si="2"/>
        <v>1.3289949453612504</v>
      </c>
      <c r="J53" s="184">
        <f t="shared" si="2"/>
        <v>1.5927990040983984</v>
      </c>
      <c r="K53" s="184">
        <f t="shared" si="2"/>
        <v>1.8719262705906292</v>
      </c>
      <c r="L53" s="184">
        <f t="shared" si="2"/>
        <v>2.1646890986956495</v>
      </c>
      <c r="M53" s="184">
        <f t="shared" si="2"/>
        <v>2.4690296897411219</v>
      </c>
      <c r="N53" s="184">
        <f t="shared" si="2"/>
        <v>2.7148048777679645</v>
      </c>
      <c r="O53" s="184">
        <f t="shared" si="2"/>
        <v>2.7148048777679645</v>
      </c>
      <c r="P53" s="184">
        <f t="shared" si="2"/>
        <v>2.7148048777679645</v>
      </c>
      <c r="Q53" s="184">
        <f t="shared" si="2"/>
        <v>2.7148048777679645</v>
      </c>
      <c r="R53" s="184">
        <f t="shared" si="2"/>
        <v>2.7148048777679645</v>
      </c>
      <c r="S53" s="184">
        <f t="shared" si="2"/>
        <v>2.7148048777679645</v>
      </c>
      <c r="T53" s="184">
        <f t="shared" si="2"/>
        <v>2.7148048777679645</v>
      </c>
      <c r="U53" s="184">
        <f t="shared" si="2"/>
        <v>2.7148048777679645</v>
      </c>
      <c r="V53" s="184"/>
    </row>
    <row r="54" spans="1:22" ht="14.4" customHeight="1" x14ac:dyDescent="0.3">
      <c r="A54" s="168" t="s">
        <v>521</v>
      </c>
      <c r="B54" s="184">
        <f t="shared" si="3"/>
        <v>9.5438323356987422E-4</v>
      </c>
      <c r="C54" s="184">
        <f t="shared" si="4"/>
        <v>3.7910194468156952E-3</v>
      </c>
      <c r="D54" s="184">
        <f t="shared" si="2"/>
        <v>9.915756305419212E-3</v>
      </c>
      <c r="E54" s="184">
        <f t="shared" si="2"/>
        <v>2.132109065573784E-2</v>
      </c>
      <c r="F54" s="184">
        <f t="shared" si="2"/>
        <v>4.0541781832544144E-2</v>
      </c>
      <c r="G54" s="184">
        <f t="shared" si="2"/>
        <v>7.0726314675140928E-2</v>
      </c>
      <c r="H54" s="184">
        <f t="shared" si="2"/>
        <v>0.11573703964848056</v>
      </c>
      <c r="I54" s="184">
        <f t="shared" si="2"/>
        <v>0.17974043408676915</v>
      </c>
      <c r="J54" s="184">
        <f t="shared" si="2"/>
        <v>0.26703479290965276</v>
      </c>
      <c r="K54" s="184">
        <f t="shared" si="2"/>
        <v>0.38126227002906909</v>
      </c>
      <c r="L54" s="184">
        <f t="shared" si="2"/>
        <v>0.5249313300045475</v>
      </c>
      <c r="M54" s="184">
        <f t="shared" si="2"/>
        <v>0.69984585212107131</v>
      </c>
      <c r="N54" s="184">
        <f t="shared" si="2"/>
        <v>0.90599779725926255</v>
      </c>
      <c r="O54" s="184">
        <f t="shared" si="2"/>
        <v>1.1425035677257283</v>
      </c>
      <c r="P54" s="184">
        <f t="shared" si="2"/>
        <v>1.4056457387430821</v>
      </c>
      <c r="Q54" s="184">
        <f t="shared" si="2"/>
        <v>1.6904202274300326</v>
      </c>
      <c r="R54" s="184">
        <f t="shared" si="2"/>
        <v>1.9913150976754042</v>
      </c>
      <c r="S54" s="184">
        <f t="shared" si="2"/>
        <v>2.3031267313451691</v>
      </c>
      <c r="T54" s="184">
        <f t="shared" si="2"/>
        <v>2.6215834085839878</v>
      </c>
      <c r="U54" s="184">
        <f t="shared" si="2"/>
        <v>2.9431805525127754</v>
      </c>
      <c r="V54" s="184"/>
    </row>
    <row r="55" spans="1:22" ht="14.4" customHeight="1" x14ac:dyDescent="0.3">
      <c r="A55" s="168" t="s">
        <v>520</v>
      </c>
      <c r="B55" s="184">
        <f t="shared" si="3"/>
        <v>1.0121183326811174E-2</v>
      </c>
      <c r="C55" s="184">
        <f t="shared" si="4"/>
        <v>2.2548382307053735E-2</v>
      </c>
      <c r="D55" s="184">
        <f t="shared" si="2"/>
        <v>3.7755637133264519E-2</v>
      </c>
      <c r="E55" s="184">
        <f t="shared" si="2"/>
        <v>5.5408863866074708E-2</v>
      </c>
      <c r="F55" s="184">
        <f t="shared" si="2"/>
        <v>7.5544604434807205E-2</v>
      </c>
      <c r="G55" s="184">
        <f t="shared" si="2"/>
        <v>9.9085705533642848E-2</v>
      </c>
      <c r="H55" s="184">
        <f t="shared" si="2"/>
        <v>0.12491065902078262</v>
      </c>
      <c r="I55" s="184">
        <f t="shared" si="2"/>
        <v>0.15129267320379258</v>
      </c>
      <c r="J55" s="184">
        <f t="shared" si="2"/>
        <v>0.17615455544197633</v>
      </c>
      <c r="K55" s="184">
        <f t="shared" si="2"/>
        <v>0.19752544910012415</v>
      </c>
      <c r="L55" s="184">
        <f t="shared" si="2"/>
        <v>0.214063148897532</v>
      </c>
      <c r="M55" s="184">
        <f t="shared" si="2"/>
        <v>0.22541261088303657</v>
      </c>
      <c r="N55" s="184">
        <f t="shared" si="2"/>
        <v>0.23220421549442247</v>
      </c>
      <c r="O55" s="184">
        <f t="shared" si="2"/>
        <v>0.23537635643746915</v>
      </c>
      <c r="P55" s="184">
        <f t="shared" si="2"/>
        <v>0.23537635643746915</v>
      </c>
      <c r="Q55" s="184">
        <f t="shared" si="2"/>
        <v>0.23537635643746915</v>
      </c>
      <c r="R55" s="184">
        <f t="shared" si="2"/>
        <v>0.23537635643746915</v>
      </c>
      <c r="S55" s="184">
        <f t="shared" si="2"/>
        <v>0.23537635643746915</v>
      </c>
      <c r="T55" s="184">
        <f t="shared" si="2"/>
        <v>0.23537635643746915</v>
      </c>
      <c r="U55" s="184">
        <f t="shared" si="2"/>
        <v>0.23537635643746915</v>
      </c>
      <c r="V55" s="184"/>
    </row>
    <row r="56" spans="1:22" ht="14.4" customHeight="1" x14ac:dyDescent="0.3">
      <c r="A56" s="168" t="s">
        <v>523</v>
      </c>
      <c r="B56" s="184">
        <f t="shared" si="3"/>
        <v>8.9800450261808315E-2</v>
      </c>
      <c r="C56" s="184">
        <f t="shared" si="4"/>
        <v>0.24254389540927157</v>
      </c>
      <c r="D56" s="184">
        <f t="shared" si="2"/>
        <v>0.43886072162856371</v>
      </c>
      <c r="E56" s="184">
        <f t="shared" si="2"/>
        <v>0.66911253114766489</v>
      </c>
      <c r="F56" s="184">
        <f t="shared" si="2"/>
        <v>0.9290965061800982</v>
      </c>
      <c r="G56" s="184">
        <f t="shared" si="2"/>
        <v>1.2148087409727446</v>
      </c>
      <c r="H56" s="184">
        <f t="shared" si="2"/>
        <v>1.5225618834985413</v>
      </c>
      <c r="I56" s="184">
        <f t="shared" si="2"/>
        <v>1.8490410000630819</v>
      </c>
      <c r="J56" s="184">
        <f t="shared" si="2"/>
        <v>2.1913192368098668</v>
      </c>
      <c r="K56" s="184">
        <f t="shared" si="2"/>
        <v>2.5468483305087131</v>
      </c>
      <c r="L56" s="184">
        <f t="shared" si="2"/>
        <v>2.9134343289618081</v>
      </c>
      <c r="M56" s="184">
        <f t="shared" si="2"/>
        <v>3.2886314534958583</v>
      </c>
      <c r="N56" s="184">
        <f t="shared" si="2"/>
        <v>3.6705349297648828</v>
      </c>
      <c r="O56" s="184">
        <f t="shared" si="2"/>
        <v>4.0576613180166579</v>
      </c>
      <c r="P56" s="184">
        <f t="shared" si="2"/>
        <v>4.4488553142105118</v>
      </c>
      <c r="Q56" s="184">
        <f t="shared" si="2"/>
        <v>4.465680152921891</v>
      </c>
      <c r="R56" s="184">
        <f t="shared" si="2"/>
        <v>4.465680152921891</v>
      </c>
      <c r="S56" s="184">
        <f t="shared" si="2"/>
        <v>4.465680152921891</v>
      </c>
      <c r="T56" s="184">
        <f t="shared" si="2"/>
        <v>4.465680152921891</v>
      </c>
      <c r="U56" s="184">
        <f t="shared" si="2"/>
        <v>4.465680152921891</v>
      </c>
      <c r="V56" s="18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482F-B3D0-4FCF-93ED-BA6C47841C36}">
  <sheetPr>
    <tabColor rgb="FFFF66FF"/>
  </sheetPr>
  <dimension ref="A1:F23"/>
  <sheetViews>
    <sheetView workbookViewId="0">
      <selection activeCell="E6" sqref="E6"/>
    </sheetView>
  </sheetViews>
  <sheetFormatPr defaultRowHeight="14.4" customHeight="1" x14ac:dyDescent="0.3"/>
  <cols>
    <col min="1" max="1" width="40.5546875" bestFit="1" customWidth="1"/>
    <col min="2" max="2" width="15.109375" bestFit="1" customWidth="1"/>
    <col min="5" max="5" width="11.5546875" bestFit="1" customWidth="1"/>
  </cols>
  <sheetData>
    <row r="1" spans="1:6" ht="14.4" customHeight="1" x14ac:dyDescent="0.3">
      <c r="A1" s="157" t="s">
        <v>508</v>
      </c>
      <c r="B1" s="168"/>
      <c r="C1" s="168"/>
      <c r="D1" s="168"/>
      <c r="E1" s="157" t="s">
        <v>509</v>
      </c>
      <c r="F1" s="168"/>
    </row>
    <row r="2" spans="1:6" ht="14.4" customHeight="1" x14ac:dyDescent="0.3">
      <c r="A2" s="160" t="s">
        <v>26</v>
      </c>
      <c r="B2" s="160" t="s">
        <v>487</v>
      </c>
      <c r="E2" t="s">
        <v>22</v>
      </c>
      <c r="F2" t="s">
        <v>244</v>
      </c>
    </row>
    <row r="3" spans="1:6" ht="14.4" customHeight="1" x14ac:dyDescent="0.3">
      <c r="A3" s="160" t="s">
        <v>27</v>
      </c>
      <c r="B3" s="160" t="s">
        <v>488</v>
      </c>
      <c r="E3" t="s">
        <v>25</v>
      </c>
      <c r="F3" t="s">
        <v>247</v>
      </c>
    </row>
    <row r="4" spans="1:6" ht="14.4" customHeight="1" x14ac:dyDescent="0.3">
      <c r="A4" s="160" t="s">
        <v>28</v>
      </c>
      <c r="B4" s="160" t="s">
        <v>489</v>
      </c>
      <c r="E4" t="s">
        <v>24</v>
      </c>
      <c r="F4" t="s">
        <v>245</v>
      </c>
    </row>
    <row r="5" spans="1:6" ht="14.4" customHeight="1" x14ac:dyDescent="0.3">
      <c r="A5" s="160" t="s">
        <v>29</v>
      </c>
      <c r="B5" s="160" t="s">
        <v>490</v>
      </c>
      <c r="E5" s="168" t="s">
        <v>196</v>
      </c>
      <c r="F5" s="167" t="s">
        <v>248</v>
      </c>
    </row>
    <row r="6" spans="1:6" ht="14.4" customHeight="1" x14ac:dyDescent="0.3">
      <c r="A6" s="160" t="s">
        <v>30</v>
      </c>
      <c r="B6" s="160" t="s">
        <v>491</v>
      </c>
      <c r="E6" t="s">
        <v>23</v>
      </c>
      <c r="F6" t="s">
        <v>246</v>
      </c>
    </row>
    <row r="7" spans="1:6" ht="14.4" customHeight="1" x14ac:dyDescent="0.3">
      <c r="A7" s="160" t="s">
        <v>31</v>
      </c>
      <c r="B7" s="160" t="s">
        <v>492</v>
      </c>
    </row>
    <row r="8" spans="1:6" ht="14.4" customHeight="1" x14ac:dyDescent="0.3">
      <c r="A8" s="160" t="s">
        <v>32</v>
      </c>
      <c r="B8" s="160" t="s">
        <v>493</v>
      </c>
    </row>
    <row r="9" spans="1:6" ht="14.4" customHeight="1" x14ac:dyDescent="0.3">
      <c r="A9" s="160" t="s">
        <v>35</v>
      </c>
      <c r="B9" s="160" t="s">
        <v>494</v>
      </c>
    </row>
    <row r="10" spans="1:6" ht="14.4" customHeight="1" x14ac:dyDescent="0.3">
      <c r="A10" s="160" t="s">
        <v>36</v>
      </c>
      <c r="B10" s="160" t="s">
        <v>495</v>
      </c>
    </row>
    <row r="11" spans="1:6" ht="14.4" customHeight="1" x14ac:dyDescent="0.3">
      <c r="A11" s="160" t="s">
        <v>182</v>
      </c>
      <c r="B11" s="160" t="s">
        <v>496</v>
      </c>
    </row>
    <row r="12" spans="1:6" ht="14.4" customHeight="1" x14ac:dyDescent="0.3">
      <c r="A12" s="160" t="s">
        <v>183</v>
      </c>
      <c r="B12" s="160" t="s">
        <v>497</v>
      </c>
    </row>
    <row r="13" spans="1:6" ht="14.4" customHeight="1" x14ac:dyDescent="0.3">
      <c r="A13" s="160" t="s">
        <v>184</v>
      </c>
      <c r="B13" s="160" t="s">
        <v>498</v>
      </c>
    </row>
    <row r="14" spans="1:6" ht="14.4" customHeight="1" x14ac:dyDescent="0.3">
      <c r="A14" s="160" t="s">
        <v>55</v>
      </c>
      <c r="B14" s="160" t="s">
        <v>499</v>
      </c>
    </row>
    <row r="15" spans="1:6" ht="14.4" customHeight="1" x14ac:dyDescent="0.3">
      <c r="A15" s="160" t="s">
        <v>218</v>
      </c>
      <c r="B15" s="160" t="s">
        <v>500</v>
      </c>
    </row>
    <row r="16" spans="1:6" ht="14.4" customHeight="1" x14ac:dyDescent="0.3">
      <c r="A16" s="160" t="s">
        <v>69</v>
      </c>
      <c r="B16" s="160" t="s">
        <v>501</v>
      </c>
    </row>
    <row r="17" spans="1:2" ht="14.4" customHeight="1" x14ac:dyDescent="0.3">
      <c r="A17" s="160" t="s">
        <v>167</v>
      </c>
      <c r="B17" s="160" t="s">
        <v>502</v>
      </c>
    </row>
    <row r="18" spans="1:2" ht="14.4" customHeight="1" x14ac:dyDescent="0.3">
      <c r="A18" s="160" t="s">
        <v>116</v>
      </c>
      <c r="B18" s="160" t="s">
        <v>503</v>
      </c>
    </row>
    <row r="19" spans="1:2" ht="14.4" customHeight="1" x14ac:dyDescent="0.3">
      <c r="A19" s="160" t="s">
        <v>168</v>
      </c>
      <c r="B19" s="160" t="s">
        <v>504</v>
      </c>
    </row>
    <row r="20" spans="1:2" ht="14.4" customHeight="1" x14ac:dyDescent="0.3">
      <c r="A20" s="160" t="s">
        <v>169</v>
      </c>
      <c r="B20" s="160" t="s">
        <v>505</v>
      </c>
    </row>
    <row r="21" spans="1:2" ht="14.4" customHeight="1" x14ac:dyDescent="0.3">
      <c r="A21" s="160" t="s">
        <v>170</v>
      </c>
      <c r="B21" s="160" t="s">
        <v>106</v>
      </c>
    </row>
    <row r="22" spans="1:2" ht="14.4" customHeight="1" x14ac:dyDescent="0.3">
      <c r="A22" s="160" t="s">
        <v>166</v>
      </c>
      <c r="B22" s="160" t="s">
        <v>506</v>
      </c>
    </row>
    <row r="23" spans="1:2" ht="14.4" customHeight="1" x14ac:dyDescent="0.3">
      <c r="A23" s="160" t="s">
        <v>79</v>
      </c>
      <c r="B23" s="160"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2021P Draft - ReadMe</vt:lpstr>
      <vt:lpstr>Final Measure List</vt:lpstr>
      <vt:lpstr>Excluded Measures</vt:lpstr>
      <vt:lpstr>ACHIEV</vt:lpstr>
      <vt:lpstr>APPLIC</vt:lpstr>
      <vt:lpstr>FEAS</vt:lpstr>
      <vt:lpstr>BASE</vt:lpstr>
      <vt:lpstr>Curves</vt:lpstr>
      <vt:lpstr>Measure Code</vt:lpstr>
      <vt:lpstr>W vs E</vt:lpstr>
      <vt:lpstr>UpdateLog</vt:lpstr>
      <vt:lpstr>Achiev</vt:lpstr>
      <vt:lpstr>MeasureTypeCode</vt:lpstr>
      <vt:lpstr>FEAS!Print_Area</vt:lpstr>
      <vt:lpstr>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DVB</dc:creator>
  <cp:lastModifiedBy>Tina Jayaweera</cp:lastModifiedBy>
  <dcterms:created xsi:type="dcterms:W3CDTF">2018-05-29T22:25:25Z</dcterms:created>
  <dcterms:modified xsi:type="dcterms:W3CDTF">2020-03-30T15:27:06Z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{E57BE630-DA27-422C-8ED9-E7A89250713A}</vt:lpwstr>
  </property>
</Properties>
</file>