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Q:\Eighth Plan\Conservation Analysis\Residential\"/>
    </mc:Choice>
  </mc:AlternateContent>
  <xr:revisionPtr revIDLastSave="0" documentId="13_ncr:1_{025E1E83-8DC1-4F68-AED0-66DE036F6C65}" xr6:coauthVersionLast="45" xr6:coauthVersionMax="45" xr10:uidLastSave="{00000000-0000-0000-0000-000000000000}"/>
  <bookViews>
    <workbookView xWindow="29925" yWindow="1140" windowWidth="27225" windowHeight="15075" firstSheet="1" activeTab="7" xr2:uid="{00000000-000D-0000-FFFF-FFFF00000000}"/>
  </bookViews>
  <sheets>
    <sheet name="2021P Draft - ReadMe" sheetId="61" r:id="rId1"/>
    <sheet name="Overview" sheetId="24" r:id="rId2"/>
    <sheet name="MLIST" sheetId="56" r:id="rId3"/>
    <sheet name="FILES" sheetId="20" r:id="rId4"/>
    <sheet name="APPLIC" sheetId="59" r:id="rId5"/>
    <sheet name="FEAS" sheetId="1" r:id="rId6"/>
    <sheet name="BASE" sheetId="19" r:id="rId7"/>
    <sheet name="TURN" sheetId="4" r:id="rId8"/>
    <sheet name="ACHIEV" sheetId="55" r:id="rId9"/>
    <sheet name="SATS" sheetId="7" r:id="rId10"/>
    <sheet name="Vars" sheetId="9" r:id="rId11"/>
    <sheet name="taxonomy" sheetId="11" r:id="rId12"/>
    <sheet name="Tracking Status" sheetId="60" r:id="rId13"/>
    <sheet name="Update Log" sheetId="5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8" hidden="1">ACHIEV!$A$17:$AC$17</definedName>
    <definedName name="_xlnm._FilterDatabase" localSheetId="5" hidden="1">FEAS!$A$8:$F$71</definedName>
    <definedName name="_xlnm._FilterDatabase" localSheetId="3" hidden="1">FILES!$A$9:$L$111</definedName>
    <definedName name="_xlnm._FilterDatabase" localSheetId="2" hidden="1">MLIST!$A$8:$F$8</definedName>
    <definedName name="_xlnm._FilterDatabase" localSheetId="12" hidden="1">'Tracking Status'!$A$1:$Q$1</definedName>
    <definedName name="_xlnm._FilterDatabase" localSheetId="7" hidden="1">TURN!$A$8:$G$47</definedName>
    <definedName name="_Key1" localSheetId="0" hidden="1">#REF!</definedName>
    <definedName name="_Key1" localSheetId="11" hidden="1">[1]ProData!$O$27</definedName>
    <definedName name="_Key1" hidden="1">#REF!</definedName>
    <definedName name="_Order1" hidden="1">255</definedName>
    <definedName name="_Sort" localSheetId="0" hidden="1">#REF!</definedName>
    <definedName name="_Sort" localSheetId="11" hidden="1">[1]ProData!$A$28:$CD$34</definedName>
    <definedName name="_Sort" hidden="1">#REF!</definedName>
    <definedName name="anscount" hidden="1">1</definedName>
    <definedName name="CBWorkbookPriority" hidden="1">-738590518</definedName>
    <definedName name="ExistingSat">SATS!$B$10:$F$84</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limcount" hidden="1">1</definedName>
    <definedName name="NewSat">SATS!$B$87:$F$152</definedName>
    <definedName name="_xlnm.Print_Area" localSheetId="5">FEAS!$B$1:$F$70</definedName>
    <definedName name="_xlnm.Print_Area" localSheetId="9">SATS!$A$1:$F$193</definedName>
    <definedName name="ResAchiev">ACHIEV!$B$18:$X$98</definedName>
    <definedName name="ResApplic">APPLIC!$B$8:$F$127</definedName>
    <definedName name="ResBase">'[2]Res Forecast (Base Case)'!$C$14:$BD$61</definedName>
    <definedName name="sencount" hidden="1">1</definedName>
    <definedName name="sor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7" i="7" l="1"/>
  <c r="D57" i="7"/>
  <c r="F57" i="7"/>
  <c r="C57" i="7"/>
  <c r="B149" i="7" l="1"/>
  <c r="C149" i="7"/>
  <c r="D149" i="7"/>
  <c r="F149" i="7"/>
  <c r="B150" i="7"/>
  <c r="C150" i="7"/>
  <c r="D150" i="7"/>
  <c r="F150" i="7"/>
  <c r="B151" i="7"/>
  <c r="D151" i="7"/>
  <c r="E151" i="7"/>
  <c r="D148" i="7"/>
  <c r="B144" i="7"/>
  <c r="B145" i="7"/>
  <c r="B146" i="7"/>
  <c r="B147" i="7"/>
  <c r="B148" i="7"/>
  <c r="C139" i="7"/>
  <c r="D139" i="7"/>
  <c r="E139" i="7"/>
  <c r="F139" i="7"/>
  <c r="D146" i="7"/>
  <c r="D145" i="7"/>
  <c r="D144" i="7"/>
  <c r="F143" i="7"/>
  <c r="E143" i="7"/>
  <c r="D143" i="7"/>
  <c r="F142" i="7"/>
  <c r="E142" i="7"/>
  <c r="D142" i="7"/>
  <c r="C142" i="7"/>
  <c r="F137" i="7"/>
  <c r="E137" i="7"/>
  <c r="D137" i="7"/>
  <c r="C137" i="7"/>
  <c r="F134" i="7"/>
  <c r="E134" i="7"/>
  <c r="D134" i="7"/>
  <c r="C134" i="7"/>
  <c r="F133" i="7"/>
  <c r="C133" i="7"/>
  <c r="F132" i="7"/>
  <c r="E132" i="7"/>
  <c r="D132" i="7"/>
  <c r="C132" i="7"/>
  <c r="F131" i="7"/>
  <c r="E131" i="7"/>
  <c r="D131" i="7"/>
  <c r="C131" i="7"/>
  <c r="F124" i="7"/>
  <c r="C124" i="7"/>
  <c r="F123" i="7"/>
  <c r="E123" i="7"/>
  <c r="D123" i="7"/>
  <c r="C123" i="7"/>
  <c r="F122" i="7"/>
  <c r="E122" i="7"/>
  <c r="D122" i="7"/>
  <c r="C122" i="7"/>
  <c r="F121" i="7"/>
  <c r="E121" i="7"/>
  <c r="D121" i="7"/>
  <c r="C121" i="7"/>
  <c r="F120" i="7"/>
  <c r="E120" i="7"/>
  <c r="D120" i="7"/>
  <c r="C120" i="7"/>
  <c r="F119" i="7"/>
  <c r="E119" i="7"/>
  <c r="D119" i="7"/>
  <c r="C119" i="7"/>
  <c r="F118" i="7"/>
  <c r="E118" i="7"/>
  <c r="D118" i="7"/>
  <c r="C118" i="7"/>
  <c r="F117" i="7"/>
  <c r="E117" i="7"/>
  <c r="D117" i="7"/>
  <c r="C117" i="7"/>
  <c r="F116" i="7"/>
  <c r="E116" i="7"/>
  <c r="D116" i="7"/>
  <c r="C116" i="7"/>
  <c r="F115" i="7"/>
  <c r="E115" i="7"/>
  <c r="D115" i="7"/>
  <c r="C115" i="7"/>
  <c r="F114" i="7"/>
  <c r="E114" i="7"/>
  <c r="D114" i="7"/>
  <c r="C114" i="7"/>
  <c r="F113" i="7"/>
  <c r="E113" i="7"/>
  <c r="D113" i="7"/>
  <c r="C113" i="7"/>
  <c r="F112" i="7"/>
  <c r="E112" i="7"/>
  <c r="D112" i="7"/>
  <c r="C112" i="7"/>
  <c r="F111" i="7"/>
  <c r="E111" i="7"/>
  <c r="D111" i="7"/>
  <c r="C111" i="7"/>
  <c r="F110" i="7"/>
  <c r="E110" i="7"/>
  <c r="D110" i="7"/>
  <c r="C110" i="7"/>
  <c r="F109" i="7"/>
  <c r="E109" i="7"/>
  <c r="D109" i="7"/>
  <c r="C109" i="7"/>
  <c r="F108" i="7"/>
  <c r="E108" i="7"/>
  <c r="D108" i="7"/>
  <c r="C108" i="7"/>
  <c r="F107" i="7"/>
  <c r="E107" i="7"/>
  <c r="D107" i="7"/>
  <c r="C107" i="7"/>
  <c r="F106" i="7"/>
  <c r="E106" i="7"/>
  <c r="D106" i="7"/>
  <c r="C106" i="7"/>
  <c r="F105" i="7"/>
  <c r="E105" i="7"/>
  <c r="D105" i="7"/>
  <c r="C105" i="7"/>
  <c r="F104" i="7"/>
  <c r="E104" i="7"/>
  <c r="D104" i="7"/>
  <c r="C104" i="7"/>
  <c r="F103" i="7"/>
  <c r="E103" i="7"/>
  <c r="D103" i="7"/>
  <c r="C103" i="7"/>
  <c r="F102" i="7"/>
  <c r="E102" i="7"/>
  <c r="D102" i="7"/>
  <c r="C102" i="7"/>
  <c r="F101" i="7"/>
  <c r="E101" i="7"/>
  <c r="D101" i="7"/>
  <c r="C101" i="7"/>
  <c r="F100" i="7"/>
  <c r="E100" i="7"/>
  <c r="D100" i="7"/>
  <c r="C100" i="7"/>
  <c r="F99" i="7"/>
  <c r="E99" i="7"/>
  <c r="D99" i="7"/>
  <c r="C99" i="7"/>
  <c r="F98" i="7"/>
  <c r="E98" i="7"/>
  <c r="D98" i="7"/>
  <c r="C98" i="7"/>
  <c r="F97" i="7"/>
  <c r="E97" i="7"/>
  <c r="D97" i="7"/>
  <c r="C97" i="7"/>
  <c r="F96" i="7"/>
  <c r="E96" i="7"/>
  <c r="D96" i="7"/>
  <c r="C96" i="7"/>
  <c r="F95" i="7"/>
  <c r="E95" i="7"/>
  <c r="D95" i="7"/>
  <c r="C95" i="7"/>
  <c r="F94" i="7"/>
  <c r="E94" i="7"/>
  <c r="D94" i="7"/>
  <c r="C94" i="7"/>
  <c r="F93" i="7"/>
  <c r="E93" i="7"/>
  <c r="D93" i="7"/>
  <c r="C93" i="7"/>
  <c r="F92" i="7"/>
  <c r="E92" i="7"/>
  <c r="D92" i="7"/>
  <c r="C92" i="7"/>
  <c r="F91" i="7"/>
  <c r="E91" i="7"/>
  <c r="D91" i="7"/>
  <c r="C91" i="7"/>
  <c r="F90" i="7"/>
  <c r="E90" i="7"/>
  <c r="D90" i="7"/>
  <c r="C90" i="7"/>
  <c r="F89" i="7"/>
  <c r="E89" i="7"/>
  <c r="D89" i="7"/>
  <c r="C89" i="7"/>
  <c r="F88" i="7"/>
  <c r="E88" i="7"/>
  <c r="D88" i="7"/>
  <c r="C88" i="7"/>
  <c r="F58" i="7" l="1"/>
  <c r="F135" i="7" s="1"/>
  <c r="D58" i="7"/>
  <c r="D135" i="7" s="1"/>
  <c r="C58" i="7"/>
  <c r="C135" i="7" s="1"/>
  <c r="F71" i="19"/>
  <c r="C71" i="19"/>
  <c r="D58" i="1"/>
  <c r="E58" i="1" s="1"/>
  <c r="F63" i="7"/>
  <c r="F140" i="7" s="1"/>
  <c r="D63" i="7"/>
  <c r="D140" i="7" s="1"/>
  <c r="C63" i="7"/>
  <c r="C140" i="7" s="1"/>
  <c r="E68" i="7" l="1"/>
  <c r="E145" i="7" s="1"/>
  <c r="E69" i="7"/>
  <c r="E146" i="7" s="1"/>
  <c r="E67" i="7"/>
  <c r="E144" i="7" s="1"/>
  <c r="D70" i="7"/>
  <c r="D147" i="7" s="1"/>
  <c r="E70" i="7" l="1"/>
  <c r="E147" i="7" s="1"/>
  <c r="F61" i="7"/>
  <c r="F138" i="7" s="1"/>
  <c r="E61" i="7"/>
  <c r="E138" i="7" s="1"/>
  <c r="D61" i="7"/>
  <c r="D138" i="7" s="1"/>
  <c r="C61" i="7"/>
  <c r="C138" i="7" s="1"/>
  <c r="E56" i="7" l="1"/>
  <c r="E133" i="7" s="1"/>
  <c r="D81" i="56" l="1"/>
  <c r="D82" i="56"/>
  <c r="C64" i="59" l="1"/>
  <c r="D64" i="59"/>
  <c r="D65" i="56" l="1"/>
  <c r="D64" i="56"/>
  <c r="F63" i="19" l="1"/>
  <c r="C63" i="19"/>
  <c r="C63" i="59" s="1"/>
  <c r="C62" i="19"/>
  <c r="F62" i="19"/>
  <c r="D11" i="56" l="1"/>
  <c r="C66" i="7" l="1"/>
  <c r="C143" i="7" s="1"/>
  <c r="C71" i="7"/>
  <c r="C148" i="7" s="1"/>
  <c r="C70" i="7"/>
  <c r="C147" i="7" s="1"/>
  <c r="C69" i="7"/>
  <c r="C146" i="7" s="1"/>
  <c r="C68" i="7"/>
  <c r="C145" i="7" s="1"/>
  <c r="C67" i="7"/>
  <c r="C144" i="7" s="1"/>
  <c r="F71" i="7" l="1"/>
  <c r="F148" i="7" s="1"/>
  <c r="F70" i="7"/>
  <c r="F147" i="7" s="1"/>
  <c r="F69" i="7"/>
  <c r="F146" i="7" s="1"/>
  <c r="F68" i="7"/>
  <c r="F145" i="7" s="1"/>
  <c r="F67" i="7"/>
  <c r="F144" i="7" s="1"/>
  <c r="D64" i="7" l="1"/>
  <c r="D141" i="7" s="1"/>
  <c r="C64" i="7"/>
  <c r="C141" i="7" s="1"/>
  <c r="F64" i="7"/>
  <c r="F141" i="7" s="1"/>
  <c r="J39" i="4"/>
  <c r="S11" i="7"/>
  <c r="R11" i="7"/>
  <c r="Q11" i="7"/>
  <c r="P11" i="7"/>
  <c r="C32" i="59" l="1"/>
  <c r="C33" i="59"/>
  <c r="D32" i="59"/>
  <c r="E32" i="59"/>
  <c r="F32" i="59"/>
  <c r="D77" i="1" l="1"/>
  <c r="E77" i="1"/>
  <c r="F77" i="1"/>
  <c r="D78" i="1"/>
  <c r="E78" i="1"/>
  <c r="F78" i="1"/>
  <c r="C78" i="1"/>
  <c r="C77" i="1"/>
  <c r="D74" i="56" l="1"/>
  <c r="D73" i="56"/>
  <c r="F58" i="1" l="1"/>
  <c r="F57" i="1" s="1"/>
  <c r="C58" i="1"/>
  <c r="C57" i="1" s="1"/>
  <c r="F85" i="59" l="1"/>
  <c r="E71" i="7" l="1"/>
  <c r="E148" i="7" s="1"/>
  <c r="E72" i="7"/>
  <c r="E149" i="7" s="1"/>
  <c r="D47" i="7" l="1"/>
  <c r="D124" i="7" s="1"/>
  <c r="E47" i="7"/>
  <c r="E124" i="7" s="1"/>
  <c r="B81" i="19" l="1"/>
  <c r="D52" i="56"/>
  <c r="D51" i="56"/>
  <c r="G72" i="7"/>
  <c r="C74" i="7"/>
  <c r="C151" i="7" s="1"/>
  <c r="F74" i="7"/>
  <c r="F151" i="7" s="1"/>
  <c r="E73" i="7"/>
  <c r="G146" i="7" l="1"/>
  <c r="E150" i="7"/>
  <c r="G147" i="7"/>
  <c r="G74" i="7"/>
  <c r="G73" i="7"/>
  <c r="C80" i="59"/>
  <c r="F80" i="19"/>
  <c r="F79" i="19" s="1"/>
  <c r="F79" i="59" s="1"/>
  <c r="E80" i="19"/>
  <c r="E79" i="19" l="1"/>
  <c r="E79" i="59" s="1"/>
  <c r="E80" i="59"/>
  <c r="F80" i="59"/>
  <c r="C79" i="19"/>
  <c r="C79" i="59" s="1"/>
  <c r="D80" i="19"/>
  <c r="C51" i="59"/>
  <c r="D51" i="59"/>
  <c r="E51" i="59"/>
  <c r="F51" i="59"/>
  <c r="C52" i="59"/>
  <c r="D52" i="59"/>
  <c r="E52" i="59"/>
  <c r="F52" i="59"/>
  <c r="C53" i="59"/>
  <c r="D53" i="59"/>
  <c r="E53" i="59"/>
  <c r="F53" i="59"/>
  <c r="D80" i="59" l="1"/>
  <c r="D79" i="19"/>
  <c r="D79" i="59" s="1"/>
  <c r="C25" i="59"/>
  <c r="D25" i="59"/>
  <c r="E25" i="59"/>
  <c r="F25" i="59"/>
  <c r="C26" i="59"/>
  <c r="D26" i="59"/>
  <c r="E26" i="59"/>
  <c r="F26" i="59"/>
  <c r="W93" i="55" l="1"/>
  <c r="V93" i="55"/>
  <c r="U93" i="55"/>
  <c r="T93" i="55"/>
  <c r="S93" i="55"/>
  <c r="R93" i="55"/>
  <c r="Q93" i="55"/>
  <c r="P93" i="55"/>
  <c r="O93" i="55"/>
  <c r="N93" i="55"/>
  <c r="M93" i="55"/>
  <c r="L93" i="55"/>
  <c r="K93" i="55"/>
  <c r="J93" i="55"/>
  <c r="I93" i="55"/>
  <c r="H93" i="55"/>
  <c r="G93" i="55"/>
  <c r="F93" i="55"/>
  <c r="E93" i="55"/>
  <c r="D93" i="55"/>
  <c r="W92" i="55"/>
  <c r="V92" i="55"/>
  <c r="U92" i="55"/>
  <c r="T92" i="55"/>
  <c r="S92" i="55"/>
  <c r="R92" i="55"/>
  <c r="Q92" i="55"/>
  <c r="P92" i="55"/>
  <c r="O92" i="55"/>
  <c r="N92" i="55"/>
  <c r="M92" i="55"/>
  <c r="L92" i="55"/>
  <c r="K92" i="55"/>
  <c r="J92" i="55"/>
  <c r="I92" i="55"/>
  <c r="H92" i="55"/>
  <c r="G92" i="55"/>
  <c r="F92" i="55"/>
  <c r="E92" i="55"/>
  <c r="D92" i="55"/>
  <c r="A92" i="55"/>
  <c r="A93" i="55"/>
  <c r="B93" i="55"/>
  <c r="C83" i="59"/>
  <c r="D83" i="59"/>
  <c r="E83" i="59"/>
  <c r="F83" i="59"/>
  <c r="C84" i="59"/>
  <c r="D84" i="59"/>
  <c r="E84" i="59"/>
  <c r="F84" i="59"/>
  <c r="B83" i="20"/>
  <c r="D84" i="56"/>
  <c r="B84" i="19" s="1"/>
  <c r="D83" i="56"/>
  <c r="B83" i="19" s="1"/>
  <c r="W34" i="55"/>
  <c r="V34" i="55"/>
  <c r="U34" i="55"/>
  <c r="T34" i="55"/>
  <c r="S34" i="55"/>
  <c r="R34" i="55"/>
  <c r="Q34" i="55"/>
  <c r="P34" i="55"/>
  <c r="O34" i="55"/>
  <c r="N34" i="55"/>
  <c r="M34" i="55"/>
  <c r="L34" i="55"/>
  <c r="K34" i="55"/>
  <c r="J34" i="55"/>
  <c r="I34" i="55"/>
  <c r="H34" i="55"/>
  <c r="G34" i="55"/>
  <c r="F34" i="55"/>
  <c r="E34" i="55"/>
  <c r="D34" i="55"/>
  <c r="A34" i="55"/>
  <c r="D25" i="56"/>
  <c r="B25" i="59" s="1"/>
  <c r="D26" i="56"/>
  <c r="B26" i="20" l="1"/>
  <c r="B85" i="20"/>
  <c r="B84" i="20"/>
  <c r="B84" i="4"/>
  <c r="C84" i="4" s="1"/>
  <c r="B34" i="55"/>
  <c r="Z34" i="55" s="1"/>
  <c r="B25" i="1"/>
  <c r="B25" i="19"/>
  <c r="B84" i="1"/>
  <c r="E84" i="4"/>
  <c r="B83" i="1"/>
  <c r="D84" i="4"/>
  <c r="B25" i="4"/>
  <c r="B84" i="59"/>
  <c r="G84" i="4"/>
  <c r="B92" i="55"/>
  <c r="B83" i="4"/>
  <c r="B83" i="59"/>
  <c r="F84" i="4"/>
  <c r="D18" i="55"/>
  <c r="I18" i="55"/>
  <c r="F83" i="4" l="1"/>
  <c r="D83" i="4"/>
  <c r="C83" i="4"/>
  <c r="G83" i="4"/>
  <c r="E83" i="4"/>
  <c r="D72" i="19"/>
  <c r="D72" i="59" s="1"/>
  <c r="E72" i="19"/>
  <c r="E72" i="59" s="1"/>
  <c r="D72" i="56"/>
  <c r="B72" i="1" s="1"/>
  <c r="W81" i="55"/>
  <c r="V81" i="55"/>
  <c r="U81" i="55"/>
  <c r="T81" i="55"/>
  <c r="S81" i="55"/>
  <c r="R81" i="55"/>
  <c r="Q81" i="55"/>
  <c r="P81" i="55"/>
  <c r="O81" i="55"/>
  <c r="N81" i="55"/>
  <c r="M81" i="55"/>
  <c r="L81" i="55"/>
  <c r="K81" i="55"/>
  <c r="J81" i="55"/>
  <c r="I81" i="55"/>
  <c r="H81" i="55"/>
  <c r="G81" i="55"/>
  <c r="F81" i="55"/>
  <c r="E81" i="55"/>
  <c r="D81" i="55"/>
  <c r="A81" i="55"/>
  <c r="F72" i="19"/>
  <c r="F72" i="59" s="1"/>
  <c r="C71" i="59"/>
  <c r="A80" i="55"/>
  <c r="D71" i="56"/>
  <c r="B72" i="20" s="1"/>
  <c r="B72" i="19" l="1"/>
  <c r="B72" i="59"/>
  <c r="B73" i="20"/>
  <c r="B80" i="55"/>
  <c r="B81" i="55"/>
  <c r="Z81" i="55" s="1"/>
  <c r="C72" i="19"/>
  <c r="C72" i="59" s="1"/>
  <c r="J40" i="4"/>
  <c r="E63" i="7"/>
  <c r="E140" i="7" s="1"/>
  <c r="E64" i="7"/>
  <c r="E141" i="7" s="1"/>
  <c r="G64" i="7" l="1"/>
  <c r="E58" i="7"/>
  <c r="E135" i="7" s="1"/>
  <c r="G58" i="7" l="1"/>
  <c r="W61" i="55"/>
  <c r="V61" i="55"/>
  <c r="U61" i="55"/>
  <c r="T61" i="55"/>
  <c r="S61" i="55"/>
  <c r="R61" i="55"/>
  <c r="Q61" i="55"/>
  <c r="P61" i="55"/>
  <c r="O61" i="55"/>
  <c r="N61" i="55"/>
  <c r="M61" i="55"/>
  <c r="L61" i="55"/>
  <c r="K61" i="55"/>
  <c r="J61" i="55"/>
  <c r="I61" i="55"/>
  <c r="H61" i="55"/>
  <c r="G61" i="55"/>
  <c r="F61" i="55"/>
  <c r="E61" i="55"/>
  <c r="D61" i="55"/>
  <c r="B61" i="55"/>
  <c r="Z61" i="55" s="1"/>
  <c r="A61" i="55"/>
  <c r="W60" i="55"/>
  <c r="V60" i="55"/>
  <c r="U60" i="55"/>
  <c r="T60" i="55"/>
  <c r="S60" i="55"/>
  <c r="R60" i="55"/>
  <c r="Q60" i="55"/>
  <c r="P60" i="55"/>
  <c r="O60" i="55"/>
  <c r="N60" i="55"/>
  <c r="M60" i="55"/>
  <c r="L60" i="55"/>
  <c r="K60" i="55"/>
  <c r="J60" i="55"/>
  <c r="I60" i="55"/>
  <c r="H60" i="55"/>
  <c r="G60" i="55"/>
  <c r="F60" i="55"/>
  <c r="E60" i="55"/>
  <c r="D60" i="55"/>
  <c r="B60" i="55"/>
  <c r="Z60" i="55" s="1"/>
  <c r="A60" i="55"/>
  <c r="D56" i="7" l="1"/>
  <c r="D133" i="7" s="1"/>
  <c r="C22" i="19" l="1"/>
  <c r="F22" i="19"/>
  <c r="F21" i="19" l="1"/>
  <c r="F49" i="7" l="1"/>
  <c r="F126" i="7" s="1"/>
  <c r="F48" i="7"/>
  <c r="F125" i="7" s="1"/>
  <c r="C49" i="7"/>
  <c r="C126" i="7" s="1"/>
  <c r="C48" i="7"/>
  <c r="C125" i="7" s="1"/>
  <c r="E49" i="7" l="1"/>
  <c r="E126" i="7" s="1"/>
  <c r="E48" i="7"/>
  <c r="E125" i="7" s="1"/>
  <c r="D49" i="7" l="1"/>
  <c r="D126" i="7" s="1"/>
  <c r="D48" i="7"/>
  <c r="D125" i="7" s="1"/>
  <c r="D76" i="56"/>
  <c r="D75" i="56"/>
  <c r="C59" i="7" l="1"/>
  <c r="F59" i="7" l="1"/>
  <c r="F136" i="7" s="1"/>
  <c r="C136" i="7"/>
  <c r="D59" i="7"/>
  <c r="D136" i="7" s="1"/>
  <c r="E59" i="7"/>
  <c r="E136" i="7" s="1"/>
  <c r="D1" i="59" l="1"/>
  <c r="W94" i="55" l="1"/>
  <c r="V94" i="55"/>
  <c r="U94" i="55"/>
  <c r="T94" i="55"/>
  <c r="S94" i="55"/>
  <c r="R94" i="55"/>
  <c r="Q94" i="55"/>
  <c r="P94" i="55"/>
  <c r="O94" i="55"/>
  <c r="N94" i="55"/>
  <c r="M94" i="55"/>
  <c r="L94" i="55"/>
  <c r="K94" i="55"/>
  <c r="J94" i="55"/>
  <c r="I94" i="55"/>
  <c r="H94" i="55"/>
  <c r="G94" i="55"/>
  <c r="F94" i="55"/>
  <c r="E94" i="55"/>
  <c r="D94" i="55"/>
  <c r="W91" i="55"/>
  <c r="V91" i="55"/>
  <c r="U91" i="55"/>
  <c r="T91" i="55"/>
  <c r="S91" i="55"/>
  <c r="R91" i="55"/>
  <c r="Q91" i="55"/>
  <c r="P91" i="55"/>
  <c r="O91" i="55"/>
  <c r="N91" i="55"/>
  <c r="M91" i="55"/>
  <c r="L91" i="55"/>
  <c r="K91" i="55"/>
  <c r="J91" i="55"/>
  <c r="I91" i="55"/>
  <c r="H91" i="55"/>
  <c r="G91" i="55"/>
  <c r="F91" i="55"/>
  <c r="E91" i="55"/>
  <c r="D91" i="55"/>
  <c r="W90" i="55"/>
  <c r="V90" i="55"/>
  <c r="U90" i="55"/>
  <c r="T90" i="55"/>
  <c r="S90" i="55"/>
  <c r="R90" i="55"/>
  <c r="Q90" i="55"/>
  <c r="P90" i="55"/>
  <c r="O90" i="55"/>
  <c r="N90" i="55"/>
  <c r="M90" i="55"/>
  <c r="L90" i="55"/>
  <c r="K90" i="55"/>
  <c r="J90" i="55"/>
  <c r="I90" i="55"/>
  <c r="H90" i="55"/>
  <c r="G90" i="55"/>
  <c r="F90" i="55"/>
  <c r="E90" i="55"/>
  <c r="D90" i="55"/>
  <c r="D85" i="56"/>
  <c r="D80" i="56"/>
  <c r="D79" i="56"/>
  <c r="D78" i="56"/>
  <c r="D77" i="56"/>
  <c r="D70" i="56"/>
  <c r="D69" i="56"/>
  <c r="D68" i="56"/>
  <c r="D67" i="56"/>
  <c r="D66" i="56"/>
  <c r="D63" i="56"/>
  <c r="D62" i="56"/>
  <c r="D61" i="56"/>
  <c r="D60" i="56"/>
  <c r="D59" i="56"/>
  <c r="D58" i="56"/>
  <c r="D57" i="56"/>
  <c r="D43" i="55"/>
  <c r="E43" i="55"/>
  <c r="F43" i="55"/>
  <c r="G43" i="55"/>
  <c r="H43" i="55"/>
  <c r="I43" i="55"/>
  <c r="J43" i="55"/>
  <c r="K43" i="55"/>
  <c r="L43" i="55"/>
  <c r="M43" i="55"/>
  <c r="N43" i="55"/>
  <c r="O43" i="55"/>
  <c r="P43" i="55"/>
  <c r="Q43" i="55"/>
  <c r="R43" i="55"/>
  <c r="S43" i="55"/>
  <c r="T43" i="55"/>
  <c r="U43" i="55"/>
  <c r="V43" i="55"/>
  <c r="W43" i="55"/>
  <c r="D44" i="55"/>
  <c r="E44" i="55"/>
  <c r="F44" i="55"/>
  <c r="G44" i="55"/>
  <c r="H44" i="55"/>
  <c r="I44" i="55"/>
  <c r="J44" i="55"/>
  <c r="K44" i="55"/>
  <c r="L44" i="55"/>
  <c r="M44" i="55"/>
  <c r="N44" i="55"/>
  <c r="O44" i="55"/>
  <c r="P44" i="55"/>
  <c r="Q44" i="55"/>
  <c r="R44" i="55"/>
  <c r="S44" i="55"/>
  <c r="T44" i="55"/>
  <c r="U44" i="55"/>
  <c r="V44" i="55"/>
  <c r="W44" i="55"/>
  <c r="D45" i="55"/>
  <c r="E45" i="55"/>
  <c r="F45" i="55"/>
  <c r="G45" i="55"/>
  <c r="H45" i="55"/>
  <c r="I45" i="55"/>
  <c r="J45" i="55"/>
  <c r="K45" i="55"/>
  <c r="L45" i="55"/>
  <c r="M45" i="55"/>
  <c r="N45" i="55"/>
  <c r="O45" i="55"/>
  <c r="P45" i="55"/>
  <c r="Q45" i="55"/>
  <c r="R45" i="55"/>
  <c r="S45" i="55"/>
  <c r="T45" i="55"/>
  <c r="U45" i="55"/>
  <c r="V45" i="55"/>
  <c r="W45" i="55"/>
  <c r="A95" i="55" l="1"/>
  <c r="A96" i="55"/>
  <c r="A90" i="55"/>
  <c r="A91" i="55"/>
  <c r="A94" i="55"/>
  <c r="A43" i="55"/>
  <c r="A44" i="55"/>
  <c r="A45" i="55"/>
  <c r="A46" i="55"/>
  <c r="A47" i="55"/>
  <c r="A48" i="55"/>
  <c r="A49" i="55"/>
  <c r="A50" i="55"/>
  <c r="A51" i="55"/>
  <c r="A52" i="55"/>
  <c r="A53" i="55"/>
  <c r="A54" i="55"/>
  <c r="A55" i="55"/>
  <c r="A56" i="55"/>
  <c r="A57" i="55"/>
  <c r="A58" i="55"/>
  <c r="A59" i="55"/>
  <c r="A62" i="55"/>
  <c r="A63" i="55"/>
  <c r="A64" i="55"/>
  <c r="A65" i="55"/>
  <c r="A66" i="55"/>
  <c r="B66" i="55"/>
  <c r="A67" i="55"/>
  <c r="A68" i="55"/>
  <c r="A69" i="55"/>
  <c r="A70" i="55"/>
  <c r="A71" i="55"/>
  <c r="A72" i="55"/>
  <c r="A73" i="55"/>
  <c r="A74" i="55"/>
  <c r="A75" i="55"/>
  <c r="A76" i="55"/>
  <c r="A77" i="55"/>
  <c r="A78" i="55"/>
  <c r="A79" i="55"/>
  <c r="A82" i="55"/>
  <c r="A83" i="55"/>
  <c r="A84" i="55"/>
  <c r="A85" i="55"/>
  <c r="A86" i="55"/>
  <c r="A87" i="55"/>
  <c r="A88" i="55"/>
  <c r="A89" i="55"/>
  <c r="A19" i="55"/>
  <c r="A20" i="55"/>
  <c r="A21" i="55"/>
  <c r="A22" i="55"/>
  <c r="A23" i="55"/>
  <c r="A24" i="55"/>
  <c r="A25" i="55"/>
  <c r="A26" i="55"/>
  <c r="A27" i="55"/>
  <c r="A28" i="55"/>
  <c r="A29" i="55"/>
  <c r="A30" i="55"/>
  <c r="A31" i="55"/>
  <c r="A32" i="55"/>
  <c r="A33" i="55"/>
  <c r="A35" i="55"/>
  <c r="A36" i="55"/>
  <c r="A37" i="55"/>
  <c r="A38" i="55"/>
  <c r="A39" i="55"/>
  <c r="A40" i="55"/>
  <c r="A41" i="55"/>
  <c r="A42" i="55"/>
  <c r="B57" i="4"/>
  <c r="F57" i="4" s="1"/>
  <c r="B57" i="19"/>
  <c r="B68" i="19"/>
  <c r="B57" i="1"/>
  <c r="B81" i="1"/>
  <c r="B85" i="1"/>
  <c r="C44" i="59"/>
  <c r="D44" i="59"/>
  <c r="E44" i="59"/>
  <c r="F44" i="59"/>
  <c r="B57" i="59"/>
  <c r="B58" i="20"/>
  <c r="B90" i="55"/>
  <c r="Z90" i="55" s="1"/>
  <c r="D56" i="56"/>
  <c r="B65" i="55" s="1"/>
  <c r="D55" i="56"/>
  <c r="B55" i="59" s="1"/>
  <c r="B52" i="4"/>
  <c r="B51" i="4"/>
  <c r="D50" i="56"/>
  <c r="B50" i="19" s="1"/>
  <c r="D49" i="56"/>
  <c r="B49" i="19" s="1"/>
  <c r="B69" i="20"/>
  <c r="D28" i="56"/>
  <c r="B28" i="59" s="1"/>
  <c r="D27" i="56"/>
  <c r="B27" i="19" s="1"/>
  <c r="D19" i="56"/>
  <c r="B19" i="1" s="1"/>
  <c r="D20" i="56"/>
  <c r="B20" i="19" s="1"/>
  <c r="B61" i="59"/>
  <c r="B57" i="20" l="1"/>
  <c r="B56" i="4"/>
  <c r="G56" i="4" s="1"/>
  <c r="B56" i="59"/>
  <c r="D57" i="4"/>
  <c r="B52" i="20"/>
  <c r="B81" i="59"/>
  <c r="B50" i="59"/>
  <c r="B56" i="19"/>
  <c r="C57" i="4"/>
  <c r="B21" i="20"/>
  <c r="B51" i="1"/>
  <c r="G57" i="4"/>
  <c r="F51" i="4"/>
  <c r="D51" i="4"/>
  <c r="E51" i="4"/>
  <c r="G51" i="4"/>
  <c r="C51" i="4"/>
  <c r="B94" i="55"/>
  <c r="Z94" i="55" s="1"/>
  <c r="B85" i="59"/>
  <c r="B86" i="20"/>
  <c r="B85" i="4"/>
  <c r="B37" i="55"/>
  <c r="B28" i="4"/>
  <c r="B28" i="19"/>
  <c r="B28" i="1"/>
  <c r="B29" i="20"/>
  <c r="B81" i="4"/>
  <c r="B28" i="55"/>
  <c r="B19" i="4"/>
  <c r="B19" i="19"/>
  <c r="B20" i="20"/>
  <c r="B69" i="4"/>
  <c r="B69" i="19"/>
  <c r="B70" i="20"/>
  <c r="B91" i="55"/>
  <c r="Z91" i="55" s="1"/>
  <c r="B82" i="19"/>
  <c r="B82" i="4"/>
  <c r="B36" i="55"/>
  <c r="B27" i="4"/>
  <c r="B58" i="55"/>
  <c r="B49" i="1"/>
  <c r="B49" i="59"/>
  <c r="B49" i="4"/>
  <c r="B64" i="55"/>
  <c r="B55" i="4"/>
  <c r="B82" i="59"/>
  <c r="B27" i="59"/>
  <c r="B82" i="1"/>
  <c r="B27" i="1"/>
  <c r="F56" i="4"/>
  <c r="B61" i="4"/>
  <c r="B61" i="19"/>
  <c r="B70" i="55"/>
  <c r="B61" i="1"/>
  <c r="B62" i="20"/>
  <c r="B50" i="1"/>
  <c r="B59" i="55"/>
  <c r="B51" i="20"/>
  <c r="B69" i="59"/>
  <c r="B19" i="59"/>
  <c r="B69" i="1"/>
  <c r="B55" i="1"/>
  <c r="B85" i="19"/>
  <c r="B20" i="1"/>
  <c r="B20" i="4"/>
  <c r="B20" i="59"/>
  <c r="B77" i="55"/>
  <c r="B68" i="4"/>
  <c r="B51" i="19"/>
  <c r="B82" i="20"/>
  <c r="B56" i="20"/>
  <c r="B50" i="20"/>
  <c r="B28" i="20"/>
  <c r="B68" i="59"/>
  <c r="B51" i="59"/>
  <c r="B68" i="1"/>
  <c r="B55" i="19"/>
  <c r="B50" i="4"/>
  <c r="F50" i="4" s="1"/>
  <c r="B29" i="55"/>
  <c r="B78" i="55"/>
  <c r="B56" i="1"/>
  <c r="E57" i="4"/>
  <c r="D52" i="4"/>
  <c r="E52" i="4"/>
  <c r="C52" i="4"/>
  <c r="G52" i="4"/>
  <c r="F52" i="4"/>
  <c r="B52" i="59"/>
  <c r="B53" i="20"/>
  <c r="B52" i="1"/>
  <c r="B52" i="19"/>
  <c r="B2" i="24"/>
  <c r="E56" i="4" l="1"/>
  <c r="C56" i="4"/>
  <c r="D56" i="4"/>
  <c r="G28" i="4"/>
  <c r="F28" i="4"/>
  <c r="F61" i="4"/>
  <c r="E61" i="4"/>
  <c r="G61" i="4"/>
  <c r="D61" i="4"/>
  <c r="C61" i="4"/>
  <c r="F19" i="4"/>
  <c r="E19" i="4"/>
  <c r="G19" i="4"/>
  <c r="C19" i="4"/>
  <c r="D19" i="4"/>
  <c r="F69" i="4"/>
  <c r="E69" i="4"/>
  <c r="G69" i="4"/>
  <c r="C69" i="4"/>
  <c r="D69" i="4"/>
  <c r="C50" i="4"/>
  <c r="D50" i="4"/>
  <c r="G50" i="4"/>
  <c r="E50" i="4"/>
  <c r="F68" i="4"/>
  <c r="D68" i="4"/>
  <c r="E68" i="4"/>
  <c r="G68" i="4"/>
  <c r="C68" i="4"/>
  <c r="F49" i="4"/>
  <c r="G49" i="4"/>
  <c r="D49" i="4"/>
  <c r="E49" i="4"/>
  <c r="C49" i="4"/>
  <c r="F27" i="4"/>
  <c r="D27" i="4"/>
  <c r="E27" i="4"/>
  <c r="G27" i="4"/>
  <c r="C27" i="4"/>
  <c r="G81" i="4"/>
  <c r="D81" i="4"/>
  <c r="F81" i="4"/>
  <c r="C81" i="4"/>
  <c r="E81" i="4"/>
  <c r="E28" i="4"/>
  <c r="D28" i="4"/>
  <c r="C28" i="4"/>
  <c r="F55" i="4"/>
  <c r="C55" i="4"/>
  <c r="D55" i="4"/>
  <c r="E55" i="4"/>
  <c r="G55" i="4"/>
  <c r="G82" i="4"/>
  <c r="D82" i="4"/>
  <c r="E82" i="4"/>
  <c r="C82" i="4"/>
  <c r="F82" i="4"/>
  <c r="G85" i="4"/>
  <c r="D85" i="4"/>
  <c r="F85" i="4"/>
  <c r="C85" i="4"/>
  <c r="E85" i="4"/>
  <c r="F20" i="4"/>
  <c r="G20" i="4"/>
  <c r="C20" i="4"/>
  <c r="E20" i="4"/>
  <c r="D20" i="4"/>
  <c r="D8" i="11" l="1"/>
  <c r="D7" i="11"/>
  <c r="D6" i="11"/>
  <c r="D5" i="11"/>
  <c r="D4" i="11"/>
  <c r="A127" i="9"/>
  <c r="A126" i="9"/>
  <c r="A125" i="9"/>
  <c r="A124" i="9"/>
  <c r="A123" i="9"/>
  <c r="A122" i="9"/>
  <c r="A121" i="9"/>
  <c r="A118" i="9"/>
  <c r="A117"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67" i="9"/>
  <c r="A128" i="9" s="1"/>
  <c r="A59" i="9"/>
  <c r="A120" i="9" s="1"/>
  <c r="A58" i="9"/>
  <c r="A119" i="9" s="1"/>
  <c r="B57" i="9"/>
  <c r="B56" i="9"/>
  <c r="A55" i="9"/>
  <c r="A116" i="9" s="1"/>
  <c r="A54" i="9"/>
  <c r="B54" i="9" s="1"/>
  <c r="A53" i="9"/>
  <c r="A114" i="9" s="1"/>
  <c r="A52" i="9"/>
  <c r="B52" i="9" s="1"/>
  <c r="A51" i="9"/>
  <c r="A112" i="9" s="1"/>
  <c r="A113" i="9" l="1"/>
  <c r="A115" i="9"/>
  <c r="B51" i="9"/>
  <c r="B59" i="9"/>
  <c r="B58" i="9"/>
  <c r="B55" i="9"/>
  <c r="B53" i="9"/>
  <c r="A50" i="9"/>
  <c r="A111" i="9" s="1"/>
  <c r="A49" i="9"/>
  <c r="A110" i="9" s="1"/>
  <c r="B49" i="9" l="1"/>
  <c r="B50" i="9"/>
  <c r="F87" i="7" l="1"/>
  <c r="E87" i="7"/>
  <c r="D87" i="7"/>
  <c r="C87" i="7"/>
  <c r="B66" i="7"/>
  <c r="B143" i="7" s="1"/>
  <c r="B65" i="7"/>
  <c r="B64" i="7"/>
  <c r="B141" i="7" s="1"/>
  <c r="G63" i="7"/>
  <c r="B63" i="7"/>
  <c r="B140" i="7" s="1"/>
  <c r="B62" i="7"/>
  <c r="B139" i="7" s="1"/>
  <c r="B61" i="7"/>
  <c r="B138" i="7" s="1"/>
  <c r="B60" i="7"/>
  <c r="B137" i="7" s="1"/>
  <c r="B59" i="7"/>
  <c r="B136" i="7" s="1"/>
  <c r="B58" i="7"/>
  <c r="B135" i="7" s="1"/>
  <c r="B57" i="7"/>
  <c r="B134" i="7" s="1"/>
  <c r="B56" i="7"/>
  <c r="B133" i="7" s="1"/>
  <c r="G55" i="7"/>
  <c r="B55" i="7"/>
  <c r="B132" i="7" s="1"/>
  <c r="G54" i="7"/>
  <c r="B54" i="7"/>
  <c r="B131" i="7" s="1"/>
  <c r="G53" i="7"/>
  <c r="G52" i="7"/>
  <c r="G50" i="7"/>
  <c r="B50" i="7"/>
  <c r="G49" i="7"/>
  <c r="B49" i="7"/>
  <c r="B126" i="7" s="1"/>
  <c r="G48" i="7"/>
  <c r="B48" i="7"/>
  <c r="B125" i="7" s="1"/>
  <c r="G47" i="7"/>
  <c r="B47" i="7"/>
  <c r="B124" i="7" s="1"/>
  <c r="G46" i="7"/>
  <c r="B46" i="7"/>
  <c r="B123" i="7" s="1"/>
  <c r="G45" i="7"/>
  <c r="B45" i="7"/>
  <c r="B122" i="7" s="1"/>
  <c r="B44" i="7"/>
  <c r="B121" i="7" s="1"/>
  <c r="G43" i="7"/>
  <c r="B43" i="7"/>
  <c r="B120" i="7" s="1"/>
  <c r="B42" i="7"/>
  <c r="B119" i="7" s="1"/>
  <c r="G41" i="7"/>
  <c r="B41" i="7"/>
  <c r="B118" i="7" s="1"/>
  <c r="B40" i="7"/>
  <c r="B117" i="7" s="1"/>
  <c r="B39" i="7"/>
  <c r="B116" i="7" s="1"/>
  <c r="G38" i="7"/>
  <c r="B38" i="7"/>
  <c r="B115" i="7" s="1"/>
  <c r="G37" i="7"/>
  <c r="B37" i="7"/>
  <c r="B114" i="7" s="1"/>
  <c r="B36" i="7"/>
  <c r="B113" i="7" s="1"/>
  <c r="B35" i="7"/>
  <c r="B112" i="7" s="1"/>
  <c r="G34" i="7"/>
  <c r="B34" i="7"/>
  <c r="B111" i="7" s="1"/>
  <c r="B33" i="7"/>
  <c r="B110" i="7" s="1"/>
  <c r="G32" i="7"/>
  <c r="B32" i="7"/>
  <c r="B109" i="7" s="1"/>
  <c r="B31" i="7"/>
  <c r="B108" i="7" s="1"/>
  <c r="G30" i="7"/>
  <c r="B30" i="7"/>
  <c r="B107" i="7" s="1"/>
  <c r="G29" i="7"/>
  <c r="B29" i="7"/>
  <c r="B106" i="7" s="1"/>
  <c r="B28" i="7"/>
  <c r="B105" i="7" s="1"/>
  <c r="B27" i="7"/>
  <c r="B104" i="7" s="1"/>
  <c r="B26" i="7"/>
  <c r="B103" i="7" s="1"/>
  <c r="G25" i="7"/>
  <c r="B25" i="7"/>
  <c r="B102" i="7" s="1"/>
  <c r="G24" i="7"/>
  <c r="B24" i="7"/>
  <c r="B101" i="7" s="1"/>
  <c r="G23" i="7"/>
  <c r="B23" i="7"/>
  <c r="B100" i="7" s="1"/>
  <c r="B22" i="7"/>
  <c r="B99" i="7" s="1"/>
  <c r="G21" i="7"/>
  <c r="B21" i="7"/>
  <c r="B98" i="7" s="1"/>
  <c r="G20" i="7"/>
  <c r="B20" i="7"/>
  <c r="B97" i="7" s="1"/>
  <c r="G19" i="7"/>
  <c r="B19" i="7"/>
  <c r="B96" i="7" s="1"/>
  <c r="G18" i="7"/>
  <c r="B18" i="7"/>
  <c r="B95" i="7" s="1"/>
  <c r="B17" i="7"/>
  <c r="B94" i="7" s="1"/>
  <c r="B16" i="7"/>
  <c r="B93" i="7" s="1"/>
  <c r="B15" i="7"/>
  <c r="B92" i="7" s="1"/>
  <c r="B14" i="7"/>
  <c r="B91" i="7" s="1"/>
  <c r="B13" i="7"/>
  <c r="B90" i="7" s="1"/>
  <c r="B12" i="7"/>
  <c r="B89" i="7" s="1"/>
  <c r="B11" i="7"/>
  <c r="B88" i="7" s="1"/>
  <c r="W89" i="55"/>
  <c r="V89" i="55"/>
  <c r="U89" i="55"/>
  <c r="T89" i="55"/>
  <c r="S89" i="55"/>
  <c r="R89" i="55"/>
  <c r="Q89" i="55"/>
  <c r="P89" i="55"/>
  <c r="O89" i="55"/>
  <c r="N89" i="55"/>
  <c r="M89" i="55"/>
  <c r="L89" i="55"/>
  <c r="K89" i="55"/>
  <c r="J89" i="55"/>
  <c r="I89" i="55"/>
  <c r="H89" i="55"/>
  <c r="G89" i="55"/>
  <c r="F89" i="55"/>
  <c r="E89" i="55"/>
  <c r="D89" i="55"/>
  <c r="W88" i="55"/>
  <c r="V88" i="55"/>
  <c r="U88" i="55"/>
  <c r="T88" i="55"/>
  <c r="S88" i="55"/>
  <c r="R88" i="55"/>
  <c r="Q88" i="55"/>
  <c r="P88" i="55"/>
  <c r="O88" i="55"/>
  <c r="N88" i="55"/>
  <c r="M88" i="55"/>
  <c r="L88" i="55"/>
  <c r="K88" i="55"/>
  <c r="J88" i="55"/>
  <c r="I88" i="55"/>
  <c r="H88" i="55"/>
  <c r="G88" i="55"/>
  <c r="F88" i="55"/>
  <c r="E88" i="55"/>
  <c r="D88" i="55"/>
  <c r="W87" i="55"/>
  <c r="V87" i="55"/>
  <c r="U87" i="55"/>
  <c r="T87" i="55"/>
  <c r="S87" i="55"/>
  <c r="R87" i="55"/>
  <c r="Q87" i="55"/>
  <c r="P87" i="55"/>
  <c r="O87" i="55"/>
  <c r="N87" i="55"/>
  <c r="M87" i="55"/>
  <c r="L87" i="55"/>
  <c r="K87" i="55"/>
  <c r="J87" i="55"/>
  <c r="I87" i="55"/>
  <c r="H87" i="55"/>
  <c r="G87" i="55"/>
  <c r="F87" i="55"/>
  <c r="E87" i="55"/>
  <c r="D87" i="55"/>
  <c r="W86" i="55"/>
  <c r="V86" i="55"/>
  <c r="U86" i="55"/>
  <c r="T86" i="55"/>
  <c r="S86" i="55"/>
  <c r="R86" i="55"/>
  <c r="Q86" i="55"/>
  <c r="P86" i="55"/>
  <c r="O86" i="55"/>
  <c r="N86" i="55"/>
  <c r="M86" i="55"/>
  <c r="L86" i="55"/>
  <c r="K86" i="55"/>
  <c r="J86" i="55"/>
  <c r="I86" i="55"/>
  <c r="H86" i="55"/>
  <c r="G86" i="55"/>
  <c r="F86" i="55"/>
  <c r="E86" i="55"/>
  <c r="D86" i="55"/>
  <c r="W85" i="55"/>
  <c r="V85" i="55"/>
  <c r="U85" i="55"/>
  <c r="T85" i="55"/>
  <c r="S85" i="55"/>
  <c r="R85" i="55"/>
  <c r="Q85" i="55"/>
  <c r="P85" i="55"/>
  <c r="O85" i="55"/>
  <c r="N85" i="55"/>
  <c r="M85" i="55"/>
  <c r="L85" i="55"/>
  <c r="K85" i="55"/>
  <c r="J85" i="55"/>
  <c r="I85" i="55"/>
  <c r="H85" i="55"/>
  <c r="G85" i="55"/>
  <c r="F85" i="55"/>
  <c r="E85" i="55"/>
  <c r="D85" i="55"/>
  <c r="W84" i="55"/>
  <c r="V84" i="55"/>
  <c r="U84" i="55"/>
  <c r="T84" i="55"/>
  <c r="S84" i="55"/>
  <c r="R84" i="55"/>
  <c r="Q84" i="55"/>
  <c r="P84" i="55"/>
  <c r="O84" i="55"/>
  <c r="N84" i="55"/>
  <c r="M84" i="55"/>
  <c r="L84" i="55"/>
  <c r="K84" i="55"/>
  <c r="J84" i="55"/>
  <c r="I84" i="55"/>
  <c r="H84" i="55"/>
  <c r="G84" i="55"/>
  <c r="F84" i="55"/>
  <c r="E84" i="55"/>
  <c r="D84" i="55"/>
  <c r="W83" i="55"/>
  <c r="V83" i="55"/>
  <c r="U83" i="55"/>
  <c r="T83" i="55"/>
  <c r="S83" i="55"/>
  <c r="R83" i="55"/>
  <c r="Q83" i="55"/>
  <c r="P83" i="55"/>
  <c r="O83" i="55"/>
  <c r="N83" i="55"/>
  <c r="M83" i="55"/>
  <c r="L83" i="55"/>
  <c r="K83" i="55"/>
  <c r="J83" i="55"/>
  <c r="I83" i="55"/>
  <c r="H83" i="55"/>
  <c r="G83" i="55"/>
  <c r="F83" i="55"/>
  <c r="E83" i="55"/>
  <c r="D83" i="55"/>
  <c r="W82" i="55"/>
  <c r="V82" i="55"/>
  <c r="U82" i="55"/>
  <c r="T82" i="55"/>
  <c r="S82" i="55"/>
  <c r="R82" i="55"/>
  <c r="Q82" i="55"/>
  <c r="P82" i="55"/>
  <c r="O82" i="55"/>
  <c r="N82" i="55"/>
  <c r="M82" i="55"/>
  <c r="L82" i="55"/>
  <c r="K82" i="55"/>
  <c r="J82" i="55"/>
  <c r="I82" i="55"/>
  <c r="H82" i="55"/>
  <c r="G82" i="55"/>
  <c r="F82" i="55"/>
  <c r="E82" i="55"/>
  <c r="D82" i="55"/>
  <c r="W80" i="55"/>
  <c r="V80" i="55"/>
  <c r="U80" i="55"/>
  <c r="T80" i="55"/>
  <c r="S80" i="55"/>
  <c r="R80" i="55"/>
  <c r="Q80" i="55"/>
  <c r="P80" i="55"/>
  <c r="O80" i="55"/>
  <c r="N80" i="55"/>
  <c r="M80" i="55"/>
  <c r="L80" i="55"/>
  <c r="K80" i="55"/>
  <c r="J80" i="55"/>
  <c r="I80" i="55"/>
  <c r="H80" i="55"/>
  <c r="G80" i="55"/>
  <c r="F80" i="55"/>
  <c r="E80" i="55"/>
  <c r="D80" i="55"/>
  <c r="W79" i="55"/>
  <c r="V79" i="55"/>
  <c r="U79" i="55"/>
  <c r="T79" i="55"/>
  <c r="S79" i="55"/>
  <c r="R79" i="55"/>
  <c r="Q79" i="55"/>
  <c r="P79" i="55"/>
  <c r="O79" i="55"/>
  <c r="N79" i="55"/>
  <c r="M79" i="55"/>
  <c r="L79" i="55"/>
  <c r="K79" i="55"/>
  <c r="J79" i="55"/>
  <c r="I79" i="55"/>
  <c r="H79" i="55"/>
  <c r="G79" i="55"/>
  <c r="F79" i="55"/>
  <c r="E79" i="55"/>
  <c r="D79" i="55"/>
  <c r="W78" i="55"/>
  <c r="V78" i="55"/>
  <c r="U78" i="55"/>
  <c r="T78" i="55"/>
  <c r="S78" i="55"/>
  <c r="R78" i="55"/>
  <c r="Q78" i="55"/>
  <c r="P78" i="55"/>
  <c r="O78" i="55"/>
  <c r="N78" i="55"/>
  <c r="M78" i="55"/>
  <c r="L78" i="55"/>
  <c r="K78" i="55"/>
  <c r="J78" i="55"/>
  <c r="I78" i="55"/>
  <c r="H78" i="55"/>
  <c r="G78" i="55"/>
  <c r="F78" i="55"/>
  <c r="E78" i="55"/>
  <c r="D78" i="55"/>
  <c r="W77" i="55"/>
  <c r="V77" i="55"/>
  <c r="U77" i="55"/>
  <c r="T77" i="55"/>
  <c r="S77" i="55"/>
  <c r="R77" i="55"/>
  <c r="Q77" i="55"/>
  <c r="P77" i="55"/>
  <c r="O77" i="55"/>
  <c r="N77" i="55"/>
  <c r="M77" i="55"/>
  <c r="L77" i="55"/>
  <c r="K77" i="55"/>
  <c r="J77" i="55"/>
  <c r="I77" i="55"/>
  <c r="H77" i="55"/>
  <c r="G77" i="55"/>
  <c r="F77" i="55"/>
  <c r="E77" i="55"/>
  <c r="D77" i="55"/>
  <c r="Z77" i="55"/>
  <c r="W76" i="55"/>
  <c r="V76" i="55"/>
  <c r="U76" i="55"/>
  <c r="T76" i="55"/>
  <c r="S76" i="55"/>
  <c r="R76" i="55"/>
  <c r="Q76" i="55"/>
  <c r="P76" i="55"/>
  <c r="O76" i="55"/>
  <c r="N76" i="55"/>
  <c r="M76" i="55"/>
  <c r="L76" i="55"/>
  <c r="K76" i="55"/>
  <c r="J76" i="55"/>
  <c r="I76" i="55"/>
  <c r="H76" i="55"/>
  <c r="G76" i="55"/>
  <c r="F76" i="55"/>
  <c r="E76" i="55"/>
  <c r="D76" i="55"/>
  <c r="W75" i="55"/>
  <c r="V75" i="55"/>
  <c r="U75" i="55"/>
  <c r="T75" i="55"/>
  <c r="S75" i="55"/>
  <c r="R75" i="55"/>
  <c r="Q75" i="55"/>
  <c r="P75" i="55"/>
  <c r="O75" i="55"/>
  <c r="N75" i="55"/>
  <c r="M75" i="55"/>
  <c r="L75" i="55"/>
  <c r="K75" i="55"/>
  <c r="J75" i="55"/>
  <c r="I75" i="55"/>
  <c r="H75" i="55"/>
  <c r="G75" i="55"/>
  <c r="F75" i="55"/>
  <c r="E75" i="55"/>
  <c r="D75" i="55"/>
  <c r="W74" i="55"/>
  <c r="V74" i="55"/>
  <c r="U74" i="55"/>
  <c r="T74" i="55"/>
  <c r="S74" i="55"/>
  <c r="R74" i="55"/>
  <c r="Q74" i="55"/>
  <c r="P74" i="55"/>
  <c r="O74" i="55"/>
  <c r="N74" i="55"/>
  <c r="M74" i="55"/>
  <c r="L74" i="55"/>
  <c r="K74" i="55"/>
  <c r="J74" i="55"/>
  <c r="I74" i="55"/>
  <c r="H74" i="55"/>
  <c r="G74" i="55"/>
  <c r="F74" i="55"/>
  <c r="E74" i="55"/>
  <c r="D74" i="55"/>
  <c r="W73" i="55"/>
  <c r="V73" i="55"/>
  <c r="U73" i="55"/>
  <c r="T73" i="55"/>
  <c r="S73" i="55"/>
  <c r="R73" i="55"/>
  <c r="Q73" i="55"/>
  <c r="P73" i="55"/>
  <c r="O73" i="55"/>
  <c r="N73" i="55"/>
  <c r="M73" i="55"/>
  <c r="L73" i="55"/>
  <c r="K73" i="55"/>
  <c r="J73" i="55"/>
  <c r="I73" i="55"/>
  <c r="H73" i="55"/>
  <c r="G73" i="55"/>
  <c r="F73" i="55"/>
  <c r="E73" i="55"/>
  <c r="D73" i="55"/>
  <c r="W72" i="55"/>
  <c r="V72" i="55"/>
  <c r="U72" i="55"/>
  <c r="T72" i="55"/>
  <c r="S72" i="55"/>
  <c r="R72" i="55"/>
  <c r="Q72" i="55"/>
  <c r="P72" i="55"/>
  <c r="O72" i="55"/>
  <c r="N72" i="55"/>
  <c r="M72" i="55"/>
  <c r="L72" i="55"/>
  <c r="K72" i="55"/>
  <c r="J72" i="55"/>
  <c r="I72" i="55"/>
  <c r="H72" i="55"/>
  <c r="G72" i="55"/>
  <c r="F72" i="55"/>
  <c r="E72" i="55"/>
  <c r="D72" i="55"/>
  <c r="W71" i="55"/>
  <c r="V71" i="55"/>
  <c r="U71" i="55"/>
  <c r="T71" i="55"/>
  <c r="S71" i="55"/>
  <c r="R71" i="55"/>
  <c r="Q71" i="55"/>
  <c r="P71" i="55"/>
  <c r="O71" i="55"/>
  <c r="N71" i="55"/>
  <c r="M71" i="55"/>
  <c r="L71" i="55"/>
  <c r="K71" i="55"/>
  <c r="J71" i="55"/>
  <c r="I71" i="55"/>
  <c r="H71" i="55"/>
  <c r="G71" i="55"/>
  <c r="F71" i="55"/>
  <c r="E71" i="55"/>
  <c r="D71" i="55"/>
  <c r="W70" i="55"/>
  <c r="V70" i="55"/>
  <c r="U70" i="55"/>
  <c r="T70" i="55"/>
  <c r="S70" i="55"/>
  <c r="R70" i="55"/>
  <c r="Q70" i="55"/>
  <c r="P70" i="55"/>
  <c r="O70" i="55"/>
  <c r="N70" i="55"/>
  <c r="M70" i="55"/>
  <c r="L70" i="55"/>
  <c r="K70" i="55"/>
  <c r="J70" i="55"/>
  <c r="I70" i="55"/>
  <c r="H70" i="55"/>
  <c r="G70" i="55"/>
  <c r="F70" i="55"/>
  <c r="E70" i="55"/>
  <c r="D70" i="55"/>
  <c r="W69" i="55"/>
  <c r="V69" i="55"/>
  <c r="U69" i="55"/>
  <c r="T69" i="55"/>
  <c r="S69" i="55"/>
  <c r="R69" i="55"/>
  <c r="Q69" i="55"/>
  <c r="P69" i="55"/>
  <c r="O69" i="55"/>
  <c r="N69" i="55"/>
  <c r="M69" i="55"/>
  <c r="L69" i="55"/>
  <c r="K69" i="55"/>
  <c r="J69" i="55"/>
  <c r="I69" i="55"/>
  <c r="H69" i="55"/>
  <c r="G69" i="55"/>
  <c r="F69" i="55"/>
  <c r="E69" i="55"/>
  <c r="D69" i="55"/>
  <c r="W68" i="55"/>
  <c r="V68" i="55"/>
  <c r="U68" i="55"/>
  <c r="T68" i="55"/>
  <c r="S68" i="55"/>
  <c r="R68" i="55"/>
  <c r="Q68" i="55"/>
  <c r="P68" i="55"/>
  <c r="O68" i="55"/>
  <c r="N68" i="55"/>
  <c r="M68" i="55"/>
  <c r="L68" i="55"/>
  <c r="K68" i="55"/>
  <c r="J68" i="55"/>
  <c r="I68" i="55"/>
  <c r="H68" i="55"/>
  <c r="G68" i="55"/>
  <c r="F68" i="55"/>
  <c r="E68" i="55"/>
  <c r="D68" i="55"/>
  <c r="W67" i="55"/>
  <c r="V67" i="55"/>
  <c r="U67" i="55"/>
  <c r="T67" i="55"/>
  <c r="S67" i="55"/>
  <c r="R67" i="55"/>
  <c r="Q67" i="55"/>
  <c r="P67" i="55"/>
  <c r="O67" i="55"/>
  <c r="N67" i="55"/>
  <c r="M67" i="55"/>
  <c r="L67" i="55"/>
  <c r="K67" i="55"/>
  <c r="J67" i="55"/>
  <c r="I67" i="55"/>
  <c r="H67" i="55"/>
  <c r="G67" i="55"/>
  <c r="F67" i="55"/>
  <c r="E67" i="55"/>
  <c r="D67" i="55"/>
  <c r="W66" i="55"/>
  <c r="V66" i="55"/>
  <c r="U66" i="55"/>
  <c r="T66" i="55"/>
  <c r="S66" i="55"/>
  <c r="R66" i="55"/>
  <c r="Q66" i="55"/>
  <c r="P66" i="55"/>
  <c r="O66" i="55"/>
  <c r="N66" i="55"/>
  <c r="M66" i="55"/>
  <c r="L66" i="55"/>
  <c r="K66" i="55"/>
  <c r="J66" i="55"/>
  <c r="I66" i="55"/>
  <c r="H66" i="55"/>
  <c r="G66" i="55"/>
  <c r="F66" i="55"/>
  <c r="E66" i="55"/>
  <c r="D66" i="55"/>
  <c r="W65" i="55"/>
  <c r="V65" i="55"/>
  <c r="U65" i="55"/>
  <c r="T65" i="55"/>
  <c r="S65" i="55"/>
  <c r="R65" i="55"/>
  <c r="Q65" i="55"/>
  <c r="P65" i="55"/>
  <c r="O65" i="55"/>
  <c r="N65" i="55"/>
  <c r="M65" i="55"/>
  <c r="L65" i="55"/>
  <c r="K65" i="55"/>
  <c r="J65" i="55"/>
  <c r="I65" i="55"/>
  <c r="H65" i="55"/>
  <c r="G65" i="55"/>
  <c r="F65" i="55"/>
  <c r="E65" i="55"/>
  <c r="D65" i="55"/>
  <c r="W64" i="55"/>
  <c r="V64" i="55"/>
  <c r="U64" i="55"/>
  <c r="T64" i="55"/>
  <c r="S64" i="55"/>
  <c r="R64" i="55"/>
  <c r="Q64" i="55"/>
  <c r="P64" i="55"/>
  <c r="O64" i="55"/>
  <c r="N64" i="55"/>
  <c r="M64" i="55"/>
  <c r="L64" i="55"/>
  <c r="K64" i="55"/>
  <c r="J64" i="55"/>
  <c r="I64" i="55"/>
  <c r="H64" i="55"/>
  <c r="G64" i="55"/>
  <c r="F64" i="55"/>
  <c r="E64" i="55"/>
  <c r="D64" i="55"/>
  <c r="W63" i="55"/>
  <c r="V63" i="55"/>
  <c r="U63" i="55"/>
  <c r="T63" i="55"/>
  <c r="S63" i="55"/>
  <c r="R63" i="55"/>
  <c r="Q63" i="55"/>
  <c r="P63" i="55"/>
  <c r="O63" i="55"/>
  <c r="N63" i="55"/>
  <c r="M63" i="55"/>
  <c r="L63" i="55"/>
  <c r="K63" i="55"/>
  <c r="J63" i="55"/>
  <c r="I63" i="55"/>
  <c r="H63" i="55"/>
  <c r="G63" i="55"/>
  <c r="F63" i="55"/>
  <c r="E63" i="55"/>
  <c r="D63" i="55"/>
  <c r="W62" i="55"/>
  <c r="V62" i="55"/>
  <c r="U62" i="55"/>
  <c r="T62" i="55"/>
  <c r="S62" i="55"/>
  <c r="R62" i="55"/>
  <c r="Q62" i="55"/>
  <c r="P62" i="55"/>
  <c r="O62" i="55"/>
  <c r="N62" i="55"/>
  <c r="M62" i="55"/>
  <c r="L62" i="55"/>
  <c r="K62" i="55"/>
  <c r="J62" i="55"/>
  <c r="I62" i="55"/>
  <c r="H62" i="55"/>
  <c r="G62" i="55"/>
  <c r="F62" i="55"/>
  <c r="E62" i="55"/>
  <c r="D62" i="55"/>
  <c r="W59" i="55"/>
  <c r="V59" i="55"/>
  <c r="U59" i="55"/>
  <c r="T59" i="55"/>
  <c r="S59" i="55"/>
  <c r="R59" i="55"/>
  <c r="Q59" i="55"/>
  <c r="P59" i="55"/>
  <c r="O59" i="55"/>
  <c r="N59" i="55"/>
  <c r="M59" i="55"/>
  <c r="L59" i="55"/>
  <c r="K59" i="55"/>
  <c r="J59" i="55"/>
  <c r="I59" i="55"/>
  <c r="H59" i="55"/>
  <c r="G59" i="55"/>
  <c r="F59" i="55"/>
  <c r="E59" i="55"/>
  <c r="D59" i="55"/>
  <c r="W58" i="55"/>
  <c r="V58" i="55"/>
  <c r="U58" i="55"/>
  <c r="T58" i="55"/>
  <c r="S58" i="55"/>
  <c r="R58" i="55"/>
  <c r="Q58" i="55"/>
  <c r="P58" i="55"/>
  <c r="O58" i="55"/>
  <c r="N58" i="55"/>
  <c r="M58" i="55"/>
  <c r="L58" i="55"/>
  <c r="K58" i="55"/>
  <c r="J58" i="55"/>
  <c r="I58" i="55"/>
  <c r="H58" i="55"/>
  <c r="G58" i="55"/>
  <c r="F58" i="55"/>
  <c r="E58" i="55"/>
  <c r="D58" i="55"/>
  <c r="W57" i="55"/>
  <c r="V57" i="55"/>
  <c r="U57" i="55"/>
  <c r="T57" i="55"/>
  <c r="S57" i="55"/>
  <c r="R57" i="55"/>
  <c r="Q57" i="55"/>
  <c r="P57" i="55"/>
  <c r="O57" i="55"/>
  <c r="N57" i="55"/>
  <c r="M57" i="55"/>
  <c r="L57" i="55"/>
  <c r="K57" i="55"/>
  <c r="J57" i="55"/>
  <c r="I57" i="55"/>
  <c r="H57" i="55"/>
  <c r="G57" i="55"/>
  <c r="F57" i="55"/>
  <c r="E57" i="55"/>
  <c r="D57" i="55"/>
  <c r="W56" i="55"/>
  <c r="V56" i="55"/>
  <c r="U56" i="55"/>
  <c r="T56" i="55"/>
  <c r="S56" i="55"/>
  <c r="R56" i="55"/>
  <c r="Q56" i="55"/>
  <c r="P56" i="55"/>
  <c r="O56" i="55"/>
  <c r="N56" i="55"/>
  <c r="M56" i="55"/>
  <c r="L56" i="55"/>
  <c r="K56" i="55"/>
  <c r="J56" i="55"/>
  <c r="I56" i="55"/>
  <c r="H56" i="55"/>
  <c r="G56" i="55"/>
  <c r="F56" i="55"/>
  <c r="E56" i="55"/>
  <c r="D56" i="55"/>
  <c r="W55" i="55"/>
  <c r="V55" i="55"/>
  <c r="U55" i="55"/>
  <c r="T55" i="55"/>
  <c r="S55" i="55"/>
  <c r="R55" i="55"/>
  <c r="Q55" i="55"/>
  <c r="P55" i="55"/>
  <c r="O55" i="55"/>
  <c r="N55" i="55"/>
  <c r="M55" i="55"/>
  <c r="L55" i="55"/>
  <c r="K55" i="55"/>
  <c r="J55" i="55"/>
  <c r="I55" i="55"/>
  <c r="H55" i="55"/>
  <c r="G55" i="55"/>
  <c r="F55" i="55"/>
  <c r="E55" i="55"/>
  <c r="D55" i="55"/>
  <c r="W54" i="55"/>
  <c r="V54" i="55"/>
  <c r="U54" i="55"/>
  <c r="T54" i="55"/>
  <c r="S54" i="55"/>
  <c r="R54" i="55"/>
  <c r="Q54" i="55"/>
  <c r="P54" i="55"/>
  <c r="O54" i="55"/>
  <c r="N54" i="55"/>
  <c r="M54" i="55"/>
  <c r="L54" i="55"/>
  <c r="K54" i="55"/>
  <c r="J54" i="55"/>
  <c r="I54" i="55"/>
  <c r="H54" i="55"/>
  <c r="G54" i="55"/>
  <c r="F54" i="55"/>
  <c r="E54" i="55"/>
  <c r="D54" i="55"/>
  <c r="W53" i="55"/>
  <c r="V53" i="55"/>
  <c r="U53" i="55"/>
  <c r="T53" i="55"/>
  <c r="S53" i="55"/>
  <c r="R53" i="55"/>
  <c r="Q53" i="55"/>
  <c r="P53" i="55"/>
  <c r="O53" i="55"/>
  <c r="N53" i="55"/>
  <c r="M53" i="55"/>
  <c r="L53" i="55"/>
  <c r="K53" i="55"/>
  <c r="J53" i="55"/>
  <c r="I53" i="55"/>
  <c r="H53" i="55"/>
  <c r="G53" i="55"/>
  <c r="F53" i="55"/>
  <c r="E53" i="55"/>
  <c r="D53" i="55"/>
  <c r="W52" i="55"/>
  <c r="V52" i="55"/>
  <c r="U52" i="55"/>
  <c r="T52" i="55"/>
  <c r="S52" i="55"/>
  <c r="R52" i="55"/>
  <c r="Q52" i="55"/>
  <c r="P52" i="55"/>
  <c r="O52" i="55"/>
  <c r="N52" i="55"/>
  <c r="M52" i="55"/>
  <c r="L52" i="55"/>
  <c r="K52" i="55"/>
  <c r="J52" i="55"/>
  <c r="I52" i="55"/>
  <c r="H52" i="55"/>
  <c r="G52" i="55"/>
  <c r="F52" i="55"/>
  <c r="E52" i="55"/>
  <c r="D52" i="55"/>
  <c r="W51" i="55"/>
  <c r="V51" i="55"/>
  <c r="U51" i="55"/>
  <c r="T51" i="55"/>
  <c r="S51" i="55"/>
  <c r="R51" i="55"/>
  <c r="Q51" i="55"/>
  <c r="P51" i="55"/>
  <c r="O51" i="55"/>
  <c r="N51" i="55"/>
  <c r="M51" i="55"/>
  <c r="L51" i="55"/>
  <c r="K51" i="55"/>
  <c r="J51" i="55"/>
  <c r="I51" i="55"/>
  <c r="H51" i="55"/>
  <c r="G51" i="55"/>
  <c r="F51" i="55"/>
  <c r="E51" i="55"/>
  <c r="D51" i="55"/>
  <c r="W50" i="55"/>
  <c r="V50" i="55"/>
  <c r="U50" i="55"/>
  <c r="T50" i="55"/>
  <c r="S50" i="55"/>
  <c r="R50" i="55"/>
  <c r="Q50" i="55"/>
  <c r="P50" i="55"/>
  <c r="O50" i="55"/>
  <c r="N50" i="55"/>
  <c r="M50" i="55"/>
  <c r="L50" i="55"/>
  <c r="K50" i="55"/>
  <c r="J50" i="55"/>
  <c r="I50" i="55"/>
  <c r="H50" i="55"/>
  <c r="G50" i="55"/>
  <c r="F50" i="55"/>
  <c r="E50" i="55"/>
  <c r="D50" i="55"/>
  <c r="W49" i="55"/>
  <c r="V49" i="55"/>
  <c r="U49" i="55"/>
  <c r="T49" i="55"/>
  <c r="S49" i="55"/>
  <c r="R49" i="55"/>
  <c r="Q49" i="55"/>
  <c r="P49" i="55"/>
  <c r="O49" i="55"/>
  <c r="N49" i="55"/>
  <c r="M49" i="55"/>
  <c r="L49" i="55"/>
  <c r="K49" i="55"/>
  <c r="J49" i="55"/>
  <c r="I49" i="55"/>
  <c r="H49" i="55"/>
  <c r="G49" i="55"/>
  <c r="F49" i="55"/>
  <c r="E49" i="55"/>
  <c r="D49" i="55"/>
  <c r="W48" i="55"/>
  <c r="V48" i="55"/>
  <c r="U48" i="55"/>
  <c r="T48" i="55"/>
  <c r="S48" i="55"/>
  <c r="R48" i="55"/>
  <c r="Q48" i="55"/>
  <c r="P48" i="55"/>
  <c r="O48" i="55"/>
  <c r="N48" i="55"/>
  <c r="M48" i="55"/>
  <c r="L48" i="55"/>
  <c r="K48" i="55"/>
  <c r="J48" i="55"/>
  <c r="I48" i="55"/>
  <c r="H48" i="55"/>
  <c r="G48" i="55"/>
  <c r="F48" i="55"/>
  <c r="E48" i="55"/>
  <c r="D48" i="55"/>
  <c r="W47" i="55"/>
  <c r="V47" i="55"/>
  <c r="U47" i="55"/>
  <c r="T47" i="55"/>
  <c r="S47" i="55"/>
  <c r="R47" i="55"/>
  <c r="Q47" i="55"/>
  <c r="P47" i="55"/>
  <c r="O47" i="55"/>
  <c r="N47" i="55"/>
  <c r="M47" i="55"/>
  <c r="L47" i="55"/>
  <c r="K47" i="55"/>
  <c r="J47" i="55"/>
  <c r="I47" i="55"/>
  <c r="H47" i="55"/>
  <c r="G47" i="55"/>
  <c r="F47" i="55"/>
  <c r="E47" i="55"/>
  <c r="D47" i="55"/>
  <c r="W46" i="55"/>
  <c r="V46" i="55"/>
  <c r="U46" i="55"/>
  <c r="T46" i="55"/>
  <c r="S46" i="55"/>
  <c r="R46" i="55"/>
  <c r="Q46" i="55"/>
  <c r="P46" i="55"/>
  <c r="O46" i="55"/>
  <c r="N46" i="55"/>
  <c r="M46" i="55"/>
  <c r="L46" i="55"/>
  <c r="K46" i="55"/>
  <c r="J46" i="55"/>
  <c r="I46" i="55"/>
  <c r="H46" i="55"/>
  <c r="G46" i="55"/>
  <c r="F46" i="55"/>
  <c r="E46" i="55"/>
  <c r="D46" i="55"/>
  <c r="W42" i="55"/>
  <c r="V42" i="55"/>
  <c r="U42" i="55"/>
  <c r="T42" i="55"/>
  <c r="S42" i="55"/>
  <c r="R42" i="55"/>
  <c r="Q42" i="55"/>
  <c r="P42" i="55"/>
  <c r="O42" i="55"/>
  <c r="N42" i="55"/>
  <c r="M42" i="55"/>
  <c r="L42" i="55"/>
  <c r="K42" i="55"/>
  <c r="J42" i="55"/>
  <c r="I42" i="55"/>
  <c r="H42" i="55"/>
  <c r="G42" i="55"/>
  <c r="F42" i="55"/>
  <c r="E42" i="55"/>
  <c r="D42" i="55"/>
  <c r="W41" i="55"/>
  <c r="V41" i="55"/>
  <c r="U41" i="55"/>
  <c r="T41" i="55"/>
  <c r="S41" i="55"/>
  <c r="R41" i="55"/>
  <c r="Q41" i="55"/>
  <c r="P41" i="55"/>
  <c r="O41" i="55"/>
  <c r="N41" i="55"/>
  <c r="M41" i="55"/>
  <c r="L41" i="55"/>
  <c r="K41" i="55"/>
  <c r="J41" i="55"/>
  <c r="I41" i="55"/>
  <c r="H41" i="55"/>
  <c r="G41" i="55"/>
  <c r="F41" i="55"/>
  <c r="E41" i="55"/>
  <c r="D41" i="55"/>
  <c r="W40" i="55"/>
  <c r="V40" i="55"/>
  <c r="U40" i="55"/>
  <c r="T40" i="55"/>
  <c r="S40" i="55"/>
  <c r="R40" i="55"/>
  <c r="Q40" i="55"/>
  <c r="P40" i="55"/>
  <c r="O40" i="55"/>
  <c r="N40" i="55"/>
  <c r="M40" i="55"/>
  <c r="L40" i="55"/>
  <c r="K40" i="55"/>
  <c r="J40" i="55"/>
  <c r="I40" i="55"/>
  <c r="H40" i="55"/>
  <c r="G40" i="55"/>
  <c r="F40" i="55"/>
  <c r="E40" i="55"/>
  <c r="D40" i="55"/>
  <c r="W39" i="55"/>
  <c r="V39" i="55"/>
  <c r="U39" i="55"/>
  <c r="T39" i="55"/>
  <c r="S39" i="55"/>
  <c r="R39" i="55"/>
  <c r="Q39" i="55"/>
  <c r="P39" i="55"/>
  <c r="O39" i="55"/>
  <c r="N39" i="55"/>
  <c r="M39" i="55"/>
  <c r="L39" i="55"/>
  <c r="K39" i="55"/>
  <c r="J39" i="55"/>
  <c r="I39" i="55"/>
  <c r="H39" i="55"/>
  <c r="G39" i="55"/>
  <c r="F39" i="55"/>
  <c r="E39" i="55"/>
  <c r="D39" i="55"/>
  <c r="W38" i="55"/>
  <c r="V38" i="55"/>
  <c r="U38" i="55"/>
  <c r="T38" i="55"/>
  <c r="S38" i="55"/>
  <c r="R38" i="55"/>
  <c r="Q38" i="55"/>
  <c r="P38" i="55"/>
  <c r="O38" i="55"/>
  <c r="N38" i="55"/>
  <c r="M38" i="55"/>
  <c r="L38" i="55"/>
  <c r="K38" i="55"/>
  <c r="J38" i="55"/>
  <c r="I38" i="55"/>
  <c r="H38" i="55"/>
  <c r="G38" i="55"/>
  <c r="F38" i="55"/>
  <c r="E38" i="55"/>
  <c r="D38" i="55"/>
  <c r="W37" i="55"/>
  <c r="V37" i="55"/>
  <c r="U37" i="55"/>
  <c r="T37" i="55"/>
  <c r="S37" i="55"/>
  <c r="R37" i="55"/>
  <c r="Q37" i="55"/>
  <c r="P37" i="55"/>
  <c r="O37" i="55"/>
  <c r="N37" i="55"/>
  <c r="M37" i="55"/>
  <c r="L37" i="55"/>
  <c r="K37" i="55"/>
  <c r="J37" i="55"/>
  <c r="I37" i="55"/>
  <c r="H37" i="55"/>
  <c r="G37" i="55"/>
  <c r="F37" i="55"/>
  <c r="E37" i="55"/>
  <c r="D37" i="55"/>
  <c r="W36" i="55"/>
  <c r="V36" i="55"/>
  <c r="U36" i="55"/>
  <c r="T36" i="55"/>
  <c r="S36" i="55"/>
  <c r="R36" i="55"/>
  <c r="Q36" i="55"/>
  <c r="P36" i="55"/>
  <c r="O36" i="55"/>
  <c r="N36" i="55"/>
  <c r="M36" i="55"/>
  <c r="L36" i="55"/>
  <c r="K36" i="55"/>
  <c r="J36" i="55"/>
  <c r="I36" i="55"/>
  <c r="H36" i="55"/>
  <c r="G36" i="55"/>
  <c r="F36" i="55"/>
  <c r="E36" i="55"/>
  <c r="D36" i="55"/>
  <c r="W35" i="55"/>
  <c r="V35" i="55"/>
  <c r="U35" i="55"/>
  <c r="T35" i="55"/>
  <c r="S35" i="55"/>
  <c r="R35" i="55"/>
  <c r="Q35" i="55"/>
  <c r="P35" i="55"/>
  <c r="O35" i="55"/>
  <c r="N35" i="55"/>
  <c r="M35" i="55"/>
  <c r="L35" i="55"/>
  <c r="K35" i="55"/>
  <c r="J35" i="55"/>
  <c r="I35" i="55"/>
  <c r="H35" i="55"/>
  <c r="G35" i="55"/>
  <c r="F35" i="55"/>
  <c r="E35" i="55"/>
  <c r="D35" i="55"/>
  <c r="W33" i="55"/>
  <c r="V33" i="55"/>
  <c r="U33" i="55"/>
  <c r="T33" i="55"/>
  <c r="S33" i="55"/>
  <c r="R33" i="55"/>
  <c r="Q33" i="55"/>
  <c r="P33" i="55"/>
  <c r="O33" i="55"/>
  <c r="N33" i="55"/>
  <c r="M33" i="55"/>
  <c r="L33" i="55"/>
  <c r="K33" i="55"/>
  <c r="J33" i="55"/>
  <c r="I33" i="55"/>
  <c r="H33" i="55"/>
  <c r="G33" i="55"/>
  <c r="F33" i="55"/>
  <c r="E33" i="55"/>
  <c r="D33" i="55"/>
  <c r="W32" i="55"/>
  <c r="V32" i="55"/>
  <c r="U32" i="55"/>
  <c r="T32" i="55"/>
  <c r="S32" i="55"/>
  <c r="R32" i="55"/>
  <c r="Q32" i="55"/>
  <c r="P32" i="55"/>
  <c r="O32" i="55"/>
  <c r="N32" i="55"/>
  <c r="M32" i="55"/>
  <c r="L32" i="55"/>
  <c r="K32" i="55"/>
  <c r="J32" i="55"/>
  <c r="I32" i="55"/>
  <c r="H32" i="55"/>
  <c r="G32" i="55"/>
  <c r="F32" i="55"/>
  <c r="E32" i="55"/>
  <c r="D32" i="55"/>
  <c r="W31" i="55"/>
  <c r="V31" i="55"/>
  <c r="U31" i="55"/>
  <c r="T31" i="55"/>
  <c r="S31" i="55"/>
  <c r="R31" i="55"/>
  <c r="Q31" i="55"/>
  <c r="P31" i="55"/>
  <c r="O31" i="55"/>
  <c r="N31" i="55"/>
  <c r="M31" i="55"/>
  <c r="L31" i="55"/>
  <c r="K31" i="55"/>
  <c r="J31" i="55"/>
  <c r="I31" i="55"/>
  <c r="H31" i="55"/>
  <c r="G31" i="55"/>
  <c r="F31" i="55"/>
  <c r="E31" i="55"/>
  <c r="D31" i="55"/>
  <c r="W30" i="55"/>
  <c r="V30" i="55"/>
  <c r="U30" i="55"/>
  <c r="T30" i="55"/>
  <c r="S30" i="55"/>
  <c r="R30" i="55"/>
  <c r="Q30" i="55"/>
  <c r="P30" i="55"/>
  <c r="O30" i="55"/>
  <c r="N30" i="55"/>
  <c r="M30" i="55"/>
  <c r="L30" i="55"/>
  <c r="K30" i="55"/>
  <c r="J30" i="55"/>
  <c r="I30" i="55"/>
  <c r="H30" i="55"/>
  <c r="G30" i="55"/>
  <c r="F30" i="55"/>
  <c r="E30" i="55"/>
  <c r="D30" i="55"/>
  <c r="W29" i="55"/>
  <c r="V29" i="55"/>
  <c r="U29" i="55"/>
  <c r="T29" i="55"/>
  <c r="S29" i="55"/>
  <c r="R29" i="55"/>
  <c r="Q29" i="55"/>
  <c r="P29" i="55"/>
  <c r="O29" i="55"/>
  <c r="N29" i="55"/>
  <c r="M29" i="55"/>
  <c r="L29" i="55"/>
  <c r="K29" i="55"/>
  <c r="J29" i="55"/>
  <c r="I29" i="55"/>
  <c r="H29" i="55"/>
  <c r="G29" i="55"/>
  <c r="F29" i="55"/>
  <c r="E29" i="55"/>
  <c r="D29" i="55"/>
  <c r="W28" i="55"/>
  <c r="V28" i="55"/>
  <c r="U28" i="55"/>
  <c r="T28" i="55"/>
  <c r="S28" i="55"/>
  <c r="R28" i="55"/>
  <c r="Q28" i="55"/>
  <c r="P28" i="55"/>
  <c r="O28" i="55"/>
  <c r="N28" i="55"/>
  <c r="M28" i="55"/>
  <c r="L28" i="55"/>
  <c r="K28" i="55"/>
  <c r="J28" i="55"/>
  <c r="I28" i="55"/>
  <c r="H28" i="55"/>
  <c r="G28" i="55"/>
  <c r="F28" i="55"/>
  <c r="E28" i="55"/>
  <c r="D28" i="55"/>
  <c r="W27" i="55"/>
  <c r="V27" i="55"/>
  <c r="U27" i="55"/>
  <c r="T27" i="55"/>
  <c r="S27" i="55"/>
  <c r="R27" i="55"/>
  <c r="Q27" i="55"/>
  <c r="P27" i="55"/>
  <c r="O27" i="55"/>
  <c r="N27" i="55"/>
  <c r="M27" i="55"/>
  <c r="L27" i="55"/>
  <c r="K27" i="55"/>
  <c r="J27" i="55"/>
  <c r="I27" i="55"/>
  <c r="H27" i="55"/>
  <c r="G27" i="55"/>
  <c r="F27" i="55"/>
  <c r="E27" i="55"/>
  <c r="D27" i="55"/>
  <c r="W26" i="55"/>
  <c r="V26" i="55"/>
  <c r="U26" i="55"/>
  <c r="T26" i="55"/>
  <c r="S26" i="55"/>
  <c r="R26" i="55"/>
  <c r="Q26" i="55"/>
  <c r="P26" i="55"/>
  <c r="O26" i="55"/>
  <c r="N26" i="55"/>
  <c r="M26" i="55"/>
  <c r="L26" i="55"/>
  <c r="K26" i="55"/>
  <c r="J26" i="55"/>
  <c r="I26" i="55"/>
  <c r="H26" i="55"/>
  <c r="G26" i="55"/>
  <c r="F26" i="55"/>
  <c r="E26" i="55"/>
  <c r="D26" i="55"/>
  <c r="W25" i="55"/>
  <c r="V25" i="55"/>
  <c r="U25" i="55"/>
  <c r="T25" i="55"/>
  <c r="S25" i="55"/>
  <c r="R25" i="55"/>
  <c r="Q25" i="55"/>
  <c r="P25" i="55"/>
  <c r="O25" i="55"/>
  <c r="N25" i="55"/>
  <c r="M25" i="55"/>
  <c r="L25" i="55"/>
  <c r="K25" i="55"/>
  <c r="J25" i="55"/>
  <c r="I25" i="55"/>
  <c r="H25" i="55"/>
  <c r="G25" i="55"/>
  <c r="F25" i="55"/>
  <c r="E25" i="55"/>
  <c r="D25" i="55"/>
  <c r="W24" i="55"/>
  <c r="V24" i="55"/>
  <c r="U24" i="55"/>
  <c r="T24" i="55"/>
  <c r="S24" i="55"/>
  <c r="R24" i="55"/>
  <c r="Q24" i="55"/>
  <c r="P24" i="55"/>
  <c r="O24" i="55"/>
  <c r="N24" i="55"/>
  <c r="M24" i="55"/>
  <c r="L24" i="55"/>
  <c r="K24" i="55"/>
  <c r="J24" i="55"/>
  <c r="I24" i="55"/>
  <c r="H24" i="55"/>
  <c r="G24" i="55"/>
  <c r="F24" i="55"/>
  <c r="E24" i="55"/>
  <c r="D24" i="55"/>
  <c r="W23" i="55"/>
  <c r="V23" i="55"/>
  <c r="U23" i="55"/>
  <c r="T23" i="55"/>
  <c r="S23" i="55"/>
  <c r="R23" i="55"/>
  <c r="Q23" i="55"/>
  <c r="P23" i="55"/>
  <c r="O23" i="55"/>
  <c r="N23" i="55"/>
  <c r="M23" i="55"/>
  <c r="L23" i="55"/>
  <c r="K23" i="55"/>
  <c r="J23" i="55"/>
  <c r="I23" i="55"/>
  <c r="H23" i="55"/>
  <c r="G23" i="55"/>
  <c r="F23" i="55"/>
  <c r="E23" i="55"/>
  <c r="D23" i="55"/>
  <c r="W22" i="55"/>
  <c r="V22" i="55"/>
  <c r="U22" i="55"/>
  <c r="T22" i="55"/>
  <c r="S22" i="55"/>
  <c r="R22" i="55"/>
  <c r="Q22" i="55"/>
  <c r="P22" i="55"/>
  <c r="O22" i="55"/>
  <c r="N22" i="55"/>
  <c r="M22" i="55"/>
  <c r="L22" i="55"/>
  <c r="K22" i="55"/>
  <c r="J22" i="55"/>
  <c r="I22" i="55"/>
  <c r="H22" i="55"/>
  <c r="G22" i="55"/>
  <c r="F22" i="55"/>
  <c r="E22" i="55"/>
  <c r="D22" i="55"/>
  <c r="W21" i="55"/>
  <c r="V21" i="55"/>
  <c r="U21" i="55"/>
  <c r="T21" i="55"/>
  <c r="S21" i="55"/>
  <c r="R21" i="55"/>
  <c r="Q21" i="55"/>
  <c r="P21" i="55"/>
  <c r="O21" i="55"/>
  <c r="N21" i="55"/>
  <c r="M21" i="55"/>
  <c r="L21" i="55"/>
  <c r="K21" i="55"/>
  <c r="J21" i="55"/>
  <c r="I21" i="55"/>
  <c r="H21" i="55"/>
  <c r="D21" i="55"/>
  <c r="W20" i="55"/>
  <c r="V20" i="55"/>
  <c r="U20" i="55"/>
  <c r="T20" i="55"/>
  <c r="S20" i="55"/>
  <c r="R20" i="55"/>
  <c r="Q20" i="55"/>
  <c r="P20" i="55"/>
  <c r="O20" i="55"/>
  <c r="N20" i="55"/>
  <c r="M20" i="55"/>
  <c r="L20" i="55"/>
  <c r="K20" i="55"/>
  <c r="J20" i="55"/>
  <c r="I20" i="55"/>
  <c r="H20" i="55"/>
  <c r="G20" i="55"/>
  <c r="F20" i="55"/>
  <c r="E20" i="55"/>
  <c r="D20" i="55"/>
  <c r="W19" i="55"/>
  <c r="V19" i="55"/>
  <c r="U19" i="55"/>
  <c r="T19" i="55"/>
  <c r="S19" i="55"/>
  <c r="R19" i="55"/>
  <c r="Q19" i="55"/>
  <c r="P19" i="55"/>
  <c r="O19" i="55"/>
  <c r="N19" i="55"/>
  <c r="M19" i="55"/>
  <c r="L19" i="55"/>
  <c r="K19" i="55"/>
  <c r="J19" i="55"/>
  <c r="I19" i="55"/>
  <c r="H19" i="55"/>
  <c r="G19" i="55"/>
  <c r="F19" i="55"/>
  <c r="E19" i="55"/>
  <c r="D19" i="55"/>
  <c r="W18" i="55"/>
  <c r="V18" i="55"/>
  <c r="U18" i="55"/>
  <c r="T18" i="55"/>
  <c r="S18" i="55"/>
  <c r="R18" i="55"/>
  <c r="Q18" i="55"/>
  <c r="P18" i="55"/>
  <c r="O18" i="55"/>
  <c r="N18" i="55"/>
  <c r="M18" i="55"/>
  <c r="L18" i="55"/>
  <c r="K18" i="55"/>
  <c r="J18" i="55"/>
  <c r="H18" i="55"/>
  <c r="G18" i="55"/>
  <c r="F18" i="55"/>
  <c r="E18" i="55"/>
  <c r="A18" i="55"/>
  <c r="G21" i="55"/>
  <c r="F21" i="55"/>
  <c r="E21" i="55"/>
  <c r="Y14" i="55"/>
  <c r="Y13" i="55"/>
  <c r="Y12" i="55"/>
  <c r="Y11" i="55"/>
  <c r="Y10" i="55"/>
  <c r="Y9" i="55"/>
  <c r="Y8" i="55"/>
  <c r="G2" i="4"/>
  <c r="F2" i="4"/>
  <c r="E2" i="4"/>
  <c r="D2" i="4"/>
  <c r="C2" i="4"/>
  <c r="B2" i="4"/>
  <c r="A2" i="4"/>
  <c r="G51" i="7" l="1"/>
  <c r="G56" i="7"/>
  <c r="G57" i="7"/>
  <c r="G14" i="7"/>
  <c r="G12" i="7"/>
  <c r="G13" i="7"/>
  <c r="G11" i="7"/>
  <c r="G39" i="7"/>
  <c r="G44" i="7"/>
  <c r="G61" i="7"/>
  <c r="G62" i="7"/>
  <c r="G65" i="7"/>
  <c r="G27" i="7"/>
  <c r="G36" i="7"/>
  <c r="G31" i="7"/>
  <c r="G16" i="7"/>
  <c r="G22" i="7"/>
  <c r="G60" i="7"/>
  <c r="G59" i="7" l="1"/>
  <c r="C17" i="59" l="1"/>
  <c r="E62" i="59"/>
  <c r="D62" i="59"/>
  <c r="F61" i="59"/>
  <c r="F7" i="1"/>
  <c r="E7" i="1"/>
  <c r="D7" i="1"/>
  <c r="C7" i="1"/>
  <c r="B7" i="1"/>
  <c r="D1" i="1"/>
  <c r="E85" i="59"/>
  <c r="D85" i="59" s="1"/>
  <c r="C85" i="59"/>
  <c r="E82" i="59"/>
  <c r="D82" i="59"/>
  <c r="C82" i="59"/>
  <c r="E81" i="59"/>
  <c r="D81" i="59"/>
  <c r="C81" i="59"/>
  <c r="F78" i="59"/>
  <c r="E78" i="59"/>
  <c r="D78" i="59"/>
  <c r="C78" i="59"/>
  <c r="F77" i="59"/>
  <c r="E77" i="59"/>
  <c r="D77" i="59"/>
  <c r="C77" i="59"/>
  <c r="F76" i="59"/>
  <c r="E76" i="59"/>
  <c r="D76" i="59"/>
  <c r="C76" i="59"/>
  <c r="F75" i="59"/>
  <c r="E75" i="59"/>
  <c r="D75" i="59"/>
  <c r="C75" i="59"/>
  <c r="F74" i="59"/>
  <c r="E74" i="59"/>
  <c r="D74" i="59"/>
  <c r="C74" i="59"/>
  <c r="F73" i="59"/>
  <c r="E73" i="59"/>
  <c r="D73" i="59"/>
  <c r="C73" i="59"/>
  <c r="F71" i="59"/>
  <c r="E71" i="59"/>
  <c r="D71" i="59"/>
  <c r="F70" i="59"/>
  <c r="E70" i="59"/>
  <c r="D70" i="59"/>
  <c r="C70" i="59"/>
  <c r="F69" i="59"/>
  <c r="E69" i="59"/>
  <c r="D69" i="59"/>
  <c r="C69" i="59"/>
  <c r="F68" i="59"/>
  <c r="E68" i="59"/>
  <c r="D68" i="59"/>
  <c r="C68" i="59"/>
  <c r="F67" i="59"/>
  <c r="E67" i="59"/>
  <c r="D67" i="59"/>
  <c r="C67" i="59"/>
  <c r="F66" i="59"/>
  <c r="E66" i="59"/>
  <c r="D66" i="59"/>
  <c r="C66" i="59" s="1"/>
  <c r="F65" i="59"/>
  <c r="E65" i="59"/>
  <c r="D65" i="59"/>
  <c r="C65" i="59" s="1"/>
  <c r="F64" i="59"/>
  <c r="E64" i="59"/>
  <c r="F63" i="59"/>
  <c r="E63" i="59"/>
  <c r="D63" i="59"/>
  <c r="F62" i="59"/>
  <c r="C62" i="59"/>
  <c r="E61" i="59"/>
  <c r="D61" i="59"/>
  <c r="C61" i="59"/>
  <c r="F60" i="59"/>
  <c r="E60" i="59"/>
  <c r="D60" i="59"/>
  <c r="C60" i="59"/>
  <c r="F59" i="59"/>
  <c r="E59" i="59"/>
  <c r="D59" i="59"/>
  <c r="C59" i="59"/>
  <c r="F58" i="59"/>
  <c r="E58" i="59"/>
  <c r="D58" i="59"/>
  <c r="C58" i="59"/>
  <c r="F57" i="59"/>
  <c r="E57" i="59"/>
  <c r="D57" i="59"/>
  <c r="C57" i="59"/>
  <c r="F56" i="59"/>
  <c r="E56" i="59"/>
  <c r="D56" i="59"/>
  <c r="C56" i="59"/>
  <c r="F55" i="59"/>
  <c r="E55" i="59"/>
  <c r="D55" i="59"/>
  <c r="C55" i="59"/>
  <c r="F54" i="59"/>
  <c r="E54" i="59"/>
  <c r="D54" i="59"/>
  <c r="C54" i="59"/>
  <c r="F50" i="59"/>
  <c r="E50" i="59"/>
  <c r="D50" i="59"/>
  <c r="C50" i="59"/>
  <c r="F49" i="59"/>
  <c r="E49" i="59"/>
  <c r="D49" i="59"/>
  <c r="C49" i="59"/>
  <c r="F48" i="59"/>
  <c r="E48" i="59"/>
  <c r="D48" i="59"/>
  <c r="C48" i="59"/>
  <c r="F47" i="59"/>
  <c r="E47" i="59"/>
  <c r="D47" i="59"/>
  <c r="C47" i="59"/>
  <c r="F43" i="59"/>
  <c r="E43" i="59"/>
  <c r="D43" i="59"/>
  <c r="C43" i="59"/>
  <c r="F42" i="59"/>
  <c r="E42" i="59"/>
  <c r="D42" i="59"/>
  <c r="C42" i="59"/>
  <c r="F41" i="59"/>
  <c r="E41" i="59"/>
  <c r="D41" i="59"/>
  <c r="C41" i="59"/>
  <c r="F40" i="59"/>
  <c r="E40" i="59"/>
  <c r="D40" i="59"/>
  <c r="C40" i="59"/>
  <c r="F39" i="59"/>
  <c r="E39" i="59"/>
  <c r="D39" i="59"/>
  <c r="C39" i="59"/>
  <c r="F38" i="59"/>
  <c r="E38" i="59"/>
  <c r="D38" i="59"/>
  <c r="C38" i="59"/>
  <c r="F37" i="59"/>
  <c r="E37" i="59"/>
  <c r="D37" i="59"/>
  <c r="C37" i="59"/>
  <c r="F36" i="59"/>
  <c r="E36" i="59"/>
  <c r="D36" i="59"/>
  <c r="C36" i="59"/>
  <c r="F35" i="59"/>
  <c r="E35" i="59"/>
  <c r="D35" i="59"/>
  <c r="C35" i="59"/>
  <c r="F34" i="59"/>
  <c r="E34" i="59"/>
  <c r="D34" i="59"/>
  <c r="C34" i="59"/>
  <c r="F33" i="59"/>
  <c r="E33" i="59"/>
  <c r="D33" i="59"/>
  <c r="F31" i="59"/>
  <c r="E31" i="59"/>
  <c r="D31" i="59"/>
  <c r="C31" i="59"/>
  <c r="F30" i="59"/>
  <c r="E30" i="59"/>
  <c r="D30" i="59"/>
  <c r="C30" i="59"/>
  <c r="F29" i="59"/>
  <c r="E29" i="59"/>
  <c r="D29" i="59"/>
  <c r="C29" i="59"/>
  <c r="F28" i="59"/>
  <c r="E28" i="59"/>
  <c r="D28" i="59"/>
  <c r="C28" i="59"/>
  <c r="F27" i="59"/>
  <c r="E27" i="59"/>
  <c r="D27" i="59"/>
  <c r="C27" i="59"/>
  <c r="F24" i="59"/>
  <c r="E24" i="59"/>
  <c r="D24" i="59"/>
  <c r="C24" i="59"/>
  <c r="F23" i="59"/>
  <c r="E23" i="59"/>
  <c r="D23" i="59"/>
  <c r="C23" i="59"/>
  <c r="F22" i="59"/>
  <c r="E22" i="59"/>
  <c r="D22" i="59"/>
  <c r="C22" i="59"/>
  <c r="F21" i="59"/>
  <c r="E21" i="59"/>
  <c r="D21" i="59"/>
  <c r="C21" i="59"/>
  <c r="F20" i="59"/>
  <c r="E20" i="59"/>
  <c r="D20" i="59"/>
  <c r="C20" i="59"/>
  <c r="F19" i="59"/>
  <c r="E19" i="59"/>
  <c r="D19" i="59"/>
  <c r="C19" i="59"/>
  <c r="F18" i="59"/>
  <c r="E18" i="59"/>
  <c r="D18" i="59"/>
  <c r="C18" i="59" s="1"/>
  <c r="F17" i="59"/>
  <c r="E17" i="59"/>
  <c r="D17" i="59"/>
  <c r="F16" i="59"/>
  <c r="E16" i="59"/>
  <c r="D16" i="59"/>
  <c r="C16" i="59"/>
  <c r="F15" i="59"/>
  <c r="E15" i="59"/>
  <c r="D15" i="59"/>
  <c r="C15" i="59"/>
  <c r="F14" i="59"/>
  <c r="E14" i="59"/>
  <c r="D14" i="59"/>
  <c r="C14" i="59"/>
  <c r="F13" i="59"/>
  <c r="E13" i="59"/>
  <c r="D13" i="59"/>
  <c r="C13" i="59"/>
  <c r="F12" i="59"/>
  <c r="E12" i="59"/>
  <c r="D12" i="59"/>
  <c r="C12" i="59"/>
  <c r="E10" i="59"/>
  <c r="D10" i="59"/>
  <c r="C10" i="59"/>
  <c r="F9" i="59"/>
  <c r="E9" i="59"/>
  <c r="D9" i="59"/>
  <c r="C9" i="59"/>
  <c r="F7" i="59"/>
  <c r="E7" i="59"/>
  <c r="D7" i="59"/>
  <c r="C7" i="59"/>
  <c r="B7" i="59"/>
  <c r="F10" i="59" l="1"/>
  <c r="A7" i="20" l="1"/>
  <c r="H6" i="20"/>
  <c r="G6" i="20"/>
  <c r="B4" i="20"/>
  <c r="D48" i="56"/>
  <c r="D47" i="56"/>
  <c r="D24" i="56"/>
  <c r="B25" i="20" s="1"/>
  <c r="D23" i="56"/>
  <c r="D54" i="56"/>
  <c r="D53" i="56"/>
  <c r="D46" i="56"/>
  <c r="D45" i="56"/>
  <c r="D44" i="56"/>
  <c r="D43" i="56"/>
  <c r="D42" i="56"/>
  <c r="D41" i="56"/>
  <c r="D40" i="56"/>
  <c r="D39" i="56"/>
  <c r="D38" i="56"/>
  <c r="D37" i="56"/>
  <c r="D36" i="56"/>
  <c r="D35" i="56"/>
  <c r="B44" i="55" s="1"/>
  <c r="D34" i="56"/>
  <c r="D33" i="56"/>
  <c r="D32" i="56"/>
  <c r="D31" i="56"/>
  <c r="D30" i="56"/>
  <c r="D29" i="56"/>
  <c r="D22" i="56"/>
  <c r="D21" i="56"/>
  <c r="D18" i="56"/>
  <c r="D17" i="56"/>
  <c r="D16" i="56"/>
  <c r="D15" i="56"/>
  <c r="D14" i="56"/>
  <c r="D13" i="56"/>
  <c r="B13" i="4" s="1"/>
  <c r="D12" i="56"/>
  <c r="D10" i="56"/>
  <c r="D9" i="56"/>
  <c r="A1" i="24"/>
  <c r="B17" i="1" l="1"/>
  <c r="B26" i="55"/>
  <c r="Z26" i="55" s="1"/>
  <c r="B17" i="4"/>
  <c r="B17" i="19"/>
  <c r="B18" i="20"/>
  <c r="B17" i="59"/>
  <c r="B41" i="55"/>
  <c r="Z41" i="55" s="1"/>
  <c r="B32" i="4"/>
  <c r="B32" i="19"/>
  <c r="B33" i="20"/>
  <c r="B32" i="59"/>
  <c r="B32" i="1"/>
  <c r="B35" i="19"/>
  <c r="B35" i="59"/>
  <c r="B35" i="1"/>
  <c r="B35" i="4"/>
  <c r="B36" i="20"/>
  <c r="B48" i="55"/>
  <c r="Z48" i="55" s="1"/>
  <c r="B39" i="1"/>
  <c r="B39" i="4"/>
  <c r="B39" i="19"/>
  <c r="B40" i="20"/>
  <c r="B39" i="59"/>
  <c r="B52" i="55"/>
  <c r="B43" i="4"/>
  <c r="B44" i="20"/>
  <c r="B43" i="19"/>
  <c r="B43" i="59"/>
  <c r="B43" i="1"/>
  <c r="B53" i="4"/>
  <c r="B53" i="19"/>
  <c r="B54" i="20"/>
  <c r="B62" i="55"/>
  <c r="Z62" i="55" s="1"/>
  <c r="B53" i="1"/>
  <c r="B53" i="59"/>
  <c r="B69" i="55"/>
  <c r="Z69" i="55" s="1"/>
  <c r="B60" i="4"/>
  <c r="B60" i="1"/>
  <c r="B60" i="59"/>
  <c r="B60" i="19"/>
  <c r="B61" i="20"/>
  <c r="B65" i="4"/>
  <c r="B65" i="19"/>
  <c r="B74" i="55"/>
  <c r="Z74" i="55" s="1"/>
  <c r="B66" i="20"/>
  <c r="B65" i="59"/>
  <c r="B65" i="1"/>
  <c r="B24" i="1"/>
  <c r="B33" i="55"/>
  <c r="Z33" i="55" s="1"/>
  <c r="B24" i="19"/>
  <c r="B24" i="59"/>
  <c r="B24" i="4"/>
  <c r="B71" i="1"/>
  <c r="Z80" i="55"/>
  <c r="B71" i="4"/>
  <c r="B71" i="59"/>
  <c r="B71" i="19"/>
  <c r="B26" i="4"/>
  <c r="B26" i="19"/>
  <c r="B26" i="1"/>
  <c r="B26" i="59"/>
  <c r="B35" i="55"/>
  <c r="Z35" i="55" s="1"/>
  <c r="B27" i="20"/>
  <c r="B86" i="55"/>
  <c r="Z86" i="55" s="1"/>
  <c r="B78" i="20"/>
  <c r="B77" i="4"/>
  <c r="B77" i="19"/>
  <c r="B77" i="1"/>
  <c r="B77" i="59"/>
  <c r="B23" i="55"/>
  <c r="Z23" i="55" s="1"/>
  <c r="B14" i="59"/>
  <c r="B14" i="19"/>
  <c r="B14" i="1"/>
  <c r="B15" i="20"/>
  <c r="B14" i="4"/>
  <c r="B27" i="55"/>
  <c r="Z27" i="55" s="1"/>
  <c r="B18" i="19"/>
  <c r="B18" i="59"/>
  <c r="B18" i="4"/>
  <c r="B19" i="20"/>
  <c r="B18" i="1"/>
  <c r="B29" i="1"/>
  <c r="B38" i="55"/>
  <c r="Z38" i="55" s="1"/>
  <c r="B29" i="59"/>
  <c r="B29" i="4"/>
  <c r="B30" i="20"/>
  <c r="B29" i="19"/>
  <c r="B33" i="1"/>
  <c r="B42" i="55"/>
  <c r="Z42" i="55" s="1"/>
  <c r="B33" i="59"/>
  <c r="B33" i="4"/>
  <c r="B33" i="19"/>
  <c r="B34" i="20"/>
  <c r="B36" i="4"/>
  <c r="B36" i="19"/>
  <c r="B45" i="55"/>
  <c r="Z45" i="55" s="1"/>
  <c r="B37" i="20"/>
  <c r="B36" i="1"/>
  <c r="B36" i="59"/>
  <c r="B49" i="55"/>
  <c r="Z49" i="55" s="1"/>
  <c r="B40" i="4"/>
  <c r="B40" i="19"/>
  <c r="B41" i="20"/>
  <c r="B40" i="59"/>
  <c r="B40" i="1"/>
  <c r="B44" i="4"/>
  <c r="B44" i="19"/>
  <c r="B44" i="1"/>
  <c r="B45" i="20"/>
  <c r="B53" i="55"/>
  <c r="Z53" i="55" s="1"/>
  <c r="B44" i="59"/>
  <c r="B63" i="55"/>
  <c r="Z63" i="55" s="1"/>
  <c r="B54" i="1"/>
  <c r="B54" i="4"/>
  <c r="B54" i="59"/>
  <c r="B54" i="19"/>
  <c r="B55" i="20"/>
  <c r="B71" i="55"/>
  <c r="Z71" i="55" s="1"/>
  <c r="B62" i="1"/>
  <c r="B62" i="19"/>
  <c r="B62" i="59"/>
  <c r="B62" i="4"/>
  <c r="B63" i="20"/>
  <c r="B75" i="55"/>
  <c r="Z75" i="55" s="1"/>
  <c r="B66" i="1"/>
  <c r="B66" i="59"/>
  <c r="B66" i="19"/>
  <c r="B67" i="20"/>
  <c r="B66" i="4"/>
  <c r="B78" i="4"/>
  <c r="B78" i="19"/>
  <c r="B87" i="55"/>
  <c r="Z87" i="55" s="1"/>
  <c r="B79" i="20"/>
  <c r="B78" i="1"/>
  <c r="B78" i="59"/>
  <c r="B82" i="55"/>
  <c r="B73" i="19"/>
  <c r="B73" i="1"/>
  <c r="B73" i="59"/>
  <c r="B73" i="4"/>
  <c r="B74" i="20"/>
  <c r="B56" i="55"/>
  <c r="Z56" i="55" s="1"/>
  <c r="B47" i="4"/>
  <c r="B47" i="19"/>
  <c r="B47" i="59"/>
  <c r="B48" i="20"/>
  <c r="B47" i="1"/>
  <c r="B22" i="55"/>
  <c r="Z22" i="55" s="1"/>
  <c r="B13" i="19"/>
  <c r="B13" i="59"/>
  <c r="B13" i="1"/>
  <c r="B14" i="20"/>
  <c r="B80" i="4"/>
  <c r="B80" i="1"/>
  <c r="B80" i="59"/>
  <c r="B89" i="55"/>
  <c r="Z89" i="55" s="1"/>
  <c r="B81" i="20"/>
  <c r="B80" i="19"/>
  <c r="B19" i="55"/>
  <c r="B10" i="4"/>
  <c r="B10" i="19"/>
  <c r="B11" i="20"/>
  <c r="B10" i="59"/>
  <c r="B10" i="1"/>
  <c r="B24" i="55"/>
  <c r="Z24" i="55" s="1"/>
  <c r="B15" i="19"/>
  <c r="B15" i="4"/>
  <c r="B16" i="20"/>
  <c r="B15" i="1"/>
  <c r="B15" i="59"/>
  <c r="B30" i="55"/>
  <c r="Z30" i="55" s="1"/>
  <c r="B21" i="4"/>
  <c r="B22" i="20"/>
  <c r="B21" i="19"/>
  <c r="B21" i="59"/>
  <c r="B21" i="1"/>
  <c r="B39" i="55"/>
  <c r="Z39" i="55" s="1"/>
  <c r="B30" i="19"/>
  <c r="B30" i="59"/>
  <c r="B31" i="20"/>
  <c r="B30" i="1"/>
  <c r="B30" i="4"/>
  <c r="B34" i="1"/>
  <c r="B43" i="55"/>
  <c r="Z43" i="55" s="1"/>
  <c r="B35" i="20"/>
  <c r="B34" i="4"/>
  <c r="B34" i="59"/>
  <c r="B34" i="19"/>
  <c r="B46" i="55"/>
  <c r="Z46" i="55" s="1"/>
  <c r="B37" i="1"/>
  <c r="B37" i="4"/>
  <c r="B37" i="59"/>
  <c r="B37" i="19"/>
  <c r="B38" i="20"/>
  <c r="B50" i="55"/>
  <c r="Z50" i="55" s="1"/>
  <c r="B41" i="1"/>
  <c r="B41" i="19"/>
  <c r="B41" i="59"/>
  <c r="B42" i="20"/>
  <c r="B41" i="4"/>
  <c r="B54" i="55"/>
  <c r="Z54" i="55" s="1"/>
  <c r="B46" i="20"/>
  <c r="B67" i="55"/>
  <c r="Z67" i="55" s="1"/>
  <c r="B58" i="1"/>
  <c r="B58" i="4"/>
  <c r="B58" i="59"/>
  <c r="B58" i="19"/>
  <c r="B59" i="20"/>
  <c r="B63" i="4"/>
  <c r="B63" i="59"/>
  <c r="B63" i="19"/>
  <c r="B72" i="55"/>
  <c r="Z72" i="55" s="1"/>
  <c r="B63" i="1"/>
  <c r="B64" i="20"/>
  <c r="B76" i="55"/>
  <c r="Z76" i="55" s="1"/>
  <c r="B67" i="19"/>
  <c r="B67" i="1"/>
  <c r="B68" i="20"/>
  <c r="B67" i="4"/>
  <c r="B67" i="59"/>
  <c r="B88" i="55"/>
  <c r="Z88" i="55" s="1"/>
  <c r="B79" i="19"/>
  <c r="B79" i="59"/>
  <c r="B79" i="1"/>
  <c r="B80" i="20"/>
  <c r="B79" i="4"/>
  <c r="B74" i="4"/>
  <c r="B74" i="19"/>
  <c r="B83" i="55"/>
  <c r="Z83" i="55" s="1"/>
  <c r="B75" i="20"/>
  <c r="B74" i="1"/>
  <c r="B74" i="59"/>
  <c r="B57" i="55"/>
  <c r="Z57" i="55" s="1"/>
  <c r="B48" i="4"/>
  <c r="B48" i="19"/>
  <c r="B49" i="20"/>
  <c r="B48" i="1"/>
  <c r="B48" i="59"/>
  <c r="B12" i="4"/>
  <c r="B12" i="1"/>
  <c r="B21" i="55"/>
  <c r="Z21" i="55" s="1"/>
  <c r="B12" i="59"/>
  <c r="B13" i="20"/>
  <c r="B12" i="19"/>
  <c r="B16" i="4"/>
  <c r="B16" i="1"/>
  <c r="B25" i="55"/>
  <c r="Z25" i="55" s="1"/>
  <c r="B16" i="59"/>
  <c r="B17" i="20"/>
  <c r="B16" i="19"/>
  <c r="B31" i="55"/>
  <c r="Z31" i="55" s="1"/>
  <c r="B22" i="1"/>
  <c r="B23" i="20"/>
  <c r="B22" i="4"/>
  <c r="B22" i="19"/>
  <c r="B22" i="59"/>
  <c r="B40" i="55"/>
  <c r="Z40" i="55" s="1"/>
  <c r="B31" i="4"/>
  <c r="B31" i="1"/>
  <c r="B31" i="59"/>
  <c r="B31" i="19"/>
  <c r="B32" i="20"/>
  <c r="B20" i="55"/>
  <c r="Z20" i="55" s="1"/>
  <c r="B11" i="19"/>
  <c r="B11" i="1"/>
  <c r="B12" i="20"/>
  <c r="B11" i="4"/>
  <c r="B11" i="59"/>
  <c r="B47" i="55"/>
  <c r="Z47" i="55" s="1"/>
  <c r="B38" i="4"/>
  <c r="B38" i="1"/>
  <c r="B39" i="20"/>
  <c r="B38" i="59"/>
  <c r="B38" i="19"/>
  <c r="B42" i="4"/>
  <c r="C42" i="4" s="1"/>
  <c r="B42" i="59"/>
  <c r="B42" i="1"/>
  <c r="B51" i="55"/>
  <c r="Z51" i="55" s="1"/>
  <c r="B42" i="19"/>
  <c r="B43" i="20"/>
  <c r="B55" i="55"/>
  <c r="Z55" i="55" s="1"/>
  <c r="B47" i="20"/>
  <c r="B68" i="55"/>
  <c r="Z68" i="55" s="1"/>
  <c r="B59" i="4"/>
  <c r="B59" i="19"/>
  <c r="B60" i="20"/>
  <c r="B59" i="59"/>
  <c r="B59" i="1"/>
  <c r="B73" i="55"/>
  <c r="Z73" i="55" s="1"/>
  <c r="B64" i="4"/>
  <c r="B65" i="20"/>
  <c r="B64" i="59"/>
  <c r="B64" i="1"/>
  <c r="B64" i="19"/>
  <c r="B32" i="55"/>
  <c r="Z32" i="55" s="1"/>
  <c r="B23" i="4"/>
  <c r="B23" i="19"/>
  <c r="B24" i="20"/>
  <c r="B23" i="1"/>
  <c r="B23" i="59"/>
  <c r="B79" i="55"/>
  <c r="Z79" i="55" s="1"/>
  <c r="B70" i="59"/>
  <c r="B70" i="4"/>
  <c r="B71" i="20"/>
  <c r="B70" i="19"/>
  <c r="B70" i="1"/>
  <c r="B84" i="55"/>
  <c r="Z84" i="55" s="1"/>
  <c r="B75" i="4"/>
  <c r="B75" i="59"/>
  <c r="B75" i="19"/>
  <c r="B75" i="1"/>
  <c r="B76" i="20"/>
  <c r="B85" i="55"/>
  <c r="Z85" i="55" s="1"/>
  <c r="B76" i="1"/>
  <c r="B76" i="4"/>
  <c r="B77" i="20"/>
  <c r="B76" i="59"/>
  <c r="B76" i="19"/>
  <c r="Z28" i="55"/>
  <c r="Z70" i="55"/>
  <c r="Z52" i="55"/>
  <c r="Z64" i="55"/>
  <c r="Z78" i="55"/>
  <c r="Z37" i="55"/>
  <c r="Z58" i="55"/>
  <c r="Z66" i="55"/>
  <c r="F82" i="59"/>
  <c r="Z29" i="55"/>
  <c r="Z59" i="55"/>
  <c r="Z44" i="55"/>
  <c r="B9" i="4"/>
  <c r="B18" i="55"/>
  <c r="B9" i="1"/>
  <c r="B9" i="59"/>
  <c r="B9" i="19"/>
  <c r="Z36" i="55"/>
  <c r="Z65" i="55"/>
  <c r="F81" i="59"/>
  <c r="B10" i="20"/>
  <c r="Z19" i="55" l="1"/>
  <c r="Z18" i="55"/>
  <c r="Z82" i="55"/>
  <c r="F64" i="4"/>
  <c r="D64" i="4"/>
  <c r="E64" i="4"/>
  <c r="C64" i="4"/>
  <c r="G64" i="4"/>
  <c r="F46" i="4"/>
  <c r="C46" i="4"/>
  <c r="D46" i="4"/>
  <c r="E46" i="4"/>
  <c r="G46" i="4"/>
  <c r="F38" i="4"/>
  <c r="C38" i="4"/>
  <c r="D38" i="4"/>
  <c r="E38" i="4"/>
  <c r="G38" i="4"/>
  <c r="F31" i="4"/>
  <c r="D31" i="4"/>
  <c r="E31" i="4"/>
  <c r="C31" i="4"/>
  <c r="G31" i="4"/>
  <c r="F22" i="4"/>
  <c r="D22" i="4"/>
  <c r="E22" i="4"/>
  <c r="C22" i="4"/>
  <c r="G22" i="4"/>
  <c r="F48" i="4"/>
  <c r="E48" i="4"/>
  <c r="G48" i="4"/>
  <c r="C48" i="4"/>
  <c r="D48" i="4"/>
  <c r="F79" i="4"/>
  <c r="G79" i="4"/>
  <c r="E79" i="4"/>
  <c r="D79" i="4"/>
  <c r="C79" i="4"/>
  <c r="F34" i="4"/>
  <c r="C34" i="4"/>
  <c r="D34" i="4"/>
  <c r="G34" i="4"/>
  <c r="E34" i="4"/>
  <c r="F30" i="4"/>
  <c r="C30" i="4"/>
  <c r="D30" i="4"/>
  <c r="E30" i="4"/>
  <c r="G30" i="4"/>
  <c r="F66" i="4"/>
  <c r="G66" i="4"/>
  <c r="D66" i="4"/>
  <c r="C66" i="4"/>
  <c r="E66" i="4"/>
  <c r="F40" i="4"/>
  <c r="E40" i="4"/>
  <c r="G40" i="4"/>
  <c r="D40" i="4"/>
  <c r="C40" i="4"/>
  <c r="F29" i="4"/>
  <c r="G29" i="4"/>
  <c r="E29" i="4"/>
  <c r="C29" i="4"/>
  <c r="D29" i="4"/>
  <c r="F32" i="4"/>
  <c r="E32" i="4"/>
  <c r="G32" i="4"/>
  <c r="C32" i="4"/>
  <c r="D32" i="4"/>
  <c r="F16" i="4"/>
  <c r="G16" i="4"/>
  <c r="D16" i="4"/>
  <c r="E16" i="4"/>
  <c r="C16" i="4"/>
  <c r="F63" i="4"/>
  <c r="C63" i="4"/>
  <c r="D63" i="4"/>
  <c r="E63" i="4"/>
  <c r="G63" i="4"/>
  <c r="F58" i="4"/>
  <c r="G58" i="4"/>
  <c r="C58" i="4"/>
  <c r="D58" i="4"/>
  <c r="E58" i="4"/>
  <c r="F45" i="4"/>
  <c r="G45" i="4"/>
  <c r="E45" i="4"/>
  <c r="D45" i="4"/>
  <c r="C45" i="4"/>
  <c r="G80" i="4"/>
  <c r="C80" i="4"/>
  <c r="D80" i="4"/>
  <c r="E80" i="4"/>
  <c r="F80" i="4"/>
  <c r="F13" i="4"/>
  <c r="D13" i="4"/>
  <c r="E13" i="4"/>
  <c r="G13" i="4"/>
  <c r="C13" i="4"/>
  <c r="F73" i="4"/>
  <c r="D73" i="4"/>
  <c r="E73" i="4"/>
  <c r="C73" i="4"/>
  <c r="G73" i="4"/>
  <c r="F65" i="4"/>
  <c r="E65" i="4"/>
  <c r="G65" i="4"/>
  <c r="D65" i="4"/>
  <c r="C65" i="4"/>
  <c r="F53" i="4"/>
  <c r="E53" i="4"/>
  <c r="G53" i="4"/>
  <c r="C53" i="4"/>
  <c r="D53" i="4"/>
  <c r="F17" i="4"/>
  <c r="D17" i="4"/>
  <c r="G17" i="4"/>
  <c r="C17" i="4"/>
  <c r="E17" i="4"/>
  <c r="F75" i="4"/>
  <c r="G75" i="4"/>
  <c r="C75" i="4"/>
  <c r="D75" i="4"/>
  <c r="E75" i="4"/>
  <c r="F23" i="4"/>
  <c r="E23" i="4"/>
  <c r="G23" i="4"/>
  <c r="D23" i="4"/>
  <c r="C23" i="4"/>
  <c r="F59" i="4"/>
  <c r="C59" i="4"/>
  <c r="D59" i="4"/>
  <c r="G59" i="4"/>
  <c r="E59" i="4"/>
  <c r="F41" i="4"/>
  <c r="G41" i="4"/>
  <c r="D41" i="4"/>
  <c r="C41" i="4"/>
  <c r="E41" i="4"/>
  <c r="F21" i="4"/>
  <c r="C21" i="4"/>
  <c r="D21" i="4"/>
  <c r="E21" i="4"/>
  <c r="G21" i="4"/>
  <c r="F10" i="4"/>
  <c r="G10" i="4"/>
  <c r="C10" i="4"/>
  <c r="D10" i="4"/>
  <c r="E10" i="4"/>
  <c r="F47" i="4"/>
  <c r="D47" i="4"/>
  <c r="E47" i="4"/>
  <c r="C47" i="4"/>
  <c r="G47" i="4"/>
  <c r="F33" i="4"/>
  <c r="G33" i="4"/>
  <c r="D33" i="4"/>
  <c r="E33" i="4"/>
  <c r="C33" i="4"/>
  <c r="F18" i="4"/>
  <c r="D18" i="4"/>
  <c r="E18" i="4"/>
  <c r="G18" i="4"/>
  <c r="C18" i="4"/>
  <c r="F14" i="4"/>
  <c r="D14" i="4"/>
  <c r="C14" i="4"/>
  <c r="E14" i="4"/>
  <c r="G14" i="4"/>
  <c r="F24" i="4"/>
  <c r="G24" i="4"/>
  <c r="D24" i="4"/>
  <c r="C24" i="4"/>
  <c r="E24" i="4"/>
  <c r="F60" i="4"/>
  <c r="D60" i="4"/>
  <c r="E60" i="4"/>
  <c r="G60" i="4"/>
  <c r="C60" i="4"/>
  <c r="F43" i="4"/>
  <c r="D43" i="4"/>
  <c r="E43" i="4"/>
  <c r="G43" i="4"/>
  <c r="C43" i="4"/>
  <c r="F76" i="4"/>
  <c r="C76" i="4"/>
  <c r="D76" i="4"/>
  <c r="G76" i="4"/>
  <c r="E76" i="4"/>
  <c r="F70" i="4"/>
  <c r="G70" i="4"/>
  <c r="E70" i="4"/>
  <c r="C70" i="4"/>
  <c r="D70" i="4"/>
  <c r="F42" i="4"/>
  <c r="D42" i="4"/>
  <c r="G42" i="4"/>
  <c r="E42" i="4"/>
  <c r="F11" i="4"/>
  <c r="E11" i="4"/>
  <c r="G11" i="4"/>
  <c r="D11" i="4"/>
  <c r="C11" i="4"/>
  <c r="F12" i="4"/>
  <c r="G12" i="4"/>
  <c r="C12" i="4"/>
  <c r="E12" i="4"/>
  <c r="D12" i="4"/>
  <c r="F74" i="4"/>
  <c r="E74" i="4"/>
  <c r="G74" i="4"/>
  <c r="D74" i="4"/>
  <c r="C74" i="4"/>
  <c r="F67" i="4"/>
  <c r="C67" i="4"/>
  <c r="D67" i="4"/>
  <c r="G67" i="4"/>
  <c r="E67" i="4"/>
  <c r="F37" i="4"/>
  <c r="G37" i="4"/>
  <c r="C37" i="4"/>
  <c r="E37" i="4"/>
  <c r="D37" i="4"/>
  <c r="F15" i="4"/>
  <c r="E15" i="4"/>
  <c r="G15" i="4"/>
  <c r="C15" i="4"/>
  <c r="D15" i="4"/>
  <c r="F78" i="4"/>
  <c r="E78" i="4"/>
  <c r="G78" i="4"/>
  <c r="C78" i="4"/>
  <c r="D78" i="4"/>
  <c r="F62" i="4"/>
  <c r="G62" i="4"/>
  <c r="E62" i="4"/>
  <c r="D62" i="4"/>
  <c r="C62" i="4"/>
  <c r="F54" i="4"/>
  <c r="G54" i="4"/>
  <c r="C54" i="4"/>
  <c r="E54" i="4"/>
  <c r="D54" i="4"/>
  <c r="F44" i="4"/>
  <c r="E44" i="4"/>
  <c r="G44" i="4"/>
  <c r="D44" i="4"/>
  <c r="C44" i="4"/>
  <c r="F36" i="4"/>
  <c r="E36" i="4"/>
  <c r="G36" i="4"/>
  <c r="C36" i="4"/>
  <c r="D36" i="4"/>
  <c r="F77" i="4"/>
  <c r="D77" i="4"/>
  <c r="E77" i="4"/>
  <c r="G77" i="4"/>
  <c r="C77" i="4"/>
  <c r="F26" i="4"/>
  <c r="C26" i="4"/>
  <c r="D26" i="4"/>
  <c r="G26" i="4"/>
  <c r="E26" i="4"/>
  <c r="F71" i="4"/>
  <c r="C71" i="4"/>
  <c r="D71" i="4"/>
  <c r="E71" i="4"/>
  <c r="G71" i="4"/>
  <c r="F39" i="4"/>
  <c r="D39" i="4"/>
  <c r="E39" i="4"/>
  <c r="C39" i="4"/>
  <c r="G39" i="4"/>
  <c r="F35" i="4"/>
  <c r="D35" i="4"/>
  <c r="E35" i="4"/>
  <c r="G35" i="4"/>
  <c r="C35" i="4"/>
  <c r="C9" i="4"/>
  <c r="E9" i="4"/>
  <c r="G9" i="4"/>
  <c r="F9" i="4" s="1"/>
  <c r="D9" i="4"/>
  <c r="F6" i="20" l="1"/>
  <c r="G26" i="7"/>
  <c r="G28" i="7"/>
  <c r="G35" i="7"/>
  <c r="G15" i="7"/>
  <c r="G17" i="7"/>
  <c r="G40" i="7"/>
  <c r="G33" i="7"/>
  <c r="G42" i="7"/>
  <c r="C11" i="19" l="1"/>
  <c r="C11" i="59" s="1"/>
  <c r="F11" i="19"/>
  <c r="F11" i="59" s="1"/>
  <c r="E11" i="19"/>
  <c r="E11" i="59" s="1"/>
  <c r="D11" i="19"/>
  <c r="D11" i="5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Tina Jayaweera</author>
  </authors>
  <commentList>
    <comment ref="J8" authorId="0" shapeId="0" xr:uid="{00000000-0006-0000-0700-000001000000}">
      <text>
        <r>
          <rPr>
            <b/>
            <sz val="9"/>
            <color indexed="81"/>
            <rFont val="Tahoma"/>
            <family val="2"/>
          </rPr>
          <t>Tina Jayaweera:</t>
        </r>
        <r>
          <rPr>
            <sz val="9"/>
            <color indexed="81"/>
            <rFont val="Tahoma"/>
            <family val="2"/>
          </rPr>
          <t xml:space="preserve">
Based on RTF SIW 4.0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Tina Jayaweera</author>
  </authors>
  <commentList>
    <comment ref="J11" authorId="0" shapeId="0" xr:uid="{00000000-0006-0000-0C00-000001000000}">
      <text>
        <r>
          <rPr>
            <b/>
            <sz val="9"/>
            <color indexed="81"/>
            <rFont val="Tahoma"/>
            <family val="2"/>
          </rPr>
          <t>Tina Jayaweera:</t>
        </r>
        <r>
          <rPr>
            <sz val="9"/>
            <color indexed="81"/>
            <rFont val="Tahoma"/>
            <family val="2"/>
          </rPr>
          <t xml:space="preserve">
According to RegInfo.gov, not planned</t>
        </r>
      </text>
    </comment>
    <comment ref="E28" authorId="0" shapeId="0" xr:uid="{00000000-0006-0000-0C00-000002000000}">
      <text>
        <r>
          <rPr>
            <b/>
            <sz val="9"/>
            <color indexed="81"/>
            <rFont val="Tahoma"/>
            <family val="2"/>
          </rPr>
          <t>Tina Jayaweera:</t>
        </r>
        <r>
          <rPr>
            <sz val="9"/>
            <color indexed="81"/>
            <rFont val="Tahoma"/>
            <family val="2"/>
          </rPr>
          <t xml:space="preserve">
2023 std</t>
        </r>
      </text>
    </comment>
    <comment ref="E29" authorId="0" shapeId="0" xr:uid="{00000000-0006-0000-0C00-000003000000}">
      <text>
        <r>
          <rPr>
            <b/>
            <sz val="9"/>
            <color indexed="81"/>
            <rFont val="Tahoma"/>
            <family val="2"/>
          </rPr>
          <t>Tina Jayaweera:</t>
        </r>
        <r>
          <rPr>
            <sz val="9"/>
            <color indexed="81"/>
            <rFont val="Tahoma"/>
            <family val="2"/>
          </rPr>
          <t xml:space="preserve">
2023 std</t>
        </r>
      </text>
    </comment>
    <comment ref="E30" authorId="0" shapeId="0" xr:uid="{00000000-0006-0000-0C00-000004000000}">
      <text>
        <r>
          <rPr>
            <b/>
            <sz val="9"/>
            <color indexed="81"/>
            <rFont val="Tahoma"/>
            <family val="2"/>
          </rPr>
          <t>Tina Jayaweera:</t>
        </r>
        <r>
          <rPr>
            <sz val="9"/>
            <color indexed="81"/>
            <rFont val="Tahoma"/>
            <family val="2"/>
          </rPr>
          <t xml:space="preserve">
2023 std</t>
        </r>
      </text>
    </comment>
    <comment ref="E31" authorId="0" shapeId="0" xr:uid="{00000000-0006-0000-0C00-000005000000}">
      <text>
        <r>
          <rPr>
            <b/>
            <sz val="9"/>
            <color indexed="81"/>
            <rFont val="Tahoma"/>
            <family val="2"/>
          </rPr>
          <t>Tina Jayaweera:</t>
        </r>
        <r>
          <rPr>
            <sz val="9"/>
            <color indexed="81"/>
            <rFont val="Tahoma"/>
            <family val="2"/>
          </rPr>
          <t xml:space="preserve">
2023 std</t>
        </r>
      </text>
    </comment>
    <comment ref="E37" authorId="0" shapeId="0" xr:uid="{00000000-0006-0000-0C00-000008000000}">
      <text>
        <r>
          <rPr>
            <b/>
            <sz val="9"/>
            <color indexed="81"/>
            <rFont val="Tahoma"/>
            <family val="2"/>
          </rPr>
          <t>Tina Jayaweera:</t>
        </r>
        <r>
          <rPr>
            <sz val="9"/>
            <color indexed="81"/>
            <rFont val="Tahoma"/>
            <family val="2"/>
          </rPr>
          <t xml:space="preserve">
2023 std</t>
        </r>
      </text>
    </comment>
    <comment ref="G61" authorId="0" shapeId="0" xr:uid="{00000000-0006-0000-0C00-000009000000}">
      <text>
        <r>
          <rPr>
            <b/>
            <sz val="9"/>
            <color indexed="81"/>
            <rFont val="Tahoma"/>
            <family val="2"/>
          </rPr>
          <t>Tina Jayaweera:</t>
        </r>
        <r>
          <rPr>
            <sz val="9"/>
            <color indexed="81"/>
            <rFont val="Tahoma"/>
            <family val="2"/>
          </rPr>
          <t xml:space="preserve">
On-demand required in new construction</t>
        </r>
      </text>
    </comment>
    <comment ref="D66" authorId="0" shapeId="0" xr:uid="{00000000-0006-0000-0C00-00000A000000}">
      <text>
        <r>
          <rPr>
            <b/>
            <sz val="9"/>
            <color indexed="81"/>
            <rFont val="Tahoma"/>
            <family val="2"/>
          </rPr>
          <t>Tina Jayaweera:</t>
        </r>
        <r>
          <rPr>
            <sz val="9"/>
            <color indexed="81"/>
            <rFont val="Tahoma"/>
            <family val="2"/>
          </rPr>
          <t xml:space="preserve">
fed std is TSL level 3, max tech is level 4
New ENERGY STAR spec v5 finalized 2019</t>
        </r>
      </text>
    </comment>
  </commentList>
</comments>
</file>

<file path=xl/sharedStrings.xml><?xml version="1.0" encoding="utf-8"?>
<sst xmlns="http://schemas.openxmlformats.org/spreadsheetml/2006/main" count="1819" uniqueCount="673">
  <si>
    <t>Enter New Characteristics on the "VARS" tab.</t>
  </si>
  <si>
    <t>FORECAST</t>
  </si>
  <si>
    <t>Descriptive Name</t>
  </si>
  <si>
    <t>Version Date</t>
  </si>
  <si>
    <t>Contents</t>
  </si>
  <si>
    <t>Overview</t>
  </si>
  <si>
    <t>Characteristics</t>
  </si>
  <si>
    <t>Primary Activity</t>
  </si>
  <si>
    <t>Gross Floor Area</t>
  </si>
  <si>
    <t>Number of Stories</t>
  </si>
  <si>
    <t>&gt; 100,000</t>
  </si>
  <si>
    <t>Any</t>
  </si>
  <si>
    <t>20,000 to 100,000</t>
  </si>
  <si>
    <t>&lt; 20,000</t>
  </si>
  <si>
    <t>&gt; 50,000</t>
  </si>
  <si>
    <t>&lt;50,000</t>
  </si>
  <si>
    <t>&gt;1</t>
  </si>
  <si>
    <t>Retail Food</t>
  </si>
  <si>
    <t>&gt; 5000</t>
  </si>
  <si>
    <t>&lt;= 5000</t>
  </si>
  <si>
    <t>Health Care</t>
  </si>
  <si>
    <t>Data Source</t>
  </si>
  <si>
    <t>ACHIEV</t>
  </si>
  <si>
    <t>Fraction of Applicable Measure Available by Year</t>
  </si>
  <si>
    <t>Natural Replacement (NR) Rate, Fraction of Applicable Measure-Specific Equipment in Existing Stock that is Replaced Annually, making the measure applicable at incremental costs and savings similar to New applications.</t>
  </si>
  <si>
    <t>Non-Building Stock</t>
  </si>
  <si>
    <t>Source</t>
  </si>
  <si>
    <t>MLIST</t>
  </si>
  <si>
    <t>MEAS ID</t>
  </si>
  <si>
    <t>FILES</t>
  </si>
  <si>
    <t>M BUNDLE ID</t>
  </si>
  <si>
    <t>This column linked to Attributes Sheets</t>
  </si>
  <si>
    <t>Master Measure List, Bundled Measures</t>
  </si>
  <si>
    <t>Achievable rate of acquisition for measure bundles by year</t>
  </si>
  <si>
    <t>Measure Bundle Description</t>
  </si>
  <si>
    <t>Number of Measures in Bundle</t>
  </si>
  <si>
    <t>Lookup Value</t>
  </si>
  <si>
    <t>Status</t>
  </si>
  <si>
    <t>Row</t>
  </si>
  <si>
    <t>New</t>
  </si>
  <si>
    <t>NR</t>
  </si>
  <si>
    <t>Retro</t>
  </si>
  <si>
    <t>HVAC</t>
  </si>
  <si>
    <t>End Use</t>
  </si>
  <si>
    <t>VCohort</t>
  </si>
  <si>
    <t>Office</t>
  </si>
  <si>
    <t>Big Box</t>
  </si>
  <si>
    <t>Small Box</t>
  </si>
  <si>
    <t>High End</t>
  </si>
  <si>
    <t>Anchor</t>
  </si>
  <si>
    <t>Retail</t>
  </si>
  <si>
    <t>School</t>
  </si>
  <si>
    <t>K-12</t>
  </si>
  <si>
    <t>Warehouse</t>
  </si>
  <si>
    <t>Grocery</t>
  </si>
  <si>
    <t>Restaurant</t>
  </si>
  <si>
    <t>Lodging</t>
  </si>
  <si>
    <t>Hospital</t>
  </si>
  <si>
    <t>OtherHealth</t>
  </si>
  <si>
    <t>MIniMart</t>
  </si>
  <si>
    <t>Other</t>
  </si>
  <si>
    <t>University</t>
  </si>
  <si>
    <t>Large Off</t>
  </si>
  <si>
    <t>Medium Off</t>
  </si>
  <si>
    <t>Small Off</t>
  </si>
  <si>
    <t>Supermarket</t>
  </si>
  <si>
    <t>BLDGTYPE</t>
  </si>
  <si>
    <t>Base Measure Name</t>
  </si>
  <si>
    <t>Measure Index Name</t>
  </si>
  <si>
    <t>Variable Name</t>
  </si>
  <si>
    <t>VARS</t>
  </si>
  <si>
    <t>Definition</t>
  </si>
  <si>
    <t>Ecotope Building Type</t>
  </si>
  <si>
    <t>NPPC BUILDTYPE</t>
  </si>
  <si>
    <t>NPPC to Ecotope</t>
  </si>
  <si>
    <t>NPPC Ten</t>
  </si>
  <si>
    <t>Assembly</t>
  </si>
  <si>
    <t>College</t>
  </si>
  <si>
    <t>Workshop</t>
  </si>
  <si>
    <t>Skilled Nursing</t>
  </si>
  <si>
    <t>APPLIC</t>
  </si>
  <si>
    <t>BASE</t>
  </si>
  <si>
    <t>Map to Supporting Files</t>
  </si>
  <si>
    <t>STOCK</t>
  </si>
  <si>
    <t>TURN</t>
  </si>
  <si>
    <t>Variable Names used in Characteristics data</t>
  </si>
  <si>
    <t>Labels</t>
  </si>
  <si>
    <t>Map to building occupancy codes for various sources</t>
  </si>
  <si>
    <t>Sheet Name</t>
  </si>
  <si>
    <t>Turnover rate for stock to which measure applies.</t>
  </si>
  <si>
    <t>Master List of measure bundles</t>
  </si>
  <si>
    <t>Overview of model structure</t>
  </si>
  <si>
    <t>Report Year</t>
  </si>
  <si>
    <t>Ramp</t>
  </si>
  <si>
    <t>Forecast File</t>
  </si>
  <si>
    <t xml:space="preserve">Update Log:  Log for updates to Draft 6th Plan Assessment </t>
  </si>
  <si>
    <t>Update Log</t>
  </si>
  <si>
    <t>List of variables and definitions used in the CHAR tab and elsewhere in the files.</t>
  </si>
  <si>
    <t>Vintage cohort for measure bundles.</t>
  </si>
  <si>
    <t>Baseline penetration of measure bundles.  Estimated fraction of stock where the measure is already in place.</t>
  </si>
  <si>
    <t>Applicability factor for the measure bundle.  Fraction of stock the measure applies to.</t>
  </si>
  <si>
    <t>List and links to measure-level files. Plus housekeeping and administrative functions.</t>
  </si>
  <si>
    <t>ComMaster Version</t>
  </si>
  <si>
    <t>Lighting</t>
  </si>
  <si>
    <t>Refrigeration</t>
  </si>
  <si>
    <t>Freezer</t>
  </si>
  <si>
    <t>Cooking</t>
  </si>
  <si>
    <t>Advanced Power Strips</t>
  </si>
  <si>
    <t>Behavior</t>
  </si>
  <si>
    <t>WH Pipe insulation</t>
  </si>
  <si>
    <t>Single Family</t>
  </si>
  <si>
    <t>Multifamily - Low Rise</t>
  </si>
  <si>
    <t>Multifamily - High Rise</t>
  </si>
  <si>
    <t>Manufactured</t>
  </si>
  <si>
    <t>Electric FAF - HZ1CZ1</t>
  </si>
  <si>
    <t>Electric FAF - HZ1</t>
  </si>
  <si>
    <t>Electric FAF w/ CAC - HZ1CZ1</t>
  </si>
  <si>
    <t>Heat Pump - HZ1CZ1</t>
  </si>
  <si>
    <t>Electric Zonal - HZ1CZ1</t>
  </si>
  <si>
    <t>Electric Zonal - HZ1</t>
  </si>
  <si>
    <t>Central AC - CZ1</t>
  </si>
  <si>
    <t>Room A/C - CZ1</t>
  </si>
  <si>
    <t>Refrigerator</t>
  </si>
  <si>
    <t>Dishwasher</t>
  </si>
  <si>
    <t>Microwave</t>
  </si>
  <si>
    <t>Electric Oven</t>
  </si>
  <si>
    <t>Set top box</t>
  </si>
  <si>
    <t>Computer</t>
  </si>
  <si>
    <t>Monitor</t>
  </si>
  <si>
    <t>Lighting Controls</t>
  </si>
  <si>
    <t>Vars</t>
  </si>
  <si>
    <t>Baseline Measure Life</t>
  </si>
  <si>
    <t>EE Measure Life</t>
  </si>
  <si>
    <t>Current Saturation of Measure</t>
  </si>
  <si>
    <t>forced air furnace saturation in heating zone 1 cooling zone 1</t>
  </si>
  <si>
    <t>Fraction of units where measure is technically feasible</t>
  </si>
  <si>
    <t>Product of Feasibility &amp; (1-Baseline Saturation)</t>
  </si>
  <si>
    <t>Measure Saturations by Buiding Type</t>
  </si>
  <si>
    <t>ResWx</t>
  </si>
  <si>
    <t>HomeSqft</t>
  </si>
  <si>
    <t>Aerator</t>
  </si>
  <si>
    <t>Measure Details</t>
  </si>
  <si>
    <t>Segment</t>
  </si>
  <si>
    <t>Baseline</t>
  </si>
  <si>
    <t>Water Heating</t>
  </si>
  <si>
    <t>Oven</t>
  </si>
  <si>
    <t>Zonal</t>
  </si>
  <si>
    <t>Electric FAF</t>
  </si>
  <si>
    <t>Attic Insulation</t>
  </si>
  <si>
    <t>Wall Insulation</t>
  </si>
  <si>
    <t xml:space="preserve">Floor Insulation </t>
  </si>
  <si>
    <t>Windows</t>
  </si>
  <si>
    <t>Infiltration</t>
  </si>
  <si>
    <t>Aerators</t>
  </si>
  <si>
    <t>1.5 GPM</t>
  </si>
  <si>
    <t>Efficient Oven</t>
  </si>
  <si>
    <t>Fed Std 2012</t>
  </si>
  <si>
    <t>Fed Std 2016</t>
  </si>
  <si>
    <t>Efficient Microwave</t>
  </si>
  <si>
    <t>Single/Double Pane</t>
  </si>
  <si>
    <t>High leakage</t>
  </si>
  <si>
    <t>Code-avg</t>
  </si>
  <si>
    <t>Leaky ducts</t>
  </si>
  <si>
    <t>Heat pump dryer</t>
  </si>
  <si>
    <t>ENERGY STAR fridge</t>
  </si>
  <si>
    <t>Fed Std 2014</t>
  </si>
  <si>
    <t>ENERGY STAR freezer</t>
  </si>
  <si>
    <t>ENERGY STAR Monitor</t>
  </si>
  <si>
    <t>Std Monitor</t>
  </si>
  <si>
    <t>ENERGY STAR Computer</t>
  </si>
  <si>
    <t>Std Computer</t>
  </si>
  <si>
    <t>R4 insulation</t>
  </si>
  <si>
    <t>Low/No insulation</t>
  </si>
  <si>
    <t>Vintage</t>
  </si>
  <si>
    <t>PTCS-level sealing</t>
  </si>
  <si>
    <t>SF</t>
  </si>
  <si>
    <t>DHP 9.5 HSPF</t>
  </si>
  <si>
    <t>Electric FAF - HZ1CZ23</t>
  </si>
  <si>
    <t>Electric FAF - HZ23CZ1</t>
  </si>
  <si>
    <t>Electric FAF - HZ23CZ23</t>
  </si>
  <si>
    <t>Electric FAF - HZ23</t>
  </si>
  <si>
    <t>Electric FAF w/ CAC - HZ1CZ23</t>
  </si>
  <si>
    <t>Electric FAF w/ CAC - HZ23CZ1</t>
  </si>
  <si>
    <t>Electric FAF w/ CAC - HZ23CZ23</t>
  </si>
  <si>
    <t>Heat Pump - HZ1CZ23</t>
  </si>
  <si>
    <t>Heat Pump - HZ23CZ1</t>
  </si>
  <si>
    <t>Heat Pump - HZ23CZ23</t>
  </si>
  <si>
    <t>Electric Zonal - HZ1CZ23</t>
  </si>
  <si>
    <t>Electric Zonal - HZ23CZ1</t>
  </si>
  <si>
    <t>Electric Zonal - HZ23CZ23</t>
  </si>
  <si>
    <t>Electric Zonal - HZ23</t>
  </si>
  <si>
    <t>Central AC - CZ23</t>
  </si>
  <si>
    <t>Room A/C - CZ23</t>
  </si>
  <si>
    <t>Heat Pump - HZ1</t>
  </si>
  <si>
    <t>Heat Pump - HZ23</t>
  </si>
  <si>
    <t>Electric FAF - Region</t>
  </si>
  <si>
    <t>Heat Pump - Region</t>
  </si>
  <si>
    <t>Electric Zonal - Region</t>
  </si>
  <si>
    <t>DHP - HZ1CZ1</t>
  </si>
  <si>
    <t>DHP - HZ1CZ23</t>
  </si>
  <si>
    <t>DHP - HZ23CZ1</t>
  </si>
  <si>
    <t>DHP - HZ23CZ23</t>
  </si>
  <si>
    <t>DHP - HZ1</t>
  </si>
  <si>
    <t>DHP - HZ23</t>
  </si>
  <si>
    <t>DHP - Region</t>
  </si>
  <si>
    <t xml:space="preserve">DHW &lt;55 </t>
  </si>
  <si>
    <t>DHW &gt;55</t>
  </si>
  <si>
    <t>NEW</t>
  </si>
  <si>
    <t>Cost Source</t>
  </si>
  <si>
    <t>Cost Notes</t>
  </si>
  <si>
    <t>ER space heat/0.95 EF WH</t>
  </si>
  <si>
    <t>PSC motor</t>
  </si>
  <si>
    <t>x</t>
  </si>
  <si>
    <t>Electric WH</t>
  </si>
  <si>
    <t>SF,MF</t>
  </si>
  <si>
    <t>REGION</t>
  </si>
  <si>
    <t>% of region</t>
  </si>
  <si>
    <t>Category Name</t>
  </si>
  <si>
    <t>HVAC System</t>
  </si>
  <si>
    <t>Envelope</t>
  </si>
  <si>
    <t>Electronics</t>
  </si>
  <si>
    <t>Lamps/Fixtures</t>
  </si>
  <si>
    <t>Food Preparation</t>
  </si>
  <si>
    <t>Water Using Devices</t>
  </si>
  <si>
    <t>Plug Load</t>
  </si>
  <si>
    <t>Freezers</t>
  </si>
  <si>
    <t>Refrigerators</t>
  </si>
  <si>
    <t>Water Heaters</t>
  </si>
  <si>
    <t>Heat Recovery</t>
  </si>
  <si>
    <t>Pipe Insulation</t>
  </si>
  <si>
    <t>Whole Bldg/Meter Level</t>
  </si>
  <si>
    <t>Whole Bldg/Meter Level System Improvements</t>
  </si>
  <si>
    <t>Computer Technologies</t>
  </si>
  <si>
    <t>HVAC System/Water Heaters</t>
  </si>
  <si>
    <t>Dryers</t>
  </si>
  <si>
    <t>HVAC System Controls</t>
  </si>
  <si>
    <t>Power Strips</t>
  </si>
  <si>
    <t>Insulation</t>
  </si>
  <si>
    <t>Display</t>
  </si>
  <si>
    <t>Desktop Computer</t>
  </si>
  <si>
    <t>Clothes Dryer</t>
  </si>
  <si>
    <t>Heat Recovery Improvements</t>
  </si>
  <si>
    <t>Variable Speed Heat Pumps</t>
  </si>
  <si>
    <t>Air Source Heat Pump</t>
  </si>
  <si>
    <t>Ductless Heat Pump</t>
  </si>
  <si>
    <t>Duct Sealing</t>
  </si>
  <si>
    <t>Thermostats</t>
  </si>
  <si>
    <t>Lamps</t>
  </si>
  <si>
    <t>Drain Water Heat Recovery</t>
  </si>
  <si>
    <t>Heat Pump Water Heaters</t>
  </si>
  <si>
    <t>Dishwashers</t>
  </si>
  <si>
    <t>Clothes Washers</t>
  </si>
  <si>
    <t>Showerheads</t>
  </si>
  <si>
    <t>Behavioral</t>
  </si>
  <si>
    <t>Whole House Fan</t>
  </si>
  <si>
    <t>Furnace Fan</t>
  </si>
  <si>
    <t>No Heat Recovery</t>
  </si>
  <si>
    <t>Heat recovery unit</t>
  </si>
  <si>
    <t>1.0 GPM</t>
  </si>
  <si>
    <t>Home Energy Reports</t>
  </si>
  <si>
    <t>No Report</t>
  </si>
  <si>
    <t>ENERGY STAR Dishwasher</t>
  </si>
  <si>
    <t>ENERGY STAR Clothes Washer</t>
  </si>
  <si>
    <t>0.95 EF WH</t>
  </si>
  <si>
    <t>Standard Outlet</t>
  </si>
  <si>
    <t>No Insulation</t>
  </si>
  <si>
    <t>No Fan</t>
  </si>
  <si>
    <t>Natural Ventilation</t>
  </si>
  <si>
    <t>Standard Dryer</t>
  </si>
  <si>
    <t>Measure Name</t>
  </si>
  <si>
    <t>HVAC/Water Heating</t>
  </si>
  <si>
    <t>All</t>
  </si>
  <si>
    <t>Existing</t>
  </si>
  <si>
    <t>Desktop</t>
  </si>
  <si>
    <t>Laptop</t>
  </si>
  <si>
    <t>Electric Vehicle Supply Equipment</t>
  </si>
  <si>
    <t>Controls Commissioning &amp; Sizing</t>
  </si>
  <si>
    <t>Commissioning Controls Sizing</t>
  </si>
  <si>
    <t>DHP</t>
  </si>
  <si>
    <t>HPWH</t>
  </si>
  <si>
    <t>DHP Ducted</t>
  </si>
  <si>
    <t>Retro12Med</t>
  </si>
  <si>
    <t>Retro50Fast</t>
  </si>
  <si>
    <t>Retro20Fast</t>
  </si>
  <si>
    <t>RetroEven20</t>
  </si>
  <si>
    <t>LO12Med</t>
  </si>
  <si>
    <t>LO50Fast</t>
  </si>
  <si>
    <t>LO20Fast</t>
  </si>
  <si>
    <t>LOEven20</t>
  </si>
  <si>
    <t>LO3Slow</t>
  </si>
  <si>
    <t>Retro3Slow</t>
  </si>
  <si>
    <t>Retro5Med</t>
  </si>
  <si>
    <t>LO5Med</t>
  </si>
  <si>
    <t>LO1Slow</t>
  </si>
  <si>
    <t>Retro1Slow</t>
  </si>
  <si>
    <t>EndUse_Name</t>
  </si>
  <si>
    <t>Category_Name</t>
  </si>
  <si>
    <t>Network Computer Power Management</t>
  </si>
  <si>
    <t>Entertainment</t>
  </si>
  <si>
    <t>Set Top Boxes</t>
  </si>
  <si>
    <t>Televisions</t>
  </si>
  <si>
    <t xml:space="preserve">Plug Load </t>
  </si>
  <si>
    <t>Bi-Radient Oven</t>
  </si>
  <si>
    <t>Air Sealing</t>
  </si>
  <si>
    <t>Air Conditioners</t>
  </si>
  <si>
    <t>Air-Source Heat Pumps w/Duct Sealing</t>
  </si>
  <si>
    <t>Air-Source Heat Pumps w/o Duct Sealing</t>
  </si>
  <si>
    <t>Ductless Heat Pumps</t>
  </si>
  <si>
    <t>HVAC system</t>
  </si>
  <si>
    <t>Ground-source Heat Pump</t>
  </si>
  <si>
    <t>Ground-Source Heat Pumps w/ Duct Sealing</t>
  </si>
  <si>
    <t>Ground-Source Heat Pumps w/o Duct Sealing</t>
  </si>
  <si>
    <t>Interactive HVAC System Improvements</t>
  </si>
  <si>
    <t>Sealing and Commissioning</t>
  </si>
  <si>
    <t>Sealing Commissioning and Controls</t>
  </si>
  <si>
    <t>Variable Speed Heat Pumps w/o Duct Sealing</t>
  </si>
  <si>
    <t>Fixtures</t>
  </si>
  <si>
    <t>Freezer Decommissioning</t>
  </si>
  <si>
    <t>Refrigerator Decommissioning</t>
  </si>
  <si>
    <t>Water Heat Recovery</t>
  </si>
  <si>
    <t>Homes</t>
  </si>
  <si>
    <t>Built Green Home</t>
  </si>
  <si>
    <t>EcoRated Home</t>
  </si>
  <si>
    <t>Energy Star Home</t>
  </si>
  <si>
    <t>Montana House</t>
  </si>
  <si>
    <t>NEEM Certified Home</t>
  </si>
  <si>
    <t>Unique</t>
  </si>
  <si>
    <t>Dryer</t>
  </si>
  <si>
    <t>Water heating</t>
  </si>
  <si>
    <t>GSHP</t>
  </si>
  <si>
    <t>WasteWater Heat Recovery</t>
  </si>
  <si>
    <t>EV Supply Equip</t>
  </si>
  <si>
    <t>Clothes Washer</t>
  </si>
  <si>
    <t>forced air furnace saturation in heating zone 1 cooling zone 2&amp;3</t>
  </si>
  <si>
    <t>forced air furnace saturation in heating zone 2&amp;3 cooling zone 1</t>
  </si>
  <si>
    <t>forced air furnace saturation in heating zone 2&amp;3 cooling zone 2&amp;3</t>
  </si>
  <si>
    <t>forced air furnace saturation in heating zone 1</t>
  </si>
  <si>
    <t>forced air furnace saturation in heating zone 2&amp;3</t>
  </si>
  <si>
    <t>forced air furnace saturation across region</t>
  </si>
  <si>
    <t>forced air furnace saturation w/CAC in heating zone 1 cooling zone 1</t>
  </si>
  <si>
    <t>forced air furnace saturation w/CAC in heating zone 1 cooling zone 2&amp;3</t>
  </si>
  <si>
    <t>forced air furnace saturation w/CAC in heating zone 2&amp;3 cooling zone 1</t>
  </si>
  <si>
    <t>forced air furnace saturation w/CAC in heating zone 2&amp;3 cooling zone 2&amp;3</t>
  </si>
  <si>
    <t>air source heat pump saturation in heating zone 1 cooling zone 1</t>
  </si>
  <si>
    <t>air source heat pump saturation in heating zone 1 cooling zone 2&amp;3</t>
  </si>
  <si>
    <t>air source heat pump saturation in heating zone 2&amp;3 cooling zone 1</t>
  </si>
  <si>
    <t>air source heat pump saturation in heating zone 2&amp;3 cooling zone 2&amp;3</t>
  </si>
  <si>
    <t>air source heat pump saturation in heating zone 1</t>
  </si>
  <si>
    <t>air source heat pump saturation in heating zone 2&amp;3</t>
  </si>
  <si>
    <t>air source heat pump saturation across region</t>
  </si>
  <si>
    <t>ductless heat pump saturation in heating zone 1 cooling zone 1</t>
  </si>
  <si>
    <t>ductless heat pump saturation in heating zone 1 cooling zone 2&amp;3</t>
  </si>
  <si>
    <t>ductless heat pump saturation in heating zone 2&amp;3 cooling zone 1</t>
  </si>
  <si>
    <t>ductless heat pump saturation in heating zone 2&amp;3 cooling zone 2&amp;3</t>
  </si>
  <si>
    <t>ductless heat pump saturation in heating zone 1</t>
  </si>
  <si>
    <t>ductless heat pump saturation in heating zone 2&amp;3</t>
  </si>
  <si>
    <t>ductless heat pump saturation across region</t>
  </si>
  <si>
    <t>central air conditioner saturation in cooling zone 1</t>
  </si>
  <si>
    <t>central air conditioner saturation in cooling zone 2&amp;3</t>
  </si>
  <si>
    <t>room air conditioner saturation in cooling zone 1</t>
  </si>
  <si>
    <t>room air conditioner saturation in cooling zone 2&amp;3</t>
  </si>
  <si>
    <t>Electric water heater saturation in region</t>
  </si>
  <si>
    <t>Average square feet of attic</t>
  </si>
  <si>
    <t>Average square feet of walls</t>
  </si>
  <si>
    <t>Average square feet of floors</t>
  </si>
  <si>
    <t>Average square feet of windows</t>
  </si>
  <si>
    <t>Averagetotal square feet of homes</t>
  </si>
  <si>
    <t>Number of bulbs per house</t>
  </si>
  <si>
    <t>Heat Recovery Ventilation</t>
  </si>
  <si>
    <t>SATS</t>
  </si>
  <si>
    <t>Measure saturations by building type</t>
  </si>
  <si>
    <t>Laptop Computer</t>
  </si>
  <si>
    <t>Imaging technologies</t>
  </si>
  <si>
    <t>Soundbars</t>
  </si>
  <si>
    <t>Blu-ray/DVD player</t>
  </si>
  <si>
    <t>TVs</t>
  </si>
  <si>
    <t>Storm/thermal door</t>
  </si>
  <si>
    <t>Energy/Heat Recovery Improvements</t>
  </si>
  <si>
    <t>Variable Speed Heat Pumps - Dual Fuel</t>
  </si>
  <si>
    <t>Air Source Heat Pump - Dual Fuel</t>
  </si>
  <si>
    <t>Ground-Source Heat Pump</t>
  </si>
  <si>
    <t>CC&amp;S</t>
  </si>
  <si>
    <t>High Eff Ceiling Fan</t>
  </si>
  <si>
    <t>CO2 heat pump combo</t>
  </si>
  <si>
    <t>Lighting controls</t>
  </si>
  <si>
    <t>TSRV</t>
  </si>
  <si>
    <t>Circulator pumps</t>
  </si>
  <si>
    <t>Portable spa</t>
  </si>
  <si>
    <t>Air cleaners</t>
  </si>
  <si>
    <t>Dehumidifier</t>
  </si>
  <si>
    <t>Smart tstats</t>
  </si>
  <si>
    <t>CAC</t>
  </si>
  <si>
    <t>UHD TV</t>
  </si>
  <si>
    <t>New from 7P?</t>
  </si>
  <si>
    <t>UES Measure?</t>
  </si>
  <si>
    <t>Pending Standard?</t>
  </si>
  <si>
    <t>RBSA Inform?</t>
  </si>
  <si>
    <t>Uses SEEM?</t>
  </si>
  <si>
    <t>ET?</t>
  </si>
  <si>
    <t>Notes</t>
  </si>
  <si>
    <t>Std due 2019</t>
  </si>
  <si>
    <t>ENERGY STAR printer/scanner/copier</t>
  </si>
  <si>
    <t>std printer/scanner/copier</t>
  </si>
  <si>
    <t>Home Entertainment</t>
  </si>
  <si>
    <t>ENERGY STAR+ sound bars</t>
  </si>
  <si>
    <t>market avg</t>
  </si>
  <si>
    <t>RPP can inform, new ES spec 19/20 so may be useful</t>
  </si>
  <si>
    <t>ENERGY STAR blu-ray/DVD</t>
  </si>
  <si>
    <t>ENERGY STAR+20% UHD TV</t>
  </si>
  <si>
    <t>Coordinate w NEEA</t>
  </si>
  <si>
    <t>Std due 2017</t>
  </si>
  <si>
    <t>Wall Sheathing</t>
  </si>
  <si>
    <t>feasibility to not overlap w/ insulation</t>
  </si>
  <si>
    <t>Windows U&lt;0.35</t>
  </si>
  <si>
    <t>Low-E Storm windows</t>
  </si>
  <si>
    <t>Low R door</t>
  </si>
  <si>
    <t>?</t>
  </si>
  <si>
    <t>maybe just for MT &amp; ID</t>
  </si>
  <si>
    <t>ERV/HRV</t>
  </si>
  <si>
    <t>Duct insulation</t>
  </si>
  <si>
    <t>VS ASHP 12.0 HSPF/18 SEER</t>
  </si>
  <si>
    <t>8.8HSPF/15SEER (or std practice)</t>
  </si>
  <si>
    <t>ASHP 8.8 HSPF/15 SEER</t>
  </si>
  <si>
    <t>SF,MH</t>
  </si>
  <si>
    <t>GSHP w/ and w/o desuperheater</t>
  </si>
  <si>
    <t>2011RBSA</t>
  </si>
  <si>
    <t>ECM motor</t>
  </si>
  <si>
    <t>Initial scanning work is that it is difficult to quantify savings and not likely cost effective</t>
  </si>
  <si>
    <t>No CCS</t>
  </si>
  <si>
    <t>Ceiling fan w brushless DC motors</t>
  </si>
  <si>
    <t>Fed Std 2020</t>
  </si>
  <si>
    <t>DOE TSD, max tech is measure, standard is one step below</t>
  </si>
  <si>
    <t>Smart Thermostat</t>
  </si>
  <si>
    <t>Standard thermostat (std practice)</t>
  </si>
  <si>
    <t>radiative floor heat + HPWH</t>
  </si>
  <si>
    <t>LED Standard</t>
  </si>
  <si>
    <t>LED Specialty</t>
  </si>
  <si>
    <t>Linear LED</t>
  </si>
  <si>
    <t>current practice</t>
  </si>
  <si>
    <t>LED fixtures</t>
  </si>
  <si>
    <t>Occupancy sensor</t>
  </si>
  <si>
    <t>Likely hard to quantify HOU difference, as LMI to LEDs, savings likely pretty small</t>
  </si>
  <si>
    <t>Hard to quantify savings</t>
  </si>
  <si>
    <t>HPWH Tier 2+</t>
  </si>
  <si>
    <t>Std due 2018</t>
  </si>
  <si>
    <t>Fed Std 2013 or CP</t>
  </si>
  <si>
    <t>Fed Std 2018 or CP</t>
  </si>
  <si>
    <t>stock avg</t>
  </si>
  <si>
    <t>no TSRV</t>
  </si>
  <si>
    <t>Water Control</t>
  </si>
  <si>
    <t>Pump with controls</t>
  </si>
  <si>
    <t>No controls</t>
  </si>
  <si>
    <t>MF</t>
  </si>
  <si>
    <t>in part</t>
  </si>
  <si>
    <t>Incl shower timer as part of mix?</t>
  </si>
  <si>
    <t>y</t>
  </si>
  <si>
    <t>Misc</t>
  </si>
  <si>
    <t>Efficient portable spa (mtng CA stand?)</t>
  </si>
  <si>
    <t>Std Spa</t>
  </si>
  <si>
    <t>ENERGY STAR +</t>
  </si>
  <si>
    <t>Part of NEEA RPP, likely low potential. New ES spec due 2019</t>
  </si>
  <si>
    <t>Max tech from DOE TSD (supporting 2019 fed std)</t>
  </si>
  <si>
    <t>2019 fed std or CP</t>
  </si>
  <si>
    <t>Low saturation from RBSA, so likely low potential</t>
  </si>
  <si>
    <t>RBSA does not provide data on portable vs in-ground spas</t>
  </si>
  <si>
    <t xml:space="preserve">Update Log:  Log for updates to Draft 2021Plan Assessment </t>
  </si>
  <si>
    <t>updated from 7P version, refreshing MList</t>
  </si>
  <si>
    <t>Assumption</t>
  </si>
  <si>
    <t>Assumption, fewer than new as some faucets can't be retrofitted</t>
  </si>
  <si>
    <t>Savings are based on current average flow</t>
  </si>
  <si>
    <t>Exluding WA from potential due to new standard, so baseline is % of homes in WA</t>
  </si>
  <si>
    <t>sales avg</t>
  </si>
  <si>
    <t>from DOE TSD</t>
  </si>
  <si>
    <t>All Cohorts RBSA 2016</t>
  </si>
  <si>
    <t>No new spec since 2014 and 2017 Unit Shipment Data indicates 99% of units are ES qualified</t>
  </si>
  <si>
    <t>Assumption that few showerheads have these installed</t>
  </si>
  <si>
    <t>v1 complete, except for need new units forecast. No sales data available, using CEC for sales mix proxy</t>
  </si>
  <si>
    <t>Federal standard coming into effect in 2020</t>
  </si>
  <si>
    <t>Inputted RTF v3_1 data, need updated units forecast</t>
  </si>
  <si>
    <t>Updated to RTF workbook v4_2, need new units data</t>
  </si>
  <si>
    <t>WA standard follows CA - may not have ENERGY STAR savings</t>
  </si>
  <si>
    <t>Std due 2021</t>
  </si>
  <si>
    <t>not sure on savings, market is diminishing</t>
  </si>
  <si>
    <t xml:space="preserve">RBSA II </t>
  </si>
  <si>
    <t>Paper 9-270 Out of Control: Barriers to Smart Power Strip Implementation from http://aceee.org/files/proceedings/2010/start.htm</t>
  </si>
  <si>
    <t>Unable to find any efficient microwaves through websearch</t>
  </si>
  <si>
    <t>assumption, no known constraint</t>
  </si>
  <si>
    <t>Based on 2015 RECS as RBSA did not collect</t>
  </si>
  <si>
    <t>V1 basically ready, need to update units</t>
  </si>
  <si>
    <t>DOE TSD</t>
  </si>
  <si>
    <t xml:space="preserve">New furnaces require ECM part of 2019 std. Can't easily retrofit </t>
  </si>
  <si>
    <t>Savings reflect current market share</t>
  </si>
  <si>
    <t>Assumption, no known constraints</t>
  </si>
  <si>
    <t>MF represents in-unit only (product of % in-unit and % electric). Midrise is 27.5% of MF, high-rise is 4.3% of MF units</t>
  </si>
  <si>
    <t>Electric water heater inside conditioned space</t>
  </si>
  <si>
    <t>Electric water heater in buffered space (basement or garage)</t>
  </si>
  <si>
    <t>DHW buffer</t>
  </si>
  <si>
    <t>DHW inside</t>
  </si>
  <si>
    <t>From RBSA (Mechanical_WaterHeater), counting "unknown" as buffer</t>
  </si>
  <si>
    <t>Savings are based on current market</t>
  </si>
  <si>
    <t>Savings based on current practice baseline (NEEA market data)</t>
  </si>
  <si>
    <t>MF represent in-unit + common area (from RBSA I, about 0.06 washers per MF unit)</t>
  </si>
  <si>
    <t>Assumption, no known constraint. In fact, ventless options would likely work better in MF</t>
  </si>
  <si>
    <t>no constraint</t>
  </si>
  <si>
    <t>Inputted RTF v4.2, need updated units</t>
  </si>
  <si>
    <t>Inputted RTF v3.1, simplified tiers, need to update units</t>
  </si>
  <si>
    <t>Inputted RTF v6.1, updated to 2018 NEEA market data; need updated units</t>
  </si>
  <si>
    <t>V1 complete, except for need new units forecast.</t>
  </si>
  <si>
    <t>WA standard follows CA - puts baseline at ENERGY STAR 6.0. Need to compare 8.0 (eff 2020) to 6.0</t>
  </si>
  <si>
    <t>Assumption, minimum constraints</t>
  </si>
  <si>
    <t>Assumption, minimum constraints. Note MF-high rise only includes in-unit WH</t>
  </si>
  <si>
    <t>MAX</t>
  </si>
  <si>
    <t>MAX options</t>
  </si>
  <si>
    <t>v1 complete, except for units</t>
  </si>
  <si>
    <t>Little data, but low saturation likely</t>
  </si>
  <si>
    <t>Data not in RBSA to indicate presense of fans (do have some indication for light bulbs, but not comprehensive)</t>
  </si>
  <si>
    <t>RBSA II</t>
  </si>
  <si>
    <t>Using same as existing</t>
  </si>
  <si>
    <t>Assumption, with new homes, likely fewer constraints than retrofit applications</t>
  </si>
  <si>
    <t>Assumption, likely can't install in all houses and not MF. No data on constraints</t>
  </si>
  <si>
    <t>Market is diminishing - long term potential minimal</t>
  </si>
  <si>
    <t>Well Pump</t>
  </si>
  <si>
    <t>Well pumps</t>
  </si>
  <si>
    <t>Using RBSA data, VSD as proxy. Didn't break out SF &amp; MH due to small sample size and large # of unknown</t>
  </si>
  <si>
    <t>High efficiency</t>
  </si>
  <si>
    <t>Avg efficiency</t>
  </si>
  <si>
    <t>V1 complete, a lot of unknowns</t>
  </si>
  <si>
    <t>Most pumps are in MF, so delegating to Commercial</t>
  </si>
  <si>
    <t>Updated ES spec is not expected until mid-2020, at earliest, so likely not available in time for supply curves</t>
  </si>
  <si>
    <t>No longer supported by RPP, so will drop given low saturation (~2% of homes from RBSA)</t>
  </si>
  <si>
    <t>Interpreting ENERGY STAR claims</t>
  </si>
  <si>
    <t>Linear</t>
  </si>
  <si>
    <t>Assumption, LEDs available in nearly all configurations</t>
  </si>
  <si>
    <t>Assumption, LED available in nearly all configurations</t>
  </si>
  <si>
    <t>New ENERGY STAR spec in effect 7/2020, so likely penetration is low</t>
  </si>
  <si>
    <t>ENERGY STAR 2018 unit shipment data</t>
  </si>
  <si>
    <t>Framework complete from Cadmus. WA state standard about on par with current market practice</t>
  </si>
  <si>
    <t>NEEA assumption</t>
  </si>
  <si>
    <t>NEEA consumer product data as ESv7+20% at 12% in 2018</t>
  </si>
  <si>
    <t>early version ready, need updated consumption data from NEEA</t>
  </si>
  <si>
    <t>Inputted RTF v1_1 data, and EV growth projections</t>
  </si>
  <si>
    <t>All states require some level of WH pipe insulation in code</t>
  </si>
  <si>
    <t>Accounting for recent accomplishments since RBSA II</t>
  </si>
  <si>
    <t>NEED TO UPDATE BASED ON RBSA</t>
  </si>
  <si>
    <t>Wall</t>
  </si>
  <si>
    <t>Attic</t>
  </si>
  <si>
    <t>Floor</t>
  </si>
  <si>
    <t>Window</t>
  </si>
  <si>
    <t>Home</t>
  </si>
  <si>
    <t>sqft</t>
  </si>
  <si>
    <t>Duct</t>
  </si>
  <si>
    <t>Length of ducts in  home</t>
  </si>
  <si>
    <t>Floor - R0 to R22</t>
  </si>
  <si>
    <t>Completes with Faf-ASHP option, allocation based on best guess</t>
  </si>
  <si>
    <t>Incorporated RTF wkbk, need to decide on share w/ zonal</t>
  </si>
  <si>
    <t>Completes with Faf-DHP option, allocation based on best guess</t>
  </si>
  <si>
    <t>Cellular Shades</t>
  </si>
  <si>
    <t>Ready for review</t>
  </si>
  <si>
    <t>Incorporated Cadmus work into workbook</t>
  </si>
  <si>
    <t>Baseline saturation captured in measure workbook</t>
  </si>
  <si>
    <t>ASHP Upgrade</t>
  </si>
  <si>
    <t>ASHP Conversion</t>
  </si>
  <si>
    <t>No significant constraints</t>
  </si>
  <si>
    <t>Based on homes in rural areas</t>
  </si>
  <si>
    <t>Some homes have too small ducts to work with ASHP</t>
  </si>
  <si>
    <t>Retro5MED</t>
  </si>
  <si>
    <t>Ready for posting</t>
  </si>
  <si>
    <t>PNNL Study on savings impact</t>
  </si>
  <si>
    <t>standard blinds</t>
  </si>
  <si>
    <t>ENERGY STAR Tier 2 EVSE</t>
  </si>
  <si>
    <t>Non-ES Tier 2</t>
  </si>
  <si>
    <t>Not commercially ready</t>
  </si>
  <si>
    <t>No known constraints</t>
  </si>
  <si>
    <t>Current practice baseline in savings estimate</t>
  </si>
  <si>
    <t>SEER 15+</t>
  </si>
  <si>
    <t>High Efficiency Central Air Conditioner</t>
  </si>
  <si>
    <t>Dropped b/c ID &amp; MT likely to be adopting 2018 IECC</t>
  </si>
  <si>
    <t>Overlaps with Tstat, savings for ASHP upgrade already includes some of CC&amp;S</t>
  </si>
  <si>
    <t>Assumption - some homes built with HRV, but likely few</t>
  </si>
  <si>
    <t>Draft data from Cadeo, should be ready mid-Feb</t>
  </si>
  <si>
    <t>current practice/2023 std</t>
  </si>
  <si>
    <t>ASHP 9.5 HSPF/15.5 SEER</t>
  </si>
  <si>
    <t>Captured in applicability on measure workbooks</t>
  </si>
  <si>
    <t>From RBSA I, 45% of SF homes/56% of MH had &gt;10% leakage (from 7P supply curve workbook), + accounting for accomplishments (~6 aMW)</t>
  </si>
  <si>
    <t>Circulators</t>
  </si>
  <si>
    <t>Circulator Controls</t>
  </si>
  <si>
    <t>posted</t>
  </si>
  <si>
    <t>comments addressed</t>
  </si>
  <si>
    <t>Assumption, based on potential % of users installing level 2 chargers</t>
  </si>
  <si>
    <t>Although EVSE lasts 10 years, the existing stock is minimal, so turnover rate not applicable</t>
  </si>
  <si>
    <t>Adv Power Strips</t>
  </si>
  <si>
    <t>Tier 2</t>
  </si>
  <si>
    <t>basic plug</t>
  </si>
  <si>
    <t>complete</t>
  </si>
  <si>
    <t>Exluding because low-E storm windows are much more cost effective option</t>
  </si>
  <si>
    <t>Don't have estimate</t>
  </si>
  <si>
    <t>Exclude HPWH from high-rise MF due to space issues, limit applicability in low-rise (though in WA require MF to have space for HPWH). MH often have space constraints</t>
  </si>
  <si>
    <t>Based on % of homes with zonal electric heating RBSA II, High rise amount accounts for portion that are mid-rise and can take DHPs</t>
  </si>
  <si>
    <t>Using same as existing homes, though accounting for WA code precluding zonal in base (~50% of homes); for MF, most codes require something like DHPs, so excluding potential</t>
  </si>
  <si>
    <t>Assumption for MH &amp; SF (MH based on discussion w Ben Larson). Less than new as some homes may not have space for HPWH, more MH have constrained space</t>
  </si>
  <si>
    <t>NEEA estimates from current market data (through 2018), accounting for (unkonwn) portion of sales that goes to NC. MF based on 2015 WA code providing more incentive for adoption</t>
  </si>
  <si>
    <t>NEEA estimates from current market data (through 2018), accounting for (unknown) portion of sales that goes to NC</t>
  </si>
  <si>
    <t>although not 100%, given WA code requires and with more and more interest in cooling, likely few zonal electric resistance heat homes will be built in future</t>
  </si>
  <si>
    <t>Although there are ongoing programs, savings life is short so are basically starting from zero</t>
  </si>
  <si>
    <t>Added 3.5% more units to SF to reflect ~11000/year going to commercial spaces</t>
  </si>
  <si>
    <t>Baseline from % of bulbs captured through fixture turnover</t>
  </si>
  <si>
    <t>Pin Lamps</t>
  </si>
  <si>
    <t>BPA analysis of RBSA data had 5.6% saturation, but recent projections suggest market is growing quickly - estimate 15%. 93% in SF, 7% in MH</t>
  </si>
  <si>
    <t>In new homes, not likely any barriers. Excluding high rise MF as very limited central ducted systems</t>
  </si>
  <si>
    <t>Assumption that existing homes may have wiring contraints, excluding highrise MF as very few central ducted systems</t>
  </si>
  <si>
    <t>Most products have a 10 year warranty, so x1.5 assumption for EUL</t>
  </si>
  <si>
    <t>In new homes, not likely any barriers. Excluding high rise MF and very limited knowledge on HVAC</t>
  </si>
  <si>
    <t>Assumption that existing homes may have some installation contraints, excluding highrise MF as very limited knowledge of HVAC systems</t>
  </si>
  <si>
    <t>RAC</t>
  </si>
  <si>
    <t>Table 20. Average Number of Common Area Clothes Washers per Unit by Building Size</t>
  </si>
  <si>
    <t>Building Size</t>
  </si>
  <si>
    <t>Clothes Washers Per Unit</t>
  </si>
  <si>
    <t>Mean</t>
  </si>
  <si>
    <t>EB</t>
  </si>
  <si>
    <t>n</t>
  </si>
  <si>
    <t>Low-Rise (1–3)</t>
  </si>
  <si>
    <t>Mid-Rise (4–6)</t>
  </si>
  <si>
    <t>High-Rise (7+)</t>
  </si>
  <si>
    <t>Total</t>
  </si>
  <si>
    <t>This represents 75% of all TVs, since UHD only applies to &gt;40" (representing ~3/4 of all TVs)</t>
  </si>
  <si>
    <t xml:space="preserve">15 year lifetime based on " Demand Control Ventilation Using CO2 Sensors", pg. 19, by US Department of Energy Efficiency and Renewable Energy. </t>
  </si>
  <si>
    <t>sqft - window to wall area of 0.18 from RBSA II</t>
  </si>
  <si>
    <t>Assume 50% could participate, 50% would be in control group</t>
  </si>
  <si>
    <t>Estimate from PNNL study that 20% of shades available are cellular blinds</t>
  </si>
  <si>
    <t>Not differentiating between existing and new, given lack of data</t>
  </si>
  <si>
    <t>GFX</t>
  </si>
  <si>
    <t>Thermostatic Restriction Valves</t>
  </si>
  <si>
    <t>Heat pump water heaters</t>
  </si>
  <si>
    <t>Water heater pipe insulation</t>
  </si>
  <si>
    <t>CircPumps</t>
  </si>
  <si>
    <t>FridgeFreezer</t>
  </si>
  <si>
    <t>Computer Monitor</t>
  </si>
  <si>
    <t>Computers</t>
  </si>
  <si>
    <t>Desktop computer</t>
  </si>
  <si>
    <t>Laptop computer</t>
  </si>
  <si>
    <t>Adv Powerstrips</t>
  </si>
  <si>
    <t>Advanced power strips</t>
  </si>
  <si>
    <t>Ultrahigh def TVs</t>
  </si>
  <si>
    <t>Integral lightings fixtures</t>
  </si>
  <si>
    <t>ASHP</t>
  </si>
  <si>
    <t>Air source heat pump upgrades</t>
  </si>
  <si>
    <t>Air source heat pump conversions</t>
  </si>
  <si>
    <t>DHPZonalMF/DHPZonalSFMH</t>
  </si>
  <si>
    <t>Ductless heat pumps for zonal applications</t>
  </si>
  <si>
    <t>DHPforFAF</t>
  </si>
  <si>
    <t>Ductless heat pumps with furnace</t>
  </si>
  <si>
    <t>DuctSeal</t>
  </si>
  <si>
    <t>Sealing leaky ducts</t>
  </si>
  <si>
    <t>Tstats</t>
  </si>
  <si>
    <t>Smart thermostats</t>
  </si>
  <si>
    <t>CellularShades</t>
  </si>
  <si>
    <t>Cellular window shades</t>
  </si>
  <si>
    <t>Central air conditioner</t>
  </si>
  <si>
    <t>HRV</t>
  </si>
  <si>
    <t>heat recovery ventilation and air sealing</t>
  </si>
  <si>
    <t>Ground source heat pump</t>
  </si>
  <si>
    <t>Controls on circulator pumps</t>
  </si>
  <si>
    <t>Home energy report savings</t>
  </si>
  <si>
    <t>EVSE</t>
  </si>
  <si>
    <t>Electric vehicle chargers</t>
  </si>
  <si>
    <t>Air Cleaner</t>
  </si>
  <si>
    <t>Room air conditioners</t>
  </si>
  <si>
    <t>Well pump</t>
  </si>
  <si>
    <t>SFWx, MFWx, MHWx</t>
  </si>
  <si>
    <t>Insulation, windows</t>
  </si>
  <si>
    <t>File Name</t>
  </si>
  <si>
    <t>https://www.energystar.gov/sites/default/files/Draft%202%20Version%208.0%20Displays%20Webinar%20Slides_952018.pdf</t>
  </si>
  <si>
    <t>% dryer * % electric; MF represent in-unit + common area (from RBSA I, about 0.06 washers per MF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</si>
</sst>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_(* #,##0.0_);_(* \(#,##0.0\);_(* &quot;-&quot;??_);_(@_)"/>
    <numFmt numFmtId="167" formatCode="dd\-mmm\-yy"/>
    <numFmt numFmtId="168" formatCode="0.000"/>
  </numFmts>
  <fonts count="18">
    <font>
      <sz val="10"/>
      <name val="Arial"/>
    </font>
    <font>
      <sz val="10"/>
      <color theme="1"/>
      <name val="Arial"/>
      <family val="2"/>
    </font>
    <font>
      <sz val="10"/>
      <name val="Arial"/>
      <family val="2"/>
    </font>
    <font>
      <sz val="10"/>
      <name val="Arial"/>
      <family val="2"/>
    </font>
    <font>
      <u/>
      <sz val="10"/>
      <color indexed="12"/>
      <name val="Arial"/>
      <family val="2"/>
    </font>
    <font>
      <b/>
      <sz val="10"/>
      <name val="Arial"/>
      <family val="2"/>
    </font>
    <font>
      <b/>
      <sz val="10"/>
      <color indexed="10"/>
      <name val="Arial"/>
      <family val="2"/>
    </font>
    <font>
      <b/>
      <i/>
      <sz val="10"/>
      <color indexed="10"/>
      <name val="Arial"/>
      <family val="2"/>
    </font>
    <font>
      <sz val="12"/>
      <name val="Arial"/>
      <family val="2"/>
    </font>
    <font>
      <b/>
      <sz val="12"/>
      <name val="Arial"/>
      <family val="2"/>
    </font>
    <font>
      <sz val="8"/>
      <name val="Arial"/>
      <family val="2"/>
    </font>
    <font>
      <b/>
      <sz val="9"/>
      <color indexed="81"/>
      <name val="Tahoma"/>
      <family val="2"/>
    </font>
    <font>
      <sz val="9"/>
      <color indexed="81"/>
      <name val="Tahoma"/>
      <family val="2"/>
    </font>
    <font>
      <sz val="11"/>
      <color theme="1"/>
      <name val="Calibri"/>
      <family val="2"/>
      <scheme val="minor"/>
    </font>
    <font>
      <strike/>
      <sz val="10"/>
      <name val="Arial"/>
      <family val="2"/>
    </font>
    <font>
      <b/>
      <sz val="10"/>
      <color theme="0"/>
      <name val="Calibri"/>
      <family val="2"/>
      <scheme val="minor"/>
    </font>
    <font>
      <sz val="10"/>
      <color theme="1"/>
      <name val="Calibri"/>
      <family val="2"/>
      <scheme val="minor"/>
    </font>
    <font>
      <b/>
      <sz val="9"/>
      <color theme="1"/>
      <name val="Arial"/>
      <family val="2"/>
    </font>
  </fonts>
  <fills count="19">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45"/>
        <bgColor indexed="64"/>
      </patternFill>
    </fill>
    <fill>
      <patternFill patternType="solid">
        <fgColor indexed="14"/>
        <bgColor indexed="64"/>
      </patternFill>
    </fill>
    <fill>
      <patternFill patternType="solid">
        <fgColor indexed="4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5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bottom style="medium">
        <color indexed="64"/>
      </bottom>
      <diagonal/>
    </border>
    <border>
      <left style="thick">
        <color indexed="64"/>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s>
  <cellStyleXfs count="9">
    <xf numFmtId="0" fontId="0" fillId="0" borderId="0"/>
    <xf numFmtId="43" fontId="2" fillId="0" borderId="0" applyFont="0" applyFill="0" applyBorder="0" applyAlignment="0" applyProtection="0"/>
    <xf numFmtId="0" fontId="3" fillId="2" borderId="0" applyNumberFormat="0" applyAlignment="0">
      <alignment horizontal="right"/>
    </xf>
    <xf numFmtId="0" fontId="2" fillId="3" borderId="0" applyNumberFormat="0" applyAlignment="0"/>
    <xf numFmtId="0" fontId="4" fillId="0" borderId="0" applyNumberFormat="0" applyFill="0" applyBorder="0" applyAlignment="0" applyProtection="0">
      <alignment vertical="top"/>
      <protection locked="0"/>
    </xf>
    <xf numFmtId="9" fontId="2" fillId="0" borderId="0" applyFont="0" applyFill="0" applyBorder="0" applyAlignment="0" applyProtection="0"/>
    <xf numFmtId="0" fontId="13" fillId="0" borderId="0"/>
    <xf numFmtId="0" fontId="1" fillId="0" borderId="0"/>
    <xf numFmtId="0" fontId="2" fillId="0" borderId="0">
      <alignment readingOrder="1"/>
    </xf>
  </cellStyleXfs>
  <cellXfs count="164">
    <xf numFmtId="0" fontId="0" fillId="0" borderId="0" xfId="0"/>
    <xf numFmtId="0" fontId="0" fillId="0" borderId="0" xfId="0" applyAlignment="1">
      <alignment horizontal="center"/>
    </xf>
    <xf numFmtId="0" fontId="0" fillId="3" borderId="0" xfId="0" applyFill="1"/>
    <xf numFmtId="0" fontId="0" fillId="3" borderId="1" xfId="0" applyFill="1" applyBorder="1"/>
    <xf numFmtId="0" fontId="0" fillId="3" borderId="2" xfId="0" applyFill="1" applyBorder="1"/>
    <xf numFmtId="0" fontId="0" fillId="4" borderId="1" xfId="0" applyFill="1" applyBorder="1"/>
    <xf numFmtId="9" fontId="0" fillId="0" borderId="0" xfId="5" applyFont="1" applyAlignment="1">
      <alignment horizontal="center"/>
    </xf>
    <xf numFmtId="9" fontId="0" fillId="0" borderId="0" xfId="5" applyFont="1" applyFill="1" applyAlignment="1">
      <alignment horizontal="center"/>
    </xf>
    <xf numFmtId="0" fontId="0" fillId="0" borderId="0" xfId="0" applyFill="1"/>
    <xf numFmtId="0" fontId="0" fillId="0" borderId="0" xfId="0" applyAlignment="1">
      <alignment wrapText="1"/>
    </xf>
    <xf numFmtId="0" fontId="0" fillId="0" borderId="0" xfId="0" applyBorder="1"/>
    <xf numFmtId="0" fontId="0" fillId="0" borderId="1" xfId="0" applyBorder="1"/>
    <xf numFmtId="0" fontId="0" fillId="0" borderId="0" xfId="0" applyFill="1" applyBorder="1"/>
    <xf numFmtId="164" fontId="0" fillId="0" borderId="0" xfId="0" applyNumberFormat="1"/>
    <xf numFmtId="0" fontId="0" fillId="4" borderId="0" xfId="0" applyFill="1"/>
    <xf numFmtId="0" fontId="0" fillId="3" borderId="0" xfId="0" applyFill="1" applyAlignment="1">
      <alignment wrapText="1"/>
    </xf>
    <xf numFmtId="0" fontId="5" fillId="4" borderId="1" xfId="0" applyFont="1" applyFill="1" applyBorder="1"/>
    <xf numFmtId="1" fontId="0" fillId="0" borderId="0" xfId="0" applyNumberFormat="1" applyAlignment="1">
      <alignment horizontal="center"/>
    </xf>
    <xf numFmtId="9" fontId="0" fillId="0" borderId="0" xfId="5" applyFont="1" applyFill="1"/>
    <xf numFmtId="0" fontId="4" fillId="0" borderId="0" xfId="4" applyAlignment="1" applyProtection="1"/>
    <xf numFmtId="0" fontId="5" fillId="0" borderId="0" xfId="0" applyFont="1"/>
    <xf numFmtId="164" fontId="0" fillId="0" borderId="0" xfId="5" applyNumberFormat="1" applyFont="1"/>
    <xf numFmtId="0" fontId="7" fillId="0" borderId="0" xfId="0" applyFont="1"/>
    <xf numFmtId="0" fontId="0" fillId="3" borderId="6" xfId="0" applyFill="1" applyBorder="1"/>
    <xf numFmtId="0" fontId="6" fillId="0" borderId="1" xfId="0" applyFont="1" applyBorder="1"/>
    <xf numFmtId="9" fontId="0" fillId="0" borderId="0" xfId="5" applyFont="1"/>
    <xf numFmtId="9" fontId="0" fillId="0" borderId="0" xfId="0" applyNumberFormat="1"/>
    <xf numFmtId="0" fontId="0" fillId="3" borderId="0" xfId="0" applyFill="1" applyBorder="1" applyAlignment="1">
      <alignment wrapText="1"/>
    </xf>
    <xf numFmtId="15" fontId="0" fillId="0" borderId="0" xfId="0" applyNumberFormat="1"/>
    <xf numFmtId="0" fontId="0" fillId="0" borderId="0" xfId="0" applyAlignment="1">
      <alignment horizontal="right"/>
    </xf>
    <xf numFmtId="15" fontId="7" fillId="0" borderId="0" xfId="0" applyNumberFormat="1" applyFont="1"/>
    <xf numFmtId="9" fontId="0" fillId="0" borderId="0" xfId="5" applyNumberFormat="1" applyFont="1"/>
    <xf numFmtId="0" fontId="0" fillId="7" borderId="0" xfId="0" applyFill="1"/>
    <xf numFmtId="0" fontId="0" fillId="3" borderId="7" xfId="0" applyFill="1" applyBorder="1"/>
    <xf numFmtId="0" fontId="0" fillId="5" borderId="0" xfId="0" applyFill="1"/>
    <xf numFmtId="0" fontId="0" fillId="8" borderId="0" xfId="0" applyFill="1"/>
    <xf numFmtId="9" fontId="0" fillId="7" borderId="1" xfId="5" applyFont="1" applyFill="1" applyBorder="1" applyAlignment="1">
      <alignment horizontal="center"/>
    </xf>
    <xf numFmtId="9" fontId="0" fillId="5" borderId="0" xfId="5" applyFont="1" applyFill="1"/>
    <xf numFmtId="164" fontId="0" fillId="7" borderId="1" xfId="5" applyNumberFormat="1" applyFont="1" applyFill="1" applyBorder="1" applyAlignment="1">
      <alignment horizontal="center"/>
    </xf>
    <xf numFmtId="9" fontId="0" fillId="7" borderId="4" xfId="0" applyNumberFormat="1" applyFill="1" applyBorder="1" applyAlignment="1">
      <alignment horizontal="center"/>
    </xf>
    <xf numFmtId="9" fontId="0" fillId="7" borderId="1" xfId="0" applyNumberFormat="1" applyFill="1" applyBorder="1" applyAlignment="1">
      <alignment horizontal="center"/>
    </xf>
    <xf numFmtId="165" fontId="0" fillId="7" borderId="1" xfId="1" applyNumberFormat="1" applyFont="1" applyFill="1" applyBorder="1" applyAlignment="1">
      <alignment horizontal="center"/>
    </xf>
    <xf numFmtId="9" fontId="0" fillId="5" borderId="0" xfId="0" applyNumberFormat="1" applyFill="1"/>
    <xf numFmtId="0" fontId="0" fillId="0" borderId="0" xfId="0" applyFill="1" applyAlignment="1">
      <alignment horizontal="right"/>
    </xf>
    <xf numFmtId="0" fontId="0" fillId="3" borderId="0" xfId="0" applyFill="1" applyAlignment="1">
      <alignment horizontal="center" wrapText="1"/>
    </xf>
    <xf numFmtId="165" fontId="0" fillId="0" borderId="0" xfId="1" applyNumberFormat="1" applyFont="1" applyAlignment="1">
      <alignment horizontal="right"/>
    </xf>
    <xf numFmtId="1" fontId="0" fillId="0" borderId="0" xfId="0" applyNumberFormat="1" applyAlignment="1">
      <alignment horizontal="right"/>
    </xf>
    <xf numFmtId="1" fontId="0" fillId="0" borderId="0" xfId="0" applyNumberFormat="1" applyAlignment="1"/>
    <xf numFmtId="0" fontId="0" fillId="0" borderId="0" xfId="0" applyAlignment="1"/>
    <xf numFmtId="167" fontId="0" fillId="0" borderId="0" xfId="0" applyNumberFormat="1" applyAlignment="1">
      <alignment vertical="center"/>
    </xf>
    <xf numFmtId="165" fontId="0" fillId="0" borderId="0" xfId="1" applyNumberFormat="1" applyFont="1" applyAlignment="1">
      <alignment vertical="center"/>
    </xf>
    <xf numFmtId="0" fontId="0" fillId="0" borderId="0" xfId="0" applyAlignment="1">
      <alignment vertical="center"/>
    </xf>
    <xf numFmtId="166" fontId="0" fillId="0" borderId="0" xfId="1" applyNumberFormat="1" applyFont="1" applyAlignment="1">
      <alignment vertical="center"/>
    </xf>
    <xf numFmtId="1" fontId="0" fillId="0" borderId="0" xfId="0" applyNumberFormat="1" applyAlignment="1">
      <alignment vertical="center"/>
    </xf>
    <xf numFmtId="165" fontId="0" fillId="0" borderId="0" xfId="1" applyNumberFormat="1" applyFont="1" applyFill="1" applyAlignment="1">
      <alignment vertical="center"/>
    </xf>
    <xf numFmtId="0" fontId="0" fillId="4" borderId="3" xfId="0" applyFill="1" applyBorder="1"/>
    <xf numFmtId="0" fontId="0" fillId="0" borderId="0" xfId="0" applyFill="1" applyAlignment="1">
      <alignment horizontal="center"/>
    </xf>
    <xf numFmtId="165" fontId="0" fillId="0" borderId="0" xfId="1" applyNumberFormat="1" applyFont="1" applyAlignment="1">
      <alignment horizontal="right" vertical="center"/>
    </xf>
    <xf numFmtId="164" fontId="0" fillId="5" borderId="0" xfId="5" applyNumberFormat="1" applyFont="1" applyFill="1"/>
    <xf numFmtId="0" fontId="5" fillId="6" borderId="0" xfId="0" applyFont="1" applyFill="1" applyAlignment="1">
      <alignment horizontal="center"/>
    </xf>
    <xf numFmtId="0" fontId="5" fillId="9" borderId="0" xfId="0" applyFont="1" applyFill="1" applyAlignment="1">
      <alignment horizontal="center"/>
    </xf>
    <xf numFmtId="15" fontId="0" fillId="0" borderId="0" xfId="0" applyNumberFormat="1" applyAlignment="1">
      <alignment horizontal="right"/>
    </xf>
    <xf numFmtId="0" fontId="5" fillId="8" borderId="0" xfId="0" applyFont="1" applyFill="1"/>
    <xf numFmtId="16" fontId="5" fillId="0" borderId="0" xfId="0" applyNumberFormat="1" applyFont="1" applyFill="1" applyAlignment="1">
      <alignment horizontal="left"/>
    </xf>
    <xf numFmtId="0" fontId="5" fillId="0" borderId="0" xfId="0" applyFont="1" applyFill="1" applyAlignment="1">
      <alignment horizontal="left"/>
    </xf>
    <xf numFmtId="0" fontId="9" fillId="10" borderId="0" xfId="0" applyFont="1" applyFill="1"/>
    <xf numFmtId="0" fontId="8" fillId="0" borderId="0" xfId="0" applyFont="1"/>
    <xf numFmtId="0" fontId="8" fillId="0" borderId="0" xfId="0" applyFont="1" applyFill="1"/>
    <xf numFmtId="15" fontId="0" fillId="9" borderId="0" xfId="0" applyNumberFormat="1" applyFill="1" applyAlignment="1">
      <alignment horizontal="left"/>
    </xf>
    <xf numFmtId="0" fontId="3" fillId="0" borderId="0" xfId="0" applyFont="1" applyBorder="1"/>
    <xf numFmtId="0" fontId="3" fillId="0" borderId="0" xfId="0" applyFont="1" applyFill="1" applyBorder="1"/>
    <xf numFmtId="165" fontId="0" fillId="0" borderId="0" xfId="0" applyNumberFormat="1" applyFill="1" applyBorder="1" applyAlignment="1">
      <alignment horizontal="right"/>
    </xf>
    <xf numFmtId="0" fontId="3" fillId="0" borderId="0" xfId="0" applyFont="1" applyBorder="1" applyAlignment="1">
      <alignment horizontal="right"/>
    </xf>
    <xf numFmtId="0" fontId="3" fillId="0" borderId="0" xfId="0" applyFont="1" applyFill="1" applyBorder="1" applyAlignment="1">
      <alignment horizontal="right"/>
    </xf>
    <xf numFmtId="0" fontId="0" fillId="3" borderId="3" xfId="0" applyFill="1" applyBorder="1" applyAlignment="1">
      <alignment wrapText="1"/>
    </xf>
    <xf numFmtId="0" fontId="0" fillId="0" borderId="0" xfId="0" applyAlignment="1">
      <alignment readingOrder="1"/>
    </xf>
    <xf numFmtId="0" fontId="2" fillId="0" borderId="0" xfId="0" applyFont="1" applyFill="1" applyBorder="1"/>
    <xf numFmtId="0" fontId="2" fillId="0" borderId="0" xfId="0" applyFont="1" applyFill="1" applyBorder="1" applyAlignment="1">
      <alignment horizontal="right"/>
    </xf>
    <xf numFmtId="10" fontId="0" fillId="0" borderId="0" xfId="0" applyNumberFormat="1"/>
    <xf numFmtId="9" fontId="0" fillId="0" borderId="0" xfId="5" applyFont="1" applyBorder="1"/>
    <xf numFmtId="0" fontId="0" fillId="11" borderId="0" xfId="0" quotePrefix="1" applyFill="1"/>
    <xf numFmtId="0" fontId="2" fillId="0" borderId="0" xfId="0" applyFont="1"/>
    <xf numFmtId="164" fontId="0" fillId="0" borderId="0" xfId="5" applyNumberFormat="1" applyFont="1" applyAlignment="1">
      <alignment horizontal="center"/>
    </xf>
    <xf numFmtId="165" fontId="0" fillId="7" borderId="1" xfId="5" applyNumberFormat="1" applyFont="1" applyFill="1" applyBorder="1" applyAlignment="1">
      <alignment horizontal="center"/>
    </xf>
    <xf numFmtId="0" fontId="14" fillId="0" borderId="0" xfId="0" applyFont="1"/>
    <xf numFmtId="0" fontId="0" fillId="12" borderId="0" xfId="0" applyFill="1"/>
    <xf numFmtId="9" fontId="0" fillId="12" borderId="0" xfId="5" applyFont="1" applyFill="1"/>
    <xf numFmtId="166" fontId="0" fillId="0" borderId="0" xfId="1" applyNumberFormat="1" applyFont="1" applyAlignment="1">
      <alignment horizontal="right" vertical="center"/>
    </xf>
    <xf numFmtId="9" fontId="0" fillId="5" borderId="0" xfId="5" applyNumberFormat="1" applyFont="1" applyFill="1"/>
    <xf numFmtId="0" fontId="0" fillId="4" borderId="5" xfId="0" applyFill="1" applyBorder="1" applyAlignment="1"/>
    <xf numFmtId="0" fontId="0" fillId="4" borderId="8" xfId="0" applyFill="1" applyBorder="1" applyAlignment="1"/>
    <xf numFmtId="0" fontId="15" fillId="13" borderId="9" xfId="6" applyFont="1" applyFill="1" applyBorder="1"/>
    <xf numFmtId="0" fontId="16" fillId="0" borderId="0" xfId="6" applyFont="1"/>
    <xf numFmtId="9" fontId="0" fillId="0" borderId="0" xfId="0" applyNumberFormat="1" applyFill="1"/>
    <xf numFmtId="0" fontId="16" fillId="0" borderId="0" xfId="6" applyFont="1" applyFill="1"/>
    <xf numFmtId="10" fontId="0" fillId="0" borderId="0" xfId="0" applyNumberFormat="1" applyFill="1"/>
    <xf numFmtId="0" fontId="0" fillId="14" borderId="10" xfId="0" applyFill="1" applyBorder="1"/>
    <xf numFmtId="0" fontId="0" fillId="14" borderId="11" xfId="0" applyFill="1" applyBorder="1" applyAlignment="1">
      <alignment wrapText="1"/>
    </xf>
    <xf numFmtId="0" fontId="0" fillId="0" borderId="7" xfId="0" applyBorder="1"/>
    <xf numFmtId="0" fontId="0" fillId="11" borderId="0" xfId="0" applyFill="1" applyBorder="1"/>
    <xf numFmtId="0" fontId="14" fillId="0" borderId="7" xfId="0" applyFont="1" applyFill="1" applyBorder="1"/>
    <xf numFmtId="0" fontId="14" fillId="0" borderId="0" xfId="0" applyFont="1" applyFill="1" applyBorder="1"/>
    <xf numFmtId="0" fontId="5" fillId="0" borderId="0" xfId="0" applyFont="1" applyFill="1" applyAlignment="1">
      <alignment horizontal="center"/>
    </xf>
    <xf numFmtId="0" fontId="0" fillId="11" borderId="0" xfId="0" applyFill="1" applyAlignment="1">
      <alignment readingOrder="1"/>
    </xf>
    <xf numFmtId="9" fontId="0" fillId="11" borderId="0" xfId="0" applyNumberFormat="1" applyFill="1"/>
    <xf numFmtId="9" fontId="0" fillId="11" borderId="0" xfId="5" applyFont="1" applyFill="1"/>
    <xf numFmtId="0" fontId="14" fillId="0" borderId="7" xfId="0" applyFont="1" applyBorder="1"/>
    <xf numFmtId="0" fontId="14" fillId="0" borderId="0" xfId="0" applyFont="1" applyBorder="1"/>
    <xf numFmtId="0" fontId="0" fillId="15" borderId="11" xfId="0" applyFill="1" applyBorder="1" applyAlignment="1">
      <alignment wrapText="1"/>
    </xf>
    <xf numFmtId="0" fontId="2" fillId="15" borderId="0" xfId="0" applyFont="1" applyFill="1"/>
    <xf numFmtId="0" fontId="14" fillId="15" borderId="0" xfId="0" applyFont="1" applyFill="1"/>
    <xf numFmtId="164" fontId="0" fillId="0" borderId="0" xfId="0" applyNumberFormat="1" applyFill="1"/>
    <xf numFmtId="1" fontId="0" fillId="0" borderId="0" xfId="0" applyNumberFormat="1"/>
    <xf numFmtId="9" fontId="0" fillId="11" borderId="0" xfId="5" applyFont="1" applyFill="1" applyAlignment="1">
      <alignment horizontal="center"/>
    </xf>
    <xf numFmtId="165" fontId="0" fillId="0" borderId="0" xfId="1" applyNumberFormat="1" applyFont="1" applyBorder="1"/>
    <xf numFmtId="166" fontId="0" fillId="7" borderId="1" xfId="1" applyNumberFormat="1" applyFont="1" applyFill="1" applyBorder="1" applyAlignment="1">
      <alignment horizontal="center"/>
    </xf>
    <xf numFmtId="164" fontId="0" fillId="7" borderId="1" xfId="0" applyNumberFormat="1" applyFill="1" applyBorder="1" applyAlignment="1">
      <alignment horizontal="center"/>
    </xf>
    <xf numFmtId="165" fontId="0" fillId="11" borderId="1" xfId="1" applyNumberFormat="1" applyFont="1" applyFill="1" applyBorder="1" applyAlignment="1">
      <alignment horizontal="center"/>
    </xf>
    <xf numFmtId="165" fontId="0" fillId="11" borderId="1" xfId="5" applyNumberFormat="1" applyFont="1" applyFill="1" applyBorder="1" applyAlignment="1">
      <alignment horizontal="center"/>
    </xf>
    <xf numFmtId="0" fontId="0" fillId="0" borderId="0" xfId="0" applyFill="1" applyAlignment="1">
      <alignment readingOrder="1"/>
    </xf>
    <xf numFmtId="0" fontId="0" fillId="16" borderId="7" xfId="0" applyFill="1" applyBorder="1"/>
    <xf numFmtId="0" fontId="0" fillId="16" borderId="0" xfId="0" applyFill="1" applyBorder="1"/>
    <xf numFmtId="0" fontId="0" fillId="16" borderId="0" xfId="0" applyFill="1"/>
    <xf numFmtId="0" fontId="2" fillId="16" borderId="0" xfId="0" applyFont="1" applyFill="1"/>
    <xf numFmtId="0" fontId="0" fillId="17" borderId="0" xfId="0" applyFill="1"/>
    <xf numFmtId="0" fontId="0" fillId="17" borderId="0" xfId="0" applyFill="1" applyBorder="1"/>
    <xf numFmtId="0" fontId="2" fillId="17" borderId="0" xfId="0" applyFont="1" applyFill="1"/>
    <xf numFmtId="0" fontId="0" fillId="17" borderId="7" xfId="0" applyFill="1" applyBorder="1"/>
    <xf numFmtId="0" fontId="0" fillId="18" borderId="12" xfId="0" applyFill="1" applyBorder="1"/>
    <xf numFmtId="0" fontId="0" fillId="18" borderId="0" xfId="0" applyFill="1"/>
    <xf numFmtId="0" fontId="0" fillId="18" borderId="13" xfId="0" applyFill="1" applyBorder="1"/>
    <xf numFmtId="0" fontId="2" fillId="16" borderId="7" xfId="0" applyFont="1" applyFill="1" applyBorder="1"/>
    <xf numFmtId="0" fontId="2" fillId="16" borderId="0" xfId="0" applyFont="1" applyFill="1" applyBorder="1"/>
    <xf numFmtId="0" fontId="0" fillId="17" borderId="0" xfId="0" applyFont="1" applyFill="1" applyBorder="1"/>
    <xf numFmtId="0" fontId="0" fillId="0" borderId="0" xfId="0" applyFont="1" applyFill="1" applyBorder="1"/>
    <xf numFmtId="0" fontId="17" fillId="0" borderId="0" xfId="0" applyFont="1"/>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vertical="center"/>
    </xf>
    <xf numFmtId="168" fontId="0" fillId="0" borderId="23" xfId="0" applyNumberFormat="1" applyBorder="1" applyAlignment="1">
      <alignment horizontal="right" vertical="center"/>
    </xf>
    <xf numFmtId="168" fontId="0" fillId="0" borderId="16" xfId="0" applyNumberFormat="1" applyBorder="1" applyAlignment="1">
      <alignment horizontal="right" vertical="center"/>
    </xf>
    <xf numFmtId="3" fontId="0" fillId="0" borderId="17" xfId="0" applyNumberFormat="1" applyBorder="1" applyAlignment="1">
      <alignment horizontal="right" vertical="center"/>
    </xf>
    <xf numFmtId="0" fontId="17" fillId="0" borderId="24" xfId="0" applyFont="1" applyBorder="1" applyAlignment="1">
      <alignment vertical="center"/>
    </xf>
    <xf numFmtId="168" fontId="0" fillId="0" borderId="4" xfId="0" applyNumberFormat="1" applyBorder="1" applyAlignment="1">
      <alignment horizontal="right" vertical="center"/>
    </xf>
    <xf numFmtId="168" fontId="0" fillId="0" borderId="1" xfId="0" applyNumberFormat="1" applyBorder="1" applyAlignment="1">
      <alignment horizontal="right" vertical="center"/>
    </xf>
    <xf numFmtId="3" fontId="0" fillId="0" borderId="25" xfId="0" applyNumberFormat="1" applyBorder="1" applyAlignment="1">
      <alignment horizontal="right" vertical="center"/>
    </xf>
    <xf numFmtId="0" fontId="17" fillId="0" borderId="26" xfId="0" applyFont="1" applyBorder="1" applyAlignment="1">
      <alignment vertical="center"/>
    </xf>
    <xf numFmtId="168" fontId="0" fillId="0" borderId="27" xfId="0" applyNumberFormat="1" applyBorder="1" applyAlignment="1">
      <alignment horizontal="right" vertical="center"/>
    </xf>
    <xf numFmtId="168" fontId="0" fillId="0" borderId="3" xfId="0" applyNumberFormat="1" applyBorder="1" applyAlignment="1">
      <alignment horizontal="right" vertical="center"/>
    </xf>
    <xf numFmtId="3" fontId="0" fillId="0" borderId="28" xfId="0" applyNumberFormat="1" applyBorder="1" applyAlignment="1">
      <alignment horizontal="right" vertical="center"/>
    </xf>
    <xf numFmtId="0" fontId="17" fillId="0" borderId="29" xfId="0" applyFont="1" applyBorder="1" applyAlignment="1">
      <alignment vertical="center" wrapText="1"/>
    </xf>
    <xf numFmtId="168" fontId="0" fillId="0" borderId="30" xfId="0" applyNumberFormat="1" applyBorder="1" applyAlignment="1">
      <alignment horizontal="right" vertical="center"/>
    </xf>
    <xf numFmtId="168" fontId="0" fillId="0" borderId="31" xfId="0" applyNumberFormat="1" applyBorder="1" applyAlignment="1">
      <alignment horizontal="right" vertical="center"/>
    </xf>
    <xf numFmtId="3" fontId="0" fillId="0" borderId="32" xfId="0" applyNumberFormat="1" applyBorder="1" applyAlignment="1">
      <alignment horizontal="right" vertical="center"/>
    </xf>
    <xf numFmtId="14" fontId="14" fillId="0" borderId="0" xfId="0" applyNumberFormat="1" applyFont="1"/>
    <xf numFmtId="0" fontId="1" fillId="0" borderId="0" xfId="7"/>
    <xf numFmtId="0" fontId="2" fillId="0" borderId="0" xfId="8" applyAlignment="1"/>
    <xf numFmtId="0" fontId="4" fillId="0" borderId="0" xfId="4" applyFill="1" applyAlignment="1" applyProtection="1"/>
    <xf numFmtId="0" fontId="17" fillId="0" borderId="14"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cellXfs>
  <cellStyles count="9">
    <cellStyle name="Comma" xfId="1" builtinId="3"/>
    <cellStyle name="Data Field" xfId="2" xr:uid="{00000000-0005-0000-0000-000001000000}"/>
    <cellStyle name="Data Name" xfId="3" xr:uid="{00000000-0005-0000-0000-000002000000}"/>
    <cellStyle name="Hyperlink" xfId="4" builtinId="8"/>
    <cellStyle name="Normal" xfId="0" builtinId="0"/>
    <cellStyle name="Normal 2" xfId="8" xr:uid="{5F4CE2E8-CAF6-4B9C-9FFF-7C616988C507}"/>
    <cellStyle name="Normal 3 3" xfId="6" xr:uid="{00000000-0005-0000-0000-000005000000}"/>
    <cellStyle name="Normal 53" xfId="7" xr:uid="{389CB1B9-FDEC-4078-B636-336C13CEF0B5}"/>
    <cellStyle name="Percent" xfId="5"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0E0D4"/>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ACEAE"/>
      <rgbColor rgb="00CC99FF"/>
      <rgbColor rgb="00EBDC9B"/>
      <rgbColor rgb="003366FF"/>
      <rgbColor rgb="0033CCCC"/>
      <rgbColor rgb="0099CC00"/>
      <rgbColor rgb="00E9C55F"/>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419100</xdr:colOff>
      <xdr:row>2</xdr:row>
      <xdr:rowOff>19050</xdr:rowOff>
    </xdr:from>
    <xdr:to>
      <xdr:col>11</xdr:col>
      <xdr:colOff>485775</xdr:colOff>
      <xdr:row>36</xdr:row>
      <xdr:rowOff>47625</xdr:rowOff>
    </xdr:to>
    <xdr:sp macro="" textlink="">
      <xdr:nvSpPr>
        <xdr:cNvPr id="2" name="TextBox 1">
          <a:extLst>
            <a:ext uri="{FF2B5EF4-FFF2-40B4-BE49-F238E27FC236}">
              <a16:creationId xmlns:a16="http://schemas.microsoft.com/office/drawing/2014/main" id="{7BD2F1C5-0E2B-4E50-8FFA-B96676A6D1E9}"/>
            </a:ext>
          </a:extLst>
        </xdr:cNvPr>
        <xdr:cNvSpPr txBox="1"/>
      </xdr:nvSpPr>
      <xdr:spPr>
        <a:xfrm>
          <a:off x="419100" y="354330"/>
          <a:ext cx="6772275" cy="57283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workbook is a technical document supporting the work of estimating the costs of energy efficiency measures for the draft 2021 Power Plan. Technical information displayed here relate to incremental cost and savings and total potential for a particular measure. </a:t>
          </a:r>
          <a:endParaRPr lang="en-US" sz="1200">
            <a:effectLst/>
          </a:endParaRPr>
        </a:p>
        <a:p>
          <a:endParaRPr lang="en-US" sz="1200" baseline="0"/>
        </a:p>
        <a:p>
          <a:r>
            <a:rPr lang="en-US" sz="1200" baseline="0"/>
            <a:t>For more information, see the Council's Conservation Resources Advisory Committee (CRAC) webpage where presentations on measures are posted.</a:t>
          </a:r>
        </a:p>
        <a:p>
          <a:endParaRPr lang="en-US" sz="1200" baseline="0"/>
        </a:p>
        <a:p>
          <a:r>
            <a:rPr lang="en-US" sz="1200" baseline="0"/>
            <a:t>Questions? Contact Tina Jayaweera, tjayaweera@nwcouncil.org, 503.222.5161.</a:t>
          </a:r>
        </a:p>
        <a:p>
          <a:endParaRPr lang="en-US" sz="1100"/>
        </a:p>
      </xdr:txBody>
    </xdr:sp>
    <xdr:clientData/>
  </xdr:twoCellAnchor>
  <xdr:twoCellAnchor editAs="oneCell">
    <xdr:from>
      <xdr:col>4</xdr:col>
      <xdr:colOff>28576</xdr:colOff>
      <xdr:row>12</xdr:row>
      <xdr:rowOff>142875</xdr:rowOff>
    </xdr:from>
    <xdr:to>
      <xdr:col>7</xdr:col>
      <xdr:colOff>332646</xdr:colOff>
      <xdr:row>33</xdr:row>
      <xdr:rowOff>85724</xdr:rowOff>
    </xdr:to>
    <xdr:pic>
      <xdr:nvPicPr>
        <xdr:cNvPr id="3" name="Picture 2">
          <a:extLst>
            <a:ext uri="{FF2B5EF4-FFF2-40B4-BE49-F238E27FC236}">
              <a16:creationId xmlns:a16="http://schemas.microsoft.com/office/drawing/2014/main" id="{96927BA9-1807-488B-9382-E9FF3951DD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6976" y="2154555"/>
          <a:ext cx="2132870" cy="34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3</xdr:row>
      <xdr:rowOff>142875</xdr:rowOff>
    </xdr:from>
    <xdr:to>
      <xdr:col>18</xdr:col>
      <xdr:colOff>47625</xdr:colOff>
      <xdr:row>76</xdr:row>
      <xdr:rowOff>28575</xdr:rowOff>
    </xdr:to>
    <xdr:sp macro="" textlink="">
      <xdr:nvSpPr>
        <xdr:cNvPr id="13324" name="Rectangle 1">
          <a:extLst>
            <a:ext uri="{FF2B5EF4-FFF2-40B4-BE49-F238E27FC236}">
              <a16:creationId xmlns:a16="http://schemas.microsoft.com/office/drawing/2014/main" id="{00000000-0008-0000-0000-00000C340000}"/>
            </a:ext>
          </a:extLst>
        </xdr:cNvPr>
        <xdr:cNvSpPr>
          <a:spLocks noChangeArrowheads="1"/>
        </xdr:cNvSpPr>
      </xdr:nvSpPr>
      <xdr:spPr bwMode="auto">
        <a:xfrm>
          <a:off x="1104900" y="628650"/>
          <a:ext cx="16430625" cy="11706225"/>
        </a:xfrm>
        <a:prstGeom prst="rect">
          <a:avLst/>
        </a:prstGeom>
        <a:solidFill>
          <a:srgbClr val="FFFFFF"/>
        </a:solidFill>
        <a:ln w="9525">
          <a:solidFill>
            <a:srgbClr val="000000"/>
          </a:solidFill>
          <a:miter lim="800000"/>
          <a:headEnd/>
          <a:tailEnd/>
        </a:ln>
      </xdr:spPr>
    </xdr:sp>
    <xdr:clientData/>
  </xdr:twoCellAnchor>
  <xdr:twoCellAnchor>
    <xdr:from>
      <xdr:col>1</xdr:col>
      <xdr:colOff>352425</xdr:colOff>
      <xdr:row>5</xdr:row>
      <xdr:rowOff>28575</xdr:rowOff>
    </xdr:from>
    <xdr:to>
      <xdr:col>7</xdr:col>
      <xdr:colOff>352425</xdr:colOff>
      <xdr:row>73</xdr:row>
      <xdr:rowOff>0</xdr:rowOff>
    </xdr:to>
    <xdr:sp macro="" textlink="">
      <xdr:nvSpPr>
        <xdr:cNvPr id="13314" name="AutoShape 2">
          <a:extLst>
            <a:ext uri="{FF2B5EF4-FFF2-40B4-BE49-F238E27FC236}">
              <a16:creationId xmlns:a16="http://schemas.microsoft.com/office/drawing/2014/main" id="{00000000-0008-0000-0000-000002340000}"/>
            </a:ext>
          </a:extLst>
        </xdr:cNvPr>
        <xdr:cNvSpPr>
          <a:spLocks noChangeArrowheads="1"/>
        </xdr:cNvSpPr>
      </xdr:nvSpPr>
      <xdr:spPr bwMode="auto">
        <a:xfrm>
          <a:off x="1428750" y="838200"/>
          <a:ext cx="9705975" cy="10982325"/>
        </a:xfrm>
        <a:prstGeom prst="flowChartMultidocumen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Measure Workbooks:</a:t>
          </a:r>
          <a:r>
            <a:rPr lang="en-US" sz="1200" b="0" i="0" u="none" strike="noStrike" baseline="0">
              <a:solidFill>
                <a:srgbClr val="000000"/>
              </a:solidFill>
              <a:latin typeface="Arial"/>
              <a:cs typeface="Arial"/>
            </a:rPr>
            <a:t>  These workbooks contain the detailed analysis for all the measures.  Generally there is one workbook for each bundle of similar or related measures.</a:t>
          </a:r>
        </a:p>
        <a:p>
          <a:pPr algn="l" rtl="0">
            <a:defRPr sz="1000"/>
          </a:pPr>
          <a:r>
            <a:rPr lang="en-US" sz="1200" b="0" i="0" u="none" strike="noStrike" baseline="0">
              <a:solidFill>
                <a:srgbClr val="000000"/>
              </a:solidFill>
              <a:latin typeface="Arial"/>
              <a:cs typeface="Arial"/>
            </a:rPr>
            <a:t> </a:t>
          </a:r>
        </a:p>
        <a:p>
          <a:pPr algn="l" rtl="0">
            <a:defRPr sz="1000"/>
          </a:pPr>
          <a:r>
            <a:rPr lang="en-US" sz="1200" b="0" i="0" u="none" strike="noStrike" baseline="0">
              <a:solidFill>
                <a:srgbClr val="000000"/>
              </a:solidFill>
              <a:latin typeface="Arial"/>
              <a:cs typeface="Arial"/>
            </a:rPr>
            <a:t>Naming convention starts with the Sector (For example: Res-Showerhead-2021P-v2.xls means is the Supply Curve workbook for the measure low-flow showerheads, 2021 Plan, version 2)</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These files do not contain the ProCost engine used for cost-effectiveness analysis, but they contain the inputs and outputs from ProCost. They contain the supporting analysis of measure cost and savings as well as links to data used to support the analysis.  In some cases, they may link to an RTF workbook that contains the details of the analysis. They also contain supply curves for the measure bundle.</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Basic layout as follows:</a:t>
          </a:r>
        </a:p>
        <a:p>
          <a:pPr algn="l" rtl="0">
            <a:defRPr sz="1000"/>
          </a:pPr>
          <a:endParaRPr lang="en-US" sz="1200" b="0" i="0" u="none" strike="noStrike" baseline="0">
            <a:solidFill>
              <a:srgbClr val="000000"/>
            </a:solidFill>
            <a:latin typeface="Arial"/>
            <a:cs typeface="Arial"/>
          </a:endParaRPr>
        </a:p>
        <a:p>
          <a:pPr algn="l" rtl="0">
            <a:defRPr sz="1000"/>
          </a:pPr>
          <a:r>
            <a:rPr lang="en-US" sz="1200" b="0" i="0" u="sng" strike="noStrike" baseline="0">
              <a:solidFill>
                <a:srgbClr val="000000"/>
              </a:solidFill>
              <a:latin typeface="Arial"/>
              <a:cs typeface="Arial"/>
            </a:rPr>
            <a:t>SC worksheets:</a:t>
          </a:r>
          <a:r>
            <a:rPr lang="en-US" sz="1200" b="0" i="0" u="none" strike="noStrike" baseline="0">
              <a:solidFill>
                <a:srgbClr val="000000"/>
              </a:solidFill>
              <a:latin typeface="Arial"/>
              <a:cs typeface="Arial"/>
            </a:rPr>
            <a:t> Calculates supply curve total savings potential by cost bin by year.  Uses output data from MData worksheets along with unit forecasts from floor space sheet and achievability rates from ComMaster.  Usually there are several SC worksheets for new, retrofit and natural-replacement applications since cost and savings and units are different for each application.</a:t>
          </a:r>
        </a:p>
        <a:p>
          <a:pPr algn="l" rtl="0">
            <a:defRPr sz="1000"/>
          </a:pPr>
          <a:r>
            <a:rPr lang="en-US" sz="1200" b="0" i="0" u="none" strike="noStrike" baseline="0">
              <a:solidFill>
                <a:srgbClr val="000000"/>
              </a:solidFill>
              <a:latin typeface="Arial"/>
              <a:cs typeface="Arial"/>
            </a:rPr>
            <a:t>  </a:t>
          </a:r>
        </a:p>
        <a:p>
          <a:pPr algn="l" rtl="0">
            <a:defRPr sz="1000"/>
          </a:pPr>
          <a:r>
            <a:rPr lang="en-US" sz="1200" b="0" i="0" u="sng" strike="noStrike" baseline="0">
              <a:solidFill>
                <a:srgbClr val="000000"/>
              </a:solidFill>
              <a:latin typeface="Arial"/>
              <a:cs typeface="Arial"/>
            </a:rPr>
            <a:t>M_Input worksheet:</a:t>
          </a:r>
          <a:r>
            <a:rPr lang="en-US" sz="1200" b="0" i="0" u="none" strike="noStrike" baseline="0">
              <a:solidFill>
                <a:srgbClr val="000000"/>
              </a:solidFill>
              <a:latin typeface="Arial"/>
              <a:cs typeface="Arial"/>
            </a:rPr>
            <a:t>   Input tab that is read by ProCost engine. Also includes the ProCost outputs.</a:t>
          </a:r>
        </a:p>
        <a:p>
          <a:pPr algn="l" rtl="0">
            <a:defRPr sz="1000"/>
          </a:pPr>
          <a:endParaRPr lang="en-US" sz="1200" b="0" i="0" u="none" strike="noStrike" baseline="0">
            <a:solidFill>
              <a:srgbClr val="000000"/>
            </a:solidFill>
            <a:latin typeface="Arial"/>
            <a:cs typeface="Arial"/>
          </a:endParaRPr>
        </a:p>
        <a:p>
          <a:pPr algn="l" rtl="0">
            <a:defRPr sz="1000"/>
          </a:pPr>
          <a:r>
            <a:rPr lang="en-US" sz="1200" b="0" i="0" u="sng" strike="noStrike" baseline="0">
              <a:solidFill>
                <a:srgbClr val="000000"/>
              </a:solidFill>
              <a:latin typeface="Arial"/>
              <a:cs typeface="Arial"/>
            </a:rPr>
            <a:t>M_Input_Out worksheet</a:t>
          </a:r>
          <a:r>
            <a:rPr lang="en-US" sz="1200" b="0" i="0" u="none" strike="noStrike" baseline="0">
              <a:solidFill>
                <a:srgbClr val="000000"/>
              </a:solidFill>
              <a:latin typeface="Arial"/>
              <a:cs typeface="Arial"/>
            </a:rPr>
            <a:t>: Abbreviated ProCost output used for SC worksheets.  </a:t>
          </a:r>
        </a:p>
        <a:p>
          <a:pPr algn="l" rtl="0">
            <a:defRPr sz="1000"/>
          </a:pPr>
          <a:endParaRPr lang="en-US" sz="1200" b="0" i="0" u="none" strike="noStrike" baseline="0">
            <a:solidFill>
              <a:srgbClr val="000000"/>
            </a:solidFill>
            <a:latin typeface="Arial"/>
            <a:cs typeface="Arial"/>
          </a:endParaRPr>
        </a:p>
        <a:p>
          <a:pPr algn="l" rtl="0">
            <a:defRPr sz="1000"/>
          </a:pPr>
          <a:r>
            <a:rPr lang="en-US" sz="1200" b="0" i="0" u="sng" strike="noStrike" baseline="0">
              <a:solidFill>
                <a:srgbClr val="000000"/>
              </a:solidFill>
              <a:latin typeface="Arial"/>
              <a:cs typeface="Arial"/>
            </a:rPr>
            <a:t>Other worksheets: </a:t>
          </a:r>
          <a:r>
            <a:rPr lang="en-US" sz="1200" b="0" i="0" u="none" strike="noStrike" baseline="0">
              <a:solidFill>
                <a:srgbClr val="000000"/>
              </a:solidFill>
              <a:latin typeface="Arial"/>
              <a:cs typeface="Arial"/>
            </a:rPr>
            <a:t>Measure level inputs and outputs. Any workbook with a "raw" tab, this worksheet is a copy of the RTF Measure Input Output worksheet for that particular measure.</a:t>
          </a:r>
        </a:p>
        <a:p>
          <a:pPr algn="l" rtl="0">
            <a:defRPr sz="1000"/>
          </a:pPr>
          <a:endParaRPr lang="en-US" sz="1200" b="0" i="0" u="none" strike="noStrike" baseline="0">
            <a:solidFill>
              <a:srgbClr val="000000"/>
            </a:solidFill>
            <a:latin typeface="Arial"/>
            <a:cs typeface="Arial"/>
          </a:endParaRPr>
        </a:p>
        <a:p>
          <a:pPr algn="l" rtl="0">
            <a:defRPr sz="1000"/>
          </a:pPr>
          <a:r>
            <a:rPr lang="en-US" sz="1200" b="0" i="0" u="sng" strike="noStrike" baseline="0">
              <a:solidFill>
                <a:srgbClr val="000000"/>
              </a:solidFill>
              <a:latin typeface="Arial"/>
              <a:cs typeface="Arial"/>
            </a:rPr>
            <a:t>forRPM</a:t>
          </a:r>
          <a:r>
            <a:rPr lang="en-US" sz="1200" b="0" i="0" u="none" strike="noStrike" baseline="0">
              <a:solidFill>
                <a:srgbClr val="000000"/>
              </a:solidFill>
              <a:latin typeface="Arial"/>
              <a:cs typeface="Arial"/>
            </a:rPr>
            <a:t>:  Key data used to create supply curve inputs for the Regional Portfolio Model. </a:t>
          </a:r>
        </a:p>
        <a:p>
          <a:pPr algn="l" rtl="0">
            <a:defRPr sz="1000"/>
          </a:pPr>
          <a:endParaRPr lang="en-US" sz="1200" b="0" i="0" u="none" strike="noStrike" baseline="0">
            <a:solidFill>
              <a:srgbClr val="000000"/>
            </a:solidFill>
            <a:latin typeface="Arial"/>
            <a:cs typeface="Arial"/>
          </a:endParaRPr>
        </a:p>
        <a:p>
          <a:pPr algn="l" rtl="0">
            <a:defRPr sz="1000"/>
          </a:pPr>
          <a:r>
            <a:rPr lang="en-US" sz="1200" b="0" i="0" u="sng" strike="noStrike" baseline="0">
              <a:solidFill>
                <a:srgbClr val="000000"/>
              </a:solidFill>
              <a:latin typeface="Arial"/>
              <a:cs typeface="Arial"/>
            </a:rPr>
            <a:t>2021PSourceSummary:</a:t>
          </a:r>
          <a:r>
            <a:rPr lang="en-US" sz="1200" b="0" i="0" u="none" strike="noStrike" baseline="0">
              <a:solidFill>
                <a:srgbClr val="000000"/>
              </a:solidFill>
              <a:latin typeface="Arial"/>
              <a:cs typeface="Arial"/>
            </a:rPr>
            <a:t>  Summarizes key input assumptions, sources and calculation methodology.</a:t>
          </a:r>
        </a:p>
        <a:p>
          <a:pPr algn="l" rtl="0">
            <a:defRPr sz="1000"/>
          </a:pPr>
          <a:endParaRPr lang="en-US" sz="12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8</xdr:col>
      <xdr:colOff>590550</xdr:colOff>
      <xdr:row>7</xdr:row>
      <xdr:rowOff>47625</xdr:rowOff>
    </xdr:from>
    <xdr:to>
      <xdr:col>17</xdr:col>
      <xdr:colOff>85725</xdr:colOff>
      <xdr:row>29</xdr:row>
      <xdr:rowOff>142875</xdr:rowOff>
    </xdr:to>
    <xdr:sp macro="" textlink="">
      <xdr:nvSpPr>
        <xdr:cNvPr id="13315" name="AutoShape 3">
          <a:extLst>
            <a:ext uri="{FF2B5EF4-FFF2-40B4-BE49-F238E27FC236}">
              <a16:creationId xmlns:a16="http://schemas.microsoft.com/office/drawing/2014/main" id="{00000000-0008-0000-0000-000003340000}"/>
            </a:ext>
          </a:extLst>
        </xdr:cNvPr>
        <xdr:cNvSpPr>
          <a:spLocks noChangeArrowheads="1"/>
        </xdr:cNvSpPr>
      </xdr:nvSpPr>
      <xdr:spPr bwMode="auto">
        <a:xfrm>
          <a:off x="11982450" y="1181100"/>
          <a:ext cx="4981575" cy="3657600"/>
        </a:xfrm>
        <a:prstGeom prst="flowChartDocumen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ResMaster</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Contains measure list,  links to all supporting files and sheets for other administrative functions.</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Contains key characteristics common among measures used to calculate savings estimates.  Includes measure applicability (APPLIC), baseline penetration (BASE), applicable vintage cohort (STOCK), achievability rates (ACHIEV), fuel saturations, equipment saturations and other key characteristics (FEAS) used in the analysis by building occupancy type and application (New, Retro or Natural Replacement (NR)) . Also includes common variables, labels (VAR &amp; Labels) and other administrative functions.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8</xdr:col>
      <xdr:colOff>571500</xdr:colOff>
      <xdr:row>32</xdr:row>
      <xdr:rowOff>28575</xdr:rowOff>
    </xdr:from>
    <xdr:to>
      <xdr:col>17</xdr:col>
      <xdr:colOff>19050</xdr:colOff>
      <xdr:row>42</xdr:row>
      <xdr:rowOff>9525</xdr:rowOff>
    </xdr:to>
    <xdr:sp macro="" textlink="">
      <xdr:nvSpPr>
        <xdr:cNvPr id="13316" name="AutoShape 4">
          <a:extLst>
            <a:ext uri="{FF2B5EF4-FFF2-40B4-BE49-F238E27FC236}">
              <a16:creationId xmlns:a16="http://schemas.microsoft.com/office/drawing/2014/main" id="{00000000-0008-0000-0000-000004340000}"/>
            </a:ext>
          </a:extLst>
        </xdr:cNvPr>
        <xdr:cNvSpPr>
          <a:spLocks noChangeArrowheads="1"/>
        </xdr:cNvSpPr>
      </xdr:nvSpPr>
      <xdr:spPr bwMode="auto">
        <a:xfrm>
          <a:off x="11963400" y="5210175"/>
          <a:ext cx="4933950" cy="1600200"/>
        </a:xfrm>
        <a:prstGeom prst="flowChartDocumen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8PForecast.xls (or similar name)</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Output from regional forecast model.  Supply curve estimates are driven primarily by floor space estimates, equipment count or population. File contains stock estimates relevant to the measures by building occupancy type, state and vintage.   </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7</xdr:col>
      <xdr:colOff>247650</xdr:colOff>
      <xdr:row>11</xdr:row>
      <xdr:rowOff>76200</xdr:rowOff>
    </xdr:from>
    <xdr:to>
      <xdr:col>7</xdr:col>
      <xdr:colOff>571500</xdr:colOff>
      <xdr:row>12</xdr:row>
      <xdr:rowOff>0</xdr:rowOff>
    </xdr:to>
    <xdr:sp macro="" textlink="">
      <xdr:nvSpPr>
        <xdr:cNvPr id="13328" name="AutoShape 5">
          <a:extLst>
            <a:ext uri="{FF2B5EF4-FFF2-40B4-BE49-F238E27FC236}">
              <a16:creationId xmlns:a16="http://schemas.microsoft.com/office/drawing/2014/main" id="{00000000-0008-0000-0000-000010340000}"/>
            </a:ext>
          </a:extLst>
        </xdr:cNvPr>
        <xdr:cNvSpPr>
          <a:spLocks noChangeArrowheads="1"/>
        </xdr:cNvSpPr>
      </xdr:nvSpPr>
      <xdr:spPr bwMode="auto">
        <a:xfrm>
          <a:off x="11029950" y="1857375"/>
          <a:ext cx="323850" cy="85725"/>
        </a:xfrm>
        <a:prstGeom prst="leftRightArrow">
          <a:avLst>
            <a:gd name="adj1" fmla="val 50000"/>
            <a:gd name="adj2" fmla="val 75556"/>
          </a:avLst>
        </a:prstGeom>
        <a:solidFill>
          <a:srgbClr val="FFFFFF"/>
        </a:solidFill>
        <a:ln w="9525">
          <a:solidFill>
            <a:srgbClr val="000000"/>
          </a:solidFill>
          <a:miter lim="800000"/>
          <a:headEnd/>
          <a:tailEnd/>
        </a:ln>
      </xdr:spPr>
    </xdr:sp>
    <xdr:clientData/>
  </xdr:twoCellAnchor>
  <xdr:twoCellAnchor>
    <xdr:from>
      <xdr:col>7</xdr:col>
      <xdr:colOff>190500</xdr:colOff>
      <xdr:row>34</xdr:row>
      <xdr:rowOff>19050</xdr:rowOff>
    </xdr:from>
    <xdr:to>
      <xdr:col>7</xdr:col>
      <xdr:colOff>523875</xdr:colOff>
      <xdr:row>34</xdr:row>
      <xdr:rowOff>95250</xdr:rowOff>
    </xdr:to>
    <xdr:sp macro="" textlink="">
      <xdr:nvSpPr>
        <xdr:cNvPr id="13329" name="AutoShape 6">
          <a:extLst>
            <a:ext uri="{FF2B5EF4-FFF2-40B4-BE49-F238E27FC236}">
              <a16:creationId xmlns:a16="http://schemas.microsoft.com/office/drawing/2014/main" id="{00000000-0008-0000-0000-000011340000}"/>
            </a:ext>
          </a:extLst>
        </xdr:cNvPr>
        <xdr:cNvSpPr>
          <a:spLocks noChangeArrowheads="1"/>
        </xdr:cNvSpPr>
      </xdr:nvSpPr>
      <xdr:spPr bwMode="auto">
        <a:xfrm>
          <a:off x="10972800" y="5524500"/>
          <a:ext cx="333375" cy="76200"/>
        </a:xfrm>
        <a:prstGeom prst="leftRightArrow">
          <a:avLst>
            <a:gd name="adj1" fmla="val 50000"/>
            <a:gd name="adj2" fmla="val 87500"/>
          </a:avLst>
        </a:prstGeom>
        <a:solidFill>
          <a:srgbClr val="FFFFFF"/>
        </a:solidFill>
        <a:ln w="9525">
          <a:solidFill>
            <a:srgbClr val="000000"/>
          </a:solidFill>
          <a:miter lim="800000"/>
          <a:headEnd/>
          <a:tailEnd/>
        </a:ln>
      </xdr:spPr>
    </xdr:sp>
    <xdr:clientData/>
  </xdr:twoCellAnchor>
  <xdr:twoCellAnchor>
    <xdr:from>
      <xdr:col>8</xdr:col>
      <xdr:colOff>542925</xdr:colOff>
      <xdr:row>43</xdr:row>
      <xdr:rowOff>142875</xdr:rowOff>
    </xdr:from>
    <xdr:to>
      <xdr:col>16</xdr:col>
      <xdr:colOff>390525</xdr:colOff>
      <xdr:row>49</xdr:row>
      <xdr:rowOff>95250</xdr:rowOff>
    </xdr:to>
    <xdr:sp macro="" textlink="">
      <xdr:nvSpPr>
        <xdr:cNvPr id="13319" name="AutoShape 7">
          <a:extLst>
            <a:ext uri="{FF2B5EF4-FFF2-40B4-BE49-F238E27FC236}">
              <a16:creationId xmlns:a16="http://schemas.microsoft.com/office/drawing/2014/main" id="{00000000-0008-0000-0000-000007340000}"/>
            </a:ext>
          </a:extLst>
        </xdr:cNvPr>
        <xdr:cNvSpPr>
          <a:spLocks noChangeArrowheads="1"/>
        </xdr:cNvSpPr>
      </xdr:nvSpPr>
      <xdr:spPr bwMode="auto">
        <a:xfrm>
          <a:off x="11934825" y="7105650"/>
          <a:ext cx="4724400" cy="923925"/>
        </a:xfrm>
        <a:prstGeom prst="flowChartDocumen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MC_AND_ LOADSHAPE</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Contains avoided cost and shape of savings data. Called by ProCost.</a:t>
          </a:r>
        </a:p>
      </xdr:txBody>
    </xdr:sp>
    <xdr:clientData/>
  </xdr:twoCellAnchor>
  <xdr:twoCellAnchor>
    <xdr:from>
      <xdr:col>7</xdr:col>
      <xdr:colOff>209550</xdr:colOff>
      <xdr:row>48</xdr:row>
      <xdr:rowOff>19050</xdr:rowOff>
    </xdr:from>
    <xdr:to>
      <xdr:col>7</xdr:col>
      <xdr:colOff>542925</xdr:colOff>
      <xdr:row>48</xdr:row>
      <xdr:rowOff>85725</xdr:rowOff>
    </xdr:to>
    <xdr:sp macro="" textlink="">
      <xdr:nvSpPr>
        <xdr:cNvPr id="13331" name="AutoShape 8">
          <a:extLst>
            <a:ext uri="{FF2B5EF4-FFF2-40B4-BE49-F238E27FC236}">
              <a16:creationId xmlns:a16="http://schemas.microsoft.com/office/drawing/2014/main" id="{00000000-0008-0000-0000-000013340000}"/>
            </a:ext>
          </a:extLst>
        </xdr:cNvPr>
        <xdr:cNvSpPr>
          <a:spLocks noChangeArrowheads="1"/>
        </xdr:cNvSpPr>
      </xdr:nvSpPr>
      <xdr:spPr bwMode="auto">
        <a:xfrm>
          <a:off x="10991850" y="7791450"/>
          <a:ext cx="333375" cy="66675"/>
        </a:xfrm>
        <a:prstGeom prst="leftRightArrow">
          <a:avLst>
            <a:gd name="adj1" fmla="val 50000"/>
            <a:gd name="adj2" fmla="val 100000"/>
          </a:avLst>
        </a:prstGeom>
        <a:solidFill>
          <a:srgbClr val="FFFFFF"/>
        </a:solidFill>
        <a:ln w="9525">
          <a:solidFill>
            <a:srgbClr val="000000"/>
          </a:solidFill>
          <a:miter lim="800000"/>
          <a:headEnd/>
          <a:tailEnd/>
        </a:ln>
      </xdr:spPr>
    </xdr:sp>
    <xdr:clientData/>
  </xdr:twoCellAnchor>
  <xdr:twoCellAnchor>
    <xdr:from>
      <xdr:col>7</xdr:col>
      <xdr:colOff>190500</xdr:colOff>
      <xdr:row>68</xdr:row>
      <xdr:rowOff>95250</xdr:rowOff>
    </xdr:from>
    <xdr:to>
      <xdr:col>7</xdr:col>
      <xdr:colOff>523875</xdr:colOff>
      <xdr:row>68</xdr:row>
      <xdr:rowOff>152400</xdr:rowOff>
    </xdr:to>
    <xdr:sp macro="" textlink="">
      <xdr:nvSpPr>
        <xdr:cNvPr id="13332" name="AutoShape 10">
          <a:extLst>
            <a:ext uri="{FF2B5EF4-FFF2-40B4-BE49-F238E27FC236}">
              <a16:creationId xmlns:a16="http://schemas.microsoft.com/office/drawing/2014/main" id="{00000000-0008-0000-0000-000014340000}"/>
            </a:ext>
          </a:extLst>
        </xdr:cNvPr>
        <xdr:cNvSpPr>
          <a:spLocks noChangeArrowheads="1"/>
        </xdr:cNvSpPr>
      </xdr:nvSpPr>
      <xdr:spPr bwMode="auto">
        <a:xfrm>
          <a:off x="10972800" y="11106150"/>
          <a:ext cx="333375" cy="57150"/>
        </a:xfrm>
        <a:prstGeom prst="leftRightArrow">
          <a:avLst>
            <a:gd name="adj1" fmla="val 50000"/>
            <a:gd name="adj2" fmla="val 116667"/>
          </a:avLst>
        </a:prstGeom>
        <a:solidFill>
          <a:srgbClr val="FFFFFF"/>
        </a:solidFill>
        <a:ln w="9525">
          <a:solidFill>
            <a:srgbClr val="000000"/>
          </a:solidFill>
          <a:miter lim="800000"/>
          <a:headEnd/>
          <a:tailEnd/>
        </a:ln>
      </xdr:spPr>
    </xdr:sp>
    <xdr:clientData/>
  </xdr:twoCellAnchor>
  <xdr:twoCellAnchor>
    <xdr:from>
      <xdr:col>8</xdr:col>
      <xdr:colOff>485775</xdr:colOff>
      <xdr:row>53</xdr:row>
      <xdr:rowOff>104775</xdr:rowOff>
    </xdr:from>
    <xdr:to>
      <xdr:col>16</xdr:col>
      <xdr:colOff>219075</xdr:colOff>
      <xdr:row>70</xdr:row>
      <xdr:rowOff>57150</xdr:rowOff>
    </xdr:to>
    <xdr:sp macro="" textlink="">
      <xdr:nvSpPr>
        <xdr:cNvPr id="13323" name="AutoShape 11">
          <a:extLst>
            <a:ext uri="{FF2B5EF4-FFF2-40B4-BE49-F238E27FC236}">
              <a16:creationId xmlns:a16="http://schemas.microsoft.com/office/drawing/2014/main" id="{00000000-0008-0000-0000-00000B340000}"/>
            </a:ext>
          </a:extLst>
        </xdr:cNvPr>
        <xdr:cNvSpPr>
          <a:spLocks noChangeArrowheads="1"/>
        </xdr:cNvSpPr>
      </xdr:nvSpPr>
      <xdr:spPr bwMode="auto">
        <a:xfrm>
          <a:off x="11877675" y="8686800"/>
          <a:ext cx="4610100" cy="2705100"/>
        </a:xfrm>
        <a:prstGeom prst="flowChartDocumen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ConsWBExtract</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Pulls data from the "forRPM" tab from each individual workbook into a single CSV file.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G\Main\Plan%205\FinalPlan\PC-ReRoof-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EEM%20workbooks/SEEM99/app/SEEMruns_SFExistingWeatherization_February2020_PlanFMYWork.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EEM%20workbooks/SEEM99/app/SEEMruns_MHExistingWeatherization_February2020_PlanFMYWor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ghth%20Plan/Conservation%20Analysis/Global%20EE%20Inputs/Units%20Forecasts/2021P%20Forecas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DHPZonalMF-2021P_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VSE-2021P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Lighting-2021P_v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Whole%20House%20Fan-2021P_v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Monitors-2021P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Dishwasher-2021P_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Computers-2021P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roData"/>
      <sheetName val="MDataElec"/>
      <sheetName val="MMap"/>
      <sheetName val="MDataGas"/>
      <sheetName val="R11 to R22 ElecHt"/>
      <sheetName val="R0 to R22 ElecHt"/>
      <sheetName val="R11 to R22 HtPump"/>
      <sheetName val="R0 to R22 HtPump"/>
      <sheetName val="Notes and Sources"/>
      <sheetName val="To Do"/>
      <sheetName val="Nov2003"/>
      <sheetName val="9March04A"/>
      <sheetName val="9Apr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 Avg. Units per Household"/>
      <sheetName val="Savings Analysis per Household"/>
      <sheetName val="Savings Analysis per Unit"/>
      <sheetName val="AdjOutputsSF - Calibration"/>
      <sheetName val="AdjustedOutputsSF-Cal1"/>
      <sheetName val="SEEMoutput"/>
      <sheetName val="SEEM Inputs ----&gt;&gt;&gt;"/>
      <sheetName val="RBSAI_SEEMinputs"/>
      <sheetName val="RBSAII_SEEMinputs"/>
      <sheetName val="Reference Sheets ---&gt;&gt;&gt;"/>
      <sheetName val="QC"/>
      <sheetName val="Regional Summary"/>
      <sheetName val="BPA Summary"/>
      <sheetName val="Baseline Conditions"/>
      <sheetName val="BPA site"/>
      <sheetName val="RBSA Sample Weights"/>
      <sheetName val="RBSA II Final Outputs"/>
      <sheetName val="Josh's Rosetta Stone"/>
      <sheetName val="Representative Weather Cities"/>
      <sheetName val="Standard SEEM Sheets ---&gt;&gt;&gt;"/>
      <sheetName val="Intro"/>
      <sheetName val="RTF Guide to SEEM"/>
      <sheetName val="SEEM"/>
      <sheetName val="SEEMinput"/>
      <sheetName val="InputMap"/>
      <sheetName val="Calibration"/>
      <sheetName val="Reference"/>
      <sheetName val="(SDRval) (RDRval)"/>
      <sheetName val="(Rfloor)"/>
      <sheetName val="(Rextwall)"/>
      <sheetName val="(Rceiling)"/>
      <sheetName val="(Uwindow)(SHGC)"/>
      <sheetName val="(CFM50)"/>
      <sheetName val="(QGains)"/>
      <sheetName val="(Tons) (Furnsize)"/>
      <sheetName val="(CFMmult) (HPcntrl) (Tcntrl)"/>
      <sheetName val="(SDLeak)(RDLeak)"/>
      <sheetName val="Constants"/>
      <sheetName val="RTF Prototypes"/>
      <sheetName val="setpointschedule_heat"/>
      <sheetName val="setpointschedule_cool"/>
      <sheetName val="Qgains_schedule"/>
      <sheetName val="Wgains_schedule"/>
      <sheetName val="fanschedule"/>
      <sheetName val="draw_schedule"/>
      <sheetName val="DRschedule"/>
      <sheetName val="SEEMReadMe"/>
      <sheetName val="About"/>
      <sheetName val="HP_Curves"/>
      <sheetName val="DHP_Curves"/>
      <sheetName val="HPWH_Curves"/>
      <sheetName val="ToDo"/>
      <sheetName val="ChangeLog"/>
    </sheetNames>
    <sheetDataSet>
      <sheetData sheetId="0">
        <row r="13">
          <cell r="D13">
            <v>1215.2598734927806</v>
          </cell>
          <cell r="E13">
            <v>1284.2375561642939</v>
          </cell>
          <cell r="F13">
            <v>1170.4040805548323</v>
          </cell>
          <cell r="I13">
            <v>431.27147732303678</v>
          </cell>
          <cell r="J13">
            <v>1452.0153410322519</v>
          </cell>
          <cell r="K13">
            <v>178.75425981367184</v>
          </cell>
        </row>
      </sheetData>
      <sheetData sheetId="1">
        <row r="32">
          <cell r="AK32" t="str">
            <v>Electric FAFHeating Zone 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 Avg. Units per Household"/>
      <sheetName val="Savings Analysis per Unit"/>
      <sheetName val="Savings Analysis per Household"/>
      <sheetName val="AdjOutputsMH - Calibration 2"/>
      <sheetName val="AdjustedOutputsSF-Cal1"/>
      <sheetName val="SEEMoutput"/>
      <sheetName val="RBSAI_SEEMinputs"/>
      <sheetName val="RBSAII_SEEMinputs"/>
      <sheetName val="QC"/>
      <sheetName val="Regional Summary"/>
      <sheetName val="BPA Summary"/>
      <sheetName val="Baseline Conditions"/>
      <sheetName val="BPA site"/>
      <sheetName val="RBSA Sample Weights"/>
      <sheetName val="RBSA II Final Outputs"/>
      <sheetName val="Josh's Rosetta Stone"/>
      <sheetName val="Representative Weather Cities"/>
      <sheetName val="Intro"/>
      <sheetName val="RTF Guide to SEEM"/>
      <sheetName val="SEEM"/>
      <sheetName val="SEEMinput"/>
      <sheetName val="InputMap"/>
      <sheetName val="Calibration"/>
      <sheetName val="Reference"/>
      <sheetName val="(SDRval) (RDRval)"/>
      <sheetName val="(Rfloor)"/>
      <sheetName val="(Rextwall)"/>
      <sheetName val="(Rceiling)"/>
      <sheetName val="(Uwindow)(SHGC)"/>
      <sheetName val="(CFM50)"/>
      <sheetName val="(QGains)"/>
      <sheetName val="(Tons) (Furnsize)"/>
      <sheetName val="(CFMmult) (HPcntrl) (Tcntrl)"/>
      <sheetName val="(SDLeak)(RDLeak)"/>
      <sheetName val="Constants"/>
      <sheetName val="RTF Prototypes"/>
      <sheetName val="setpointschedule_heat"/>
      <sheetName val="setpointschedule_cool"/>
      <sheetName val="Qgains_schedule"/>
      <sheetName val="Wgains_schedule"/>
      <sheetName val="fanschedule"/>
      <sheetName val="draw_schedule"/>
      <sheetName val="DRschedule"/>
      <sheetName val="SEEMReadMe"/>
      <sheetName val="About"/>
      <sheetName val="HP_Curves"/>
      <sheetName val="DHP_Curves"/>
      <sheetName val="HPWH_Curves"/>
      <sheetName val="ToDo"/>
      <sheetName val="ChangeLog"/>
      <sheetName val="SEEMruns_MHExistingWeatherizati"/>
    </sheetNames>
    <sheetDataSet>
      <sheetData sheetId="0">
        <row r="10">
          <cell r="D10">
            <v>1283.6447931566927</v>
          </cell>
          <cell r="E10">
            <v>1233.3804551677226</v>
          </cell>
          <cell r="F10">
            <v>1260.8750821619999</v>
          </cell>
          <cell r="J10">
            <v>1261.5980408504911</v>
          </cell>
          <cell r="K10">
            <v>154.13247821047429</v>
          </cell>
        </row>
      </sheetData>
      <sheetData sheetId="1"/>
      <sheetData sheetId="2">
        <row r="3">
          <cell r="BJ3" t="str">
            <v>Electrical ResistanceHZ1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Forecast Switchboard"/>
      <sheetName val="Lists&amp;Tables"/>
      <sheetName val="Res Forecast (Low)"/>
      <sheetName val="Res Forecast (Base Case)"/>
      <sheetName val="Res Forecast (High)"/>
      <sheetName val="Com Forecast (Low)"/>
      <sheetName val="Com Forecast (Base Case)"/>
      <sheetName val="Com Forecast (High)"/>
      <sheetName val="Ind Forecast (Low)"/>
      <sheetName val="Ind Forecast (Base Case)"/>
      <sheetName val="Ind Forecast (High)"/>
      <sheetName val="Ag Forecast (Low)"/>
      <sheetName val="Ag Forecast (Base Case)"/>
      <sheetName val="Ag Forecast (High)"/>
      <sheetName val="Pop Forecast (High)"/>
      <sheetName val="Pop Forecast (Base Case)"/>
      <sheetName val="Pop Forecast (Low)"/>
      <sheetName val="DEI (Base Case)"/>
      <sheetName val="Dairy Forecast (Base Case)"/>
      <sheetName val="Dairy Forecast (Low)"/>
      <sheetName val="Dairy Forecast (High)"/>
      <sheetName val="EV Forecast (Base Case)"/>
      <sheetName val="EV Forecast (Low)"/>
      <sheetName val="EV Forecast (High)"/>
      <sheetName val="DEI Forecast (Base Case)"/>
      <sheetName val="DEI Forecast (High)"/>
      <sheetName val="DEI Forecast (Low)"/>
      <sheetName val="DataCenter Forecast (Base Case)"/>
      <sheetName val="DataCenter Forecast (High)"/>
      <sheetName val="DataCenter Forecast (Low)"/>
      <sheetName val="Load_Climate1_XGO_Base_Freeze"/>
      <sheetName val="Load_Climate1_XGO_High_Freeze"/>
      <sheetName val="Load_Climate1_XGO_Low_Freeze"/>
      <sheetName val="2021P Forecasts"/>
      <sheetName val="CHAR"/>
      <sheetName val="MLIST"/>
      <sheetName val="RAMP"/>
      <sheetName val="APPLIC"/>
      <sheetName val="Overview"/>
      <sheetName val="FILES"/>
      <sheetName val="BASE"/>
      <sheetName val="FEAS"/>
      <sheetName val="STOCK"/>
      <sheetName val="TURN"/>
      <sheetName val="ACHIEV"/>
      <sheetName val="CODE"/>
      <sheetName val="Floor"/>
      <sheetName val="Vars"/>
      <sheetName val="Labels"/>
      <sheetName val="Lookup"/>
      <sheetName val="EUI"/>
      <sheetName val="CBSA Heat Type Data"/>
      <sheetName val="CBSA Data New"/>
      <sheetName val="BPA Taxonomy"/>
      <sheetName val="Sheet1"/>
      <sheetName val="Sheet2"/>
    </sheetNames>
    <sheetDataSet>
      <sheetData sheetId="0"/>
      <sheetData sheetId="1">
        <row r="3">
          <cell r="H3" t="str">
            <v>Base</v>
          </cell>
        </row>
      </sheetData>
      <sheetData sheetId="2">
        <row r="3">
          <cell r="H3">
            <v>100</v>
          </cell>
        </row>
      </sheetData>
      <sheetData sheetId="3">
        <row r="21">
          <cell r="H21">
            <v>207300.75230659655</v>
          </cell>
        </row>
      </sheetData>
      <sheetData sheetId="4">
        <row r="14">
          <cell r="C14" t="str">
            <v>OR_Single Family</v>
          </cell>
          <cell r="D14" t="str">
            <v>Single Family</v>
          </cell>
          <cell r="E14" t="str">
            <v>New</v>
          </cell>
          <cell r="F14">
            <v>15923.065537125671</v>
          </cell>
          <cell r="G14">
            <v>15761.514233895034</v>
          </cell>
          <cell r="H14">
            <v>15366.319790936281</v>
          </cell>
          <cell r="I14">
            <v>15192.367086595121</v>
          </cell>
          <cell r="J14">
            <v>15342.317782144461</v>
          </cell>
          <cell r="K14">
            <v>14991.909530235114</v>
          </cell>
          <cell r="L14">
            <v>14318.18084556169</v>
          </cell>
          <cell r="M14">
            <v>13729.530662814577</v>
          </cell>
          <cell r="N14">
            <v>13436.778530247113</v>
          </cell>
          <cell r="O14">
            <v>13441.066441801591</v>
          </cell>
          <cell r="P14">
            <v>13382.031871170335</v>
          </cell>
          <cell r="Q14">
            <v>12858.367101515532</v>
          </cell>
          <cell r="R14">
            <v>12658.092194348033</v>
          </cell>
          <cell r="S14">
            <v>12638.736305544533</v>
          </cell>
          <cell r="T14">
            <v>12616.91030978374</v>
          </cell>
          <cell r="U14">
            <v>12333.83069193032</v>
          </cell>
          <cell r="V14">
            <v>12092.740499347299</v>
          </cell>
          <cell r="W14">
            <v>11798.721661085419</v>
          </cell>
          <cell r="X14">
            <v>11440.344174972148</v>
          </cell>
          <cell r="Y14">
            <v>11203.022285587116</v>
          </cell>
          <cell r="Z14">
            <v>10956.520607899636</v>
          </cell>
          <cell r="AA14">
            <v>10620.80159377332</v>
          </cell>
          <cell r="AB14">
            <v>10523.500059387841</v>
          </cell>
          <cell r="AC14">
            <v>10474.901482612293</v>
          </cell>
          <cell r="AD14">
            <v>10478.698462505223</v>
          </cell>
          <cell r="AE14">
            <v>10435.581164966779</v>
          </cell>
          <cell r="AF14">
            <v>10336.26750344739</v>
          </cell>
          <cell r="AG14">
            <v>10220.799430835767</v>
          </cell>
          <cell r="AH14">
            <v>10107.168779182561</v>
          </cell>
          <cell r="AI14">
            <v>10177.213030162422</v>
          </cell>
          <cell r="AJ14"/>
          <cell r="AK14"/>
          <cell r="AL14"/>
          <cell r="AM14"/>
          <cell r="AN14"/>
          <cell r="AO14"/>
          <cell r="AP14"/>
          <cell r="AQ14"/>
          <cell r="AR14"/>
          <cell r="AS14"/>
          <cell r="AT14"/>
          <cell r="AU14"/>
          <cell r="AV14"/>
          <cell r="AW14"/>
          <cell r="AX14"/>
          <cell r="AY14"/>
          <cell r="AZ14"/>
          <cell r="BA14"/>
          <cell r="BB14"/>
          <cell r="BC14"/>
          <cell r="BD14"/>
        </row>
        <row r="15">
          <cell r="C15" t="str">
            <v>OR_Multi Family</v>
          </cell>
          <cell r="D15" t="str">
            <v>Multifamily - Low Rise</v>
          </cell>
          <cell r="E15" t="str">
            <v>New</v>
          </cell>
          <cell r="F15">
            <v>7240.812384363091</v>
          </cell>
          <cell r="G15">
            <v>7307.6866732296457</v>
          </cell>
          <cell r="H15">
            <v>7272.1248684348957</v>
          </cell>
          <cell r="I15">
            <v>7152.3195741428499</v>
          </cell>
          <cell r="J15">
            <v>7032.8593077250025</v>
          </cell>
          <cell r="K15">
            <v>6728.2734812135986</v>
          </cell>
          <cell r="L15">
            <v>6422.6176022678783</v>
          </cell>
          <cell r="M15">
            <v>6132.7242531271959</v>
          </cell>
          <cell r="N15">
            <v>5745.5905848879947</v>
          </cell>
          <cell r="O15">
            <v>5506.2466614394789</v>
          </cell>
          <cell r="P15">
            <v>5380.6971373600472</v>
          </cell>
          <cell r="Q15">
            <v>5183.0405550433652</v>
          </cell>
          <cell r="R15">
            <v>5065.8427038171285</v>
          </cell>
          <cell r="S15">
            <v>4832.6768802514343</v>
          </cell>
          <cell r="T15">
            <v>4758.4076710880927</v>
          </cell>
          <cell r="U15">
            <v>4572.614546892607</v>
          </cell>
          <cell r="V15">
            <v>4535.7006287591967</v>
          </cell>
          <cell r="W15">
            <v>4237.5705346844734</v>
          </cell>
          <cell r="X15">
            <v>4113.8878929064076</v>
          </cell>
          <cell r="Y15">
            <v>4002.86457066802</v>
          </cell>
          <cell r="Z15">
            <v>3856.5388034567382</v>
          </cell>
          <cell r="AA15">
            <v>3553.8584073546008</v>
          </cell>
          <cell r="AB15">
            <v>3607.6722172916216</v>
          </cell>
          <cell r="AC15">
            <v>3579.6384694164326</v>
          </cell>
          <cell r="AD15">
            <v>3635.7097937078679</v>
          </cell>
          <cell r="AE15">
            <v>3678.8506150055746</v>
          </cell>
          <cell r="AF15">
            <v>3698.7039267057203</v>
          </cell>
          <cell r="AG15">
            <v>3656.7399965883792</v>
          </cell>
          <cell r="AH15">
            <v>3615.1122398217849</v>
          </cell>
          <cell r="AI15">
            <v>3573.8101481011909</v>
          </cell>
          <cell r="AJ15"/>
          <cell r="AK15"/>
          <cell r="AL15"/>
          <cell r="AM15"/>
          <cell r="AN15"/>
          <cell r="AO15"/>
          <cell r="AP15"/>
          <cell r="AQ15"/>
          <cell r="AR15"/>
          <cell r="AS15"/>
          <cell r="AT15"/>
          <cell r="AU15"/>
          <cell r="AV15"/>
          <cell r="AW15"/>
          <cell r="AX15"/>
          <cell r="AY15"/>
          <cell r="AZ15"/>
          <cell r="BA15"/>
          <cell r="BB15"/>
          <cell r="BC15"/>
          <cell r="BD15"/>
        </row>
        <row r="16">
          <cell r="C16" t="str">
            <v>OR</v>
          </cell>
          <cell r="D16" t="str">
            <v>Multifamily - High Rise</v>
          </cell>
          <cell r="E16" t="str">
            <v>New</v>
          </cell>
          <cell r="F16">
            <v>1698.4621642333175</v>
          </cell>
          <cell r="G16">
            <v>1714.1487258192997</v>
          </cell>
          <cell r="H16">
            <v>1705.8070679044818</v>
          </cell>
          <cell r="I16">
            <v>1677.7045914656067</v>
          </cell>
          <cell r="J16">
            <v>1649.6830474910498</v>
          </cell>
          <cell r="K16">
            <v>1578.2369894204737</v>
          </cell>
          <cell r="L16">
            <v>1506.5399313961689</v>
          </cell>
          <cell r="M16">
            <v>1438.5402569063792</v>
          </cell>
          <cell r="N16">
            <v>1347.7311248502704</v>
          </cell>
          <cell r="O16">
            <v>1291.5887230537048</v>
          </cell>
          <cell r="P16">
            <v>1262.1388346893939</v>
          </cell>
          <cell r="Q16">
            <v>1215.7749450101721</v>
          </cell>
          <cell r="R16">
            <v>1188.2840910188327</v>
          </cell>
          <cell r="S16">
            <v>1133.5908731453981</v>
          </cell>
          <cell r="T16">
            <v>1116.169700625602</v>
          </cell>
          <cell r="U16">
            <v>1072.5885974192536</v>
          </cell>
          <cell r="V16">
            <v>1063.9297771163547</v>
          </cell>
          <cell r="W16">
            <v>993.99802665438267</v>
          </cell>
          <cell r="X16">
            <v>964.98604895335484</v>
          </cell>
          <cell r="Y16">
            <v>938.94354126780706</v>
          </cell>
          <cell r="Z16">
            <v>904.62021315651873</v>
          </cell>
          <cell r="AA16">
            <v>833.62110789799272</v>
          </cell>
          <cell r="AB16">
            <v>846.24410035235564</v>
          </cell>
          <cell r="AC16">
            <v>839.66828294953348</v>
          </cell>
          <cell r="AD16">
            <v>852.82081580801832</v>
          </cell>
          <cell r="AE16">
            <v>862.94026771735696</v>
          </cell>
          <cell r="AF16">
            <v>867.59721737541588</v>
          </cell>
          <cell r="AG16">
            <v>857.7538263602371</v>
          </cell>
          <cell r="AH16">
            <v>847.98929082239397</v>
          </cell>
          <cell r="AI16">
            <v>838.30114585089655</v>
          </cell>
          <cell r="AJ16"/>
          <cell r="AK16"/>
          <cell r="AL16"/>
          <cell r="AM16"/>
          <cell r="AN16"/>
          <cell r="AO16"/>
          <cell r="AP16"/>
          <cell r="AQ16"/>
          <cell r="AR16"/>
          <cell r="AS16"/>
          <cell r="AT16"/>
          <cell r="AU16"/>
          <cell r="AV16"/>
          <cell r="AW16"/>
          <cell r="AX16"/>
          <cell r="AY16"/>
          <cell r="AZ16"/>
          <cell r="BA16"/>
          <cell r="BB16"/>
          <cell r="BC16"/>
          <cell r="BD16"/>
        </row>
        <row r="17">
          <cell r="C17" t="str">
            <v>OR_Other Family</v>
          </cell>
          <cell r="D17" t="str">
            <v>Manufactured</v>
          </cell>
          <cell r="E17" t="str">
            <v>New</v>
          </cell>
          <cell r="F17">
            <v>1716.9776545503391</v>
          </cell>
          <cell r="G17">
            <v>1755.858241513844</v>
          </cell>
          <cell r="H17">
            <v>1786.5472787962167</v>
          </cell>
          <cell r="I17">
            <v>1827.041404323166</v>
          </cell>
          <cell r="J17">
            <v>1881.3592696652386</v>
          </cell>
          <cell r="K17">
            <v>1904.7682905406875</v>
          </cell>
          <cell r="L17">
            <v>1903.8779195558132</v>
          </cell>
          <cell r="M17">
            <v>1936.7142377468745</v>
          </cell>
          <cell r="N17">
            <v>1984.1740145920294</v>
          </cell>
          <cell r="O17">
            <v>2051.5055779848235</v>
          </cell>
          <cell r="P17">
            <v>2123.4936521935306</v>
          </cell>
          <cell r="Q17">
            <v>2132.9692449043691</v>
          </cell>
          <cell r="R17">
            <v>2186.4020691815999</v>
          </cell>
          <cell r="S17">
            <v>2255.0303480866141</v>
          </cell>
          <cell r="T17">
            <v>2321.1781689431446</v>
          </cell>
          <cell r="U17">
            <v>2338.4854344477981</v>
          </cell>
          <cell r="V17">
            <v>2384.1426452947185</v>
          </cell>
          <cell r="W17">
            <v>2420.59643420985</v>
          </cell>
          <cell r="X17">
            <v>2439.6202997240225</v>
          </cell>
          <cell r="Y17">
            <v>2478.9976022366513</v>
          </cell>
          <cell r="Z17">
            <v>2509.5291917162886</v>
          </cell>
          <cell r="AA17">
            <v>2523.8610386373252</v>
          </cell>
          <cell r="AB17">
            <v>2582.7024025085902</v>
          </cell>
          <cell r="AC17">
            <v>2660.1007680151092</v>
          </cell>
          <cell r="AD17">
            <v>2747.0699652429603</v>
          </cell>
          <cell r="AE17">
            <v>2823.1977756825804</v>
          </cell>
          <cell r="AF17">
            <v>2885.0431719208605</v>
          </cell>
          <cell r="AG17">
            <v>2945.3371867660949</v>
          </cell>
          <cell r="AH17">
            <v>3006.2604050512896</v>
          </cell>
          <cell r="AI17">
            <v>3067.8313727603113</v>
          </cell>
          <cell r="AJ17"/>
          <cell r="AK17"/>
          <cell r="AL17"/>
          <cell r="AM17"/>
          <cell r="AN17"/>
          <cell r="AO17"/>
          <cell r="AP17"/>
          <cell r="AQ17"/>
          <cell r="AR17"/>
          <cell r="AS17"/>
          <cell r="AT17"/>
          <cell r="AU17"/>
          <cell r="AV17"/>
          <cell r="AW17"/>
          <cell r="AX17"/>
          <cell r="AY17"/>
          <cell r="AZ17"/>
          <cell r="BA17"/>
          <cell r="BB17"/>
          <cell r="BC17"/>
          <cell r="BD17"/>
        </row>
        <row r="18">
          <cell r="C18" t="str">
            <v>OR_Single Family</v>
          </cell>
          <cell r="D18" t="str">
            <v>Single Family</v>
          </cell>
          <cell r="E18" t="str">
            <v>Existing</v>
          </cell>
          <cell r="F18">
            <v>1339222.1770298574</v>
          </cell>
          <cell r="G18">
            <v>1336181.0963513025</v>
          </cell>
          <cell r="H18">
            <v>1333146.9213018895</v>
          </cell>
          <cell r="I18">
            <v>1330119.6362004452</v>
          </cell>
          <cell r="J18">
            <v>1327099.2254014045</v>
          </cell>
          <cell r="K18">
            <v>1324085.67329473</v>
          </cell>
          <cell r="L18">
            <v>1321078.9643058314</v>
          </cell>
          <cell r="M18">
            <v>1318079.0828954845</v>
          </cell>
          <cell r="N18">
            <v>1315086.0135597519</v>
          </cell>
          <cell r="O18">
            <v>1312099.740829902</v>
          </cell>
          <cell r="P18">
            <v>1309120.249272329</v>
          </cell>
          <cell r="Q18">
            <v>1306147.5234884738</v>
          </cell>
          <cell r="R18">
            <v>1303181.548114744</v>
          </cell>
          <cell r="S18">
            <v>1300222.3078224345</v>
          </cell>
          <cell r="T18">
            <v>1297269.7873176483</v>
          </cell>
          <cell r="U18">
            <v>1294323.9713412176</v>
          </cell>
          <cell r="V18">
            <v>1291384.8446686247</v>
          </cell>
          <cell r="W18">
            <v>1288452.3921099235</v>
          </cell>
          <cell r="X18">
            <v>1285526.5985096612</v>
          </cell>
          <cell r="Y18">
            <v>1282607.448746799</v>
          </cell>
          <cell r="Z18">
            <v>1279694.9277346355</v>
          </cell>
          <cell r="AA18">
            <v>1276789.0204207278</v>
          </cell>
          <cell r="AB18">
            <v>1273889.7117868131</v>
          </cell>
          <cell r="AC18">
            <v>1270996.9868487325</v>
          </cell>
          <cell r="AD18">
            <v>1268110.8306563525</v>
          </cell>
          <cell r="AE18">
            <v>1265231.2282934883</v>
          </cell>
          <cell r="AF18">
            <v>1262358.1648778261</v>
          </cell>
          <cell r="AG18">
            <v>1259491.6255608473</v>
          </cell>
          <cell r="AH18">
            <v>1256631.5955277504</v>
          </cell>
          <cell r="AI18">
            <v>1253778.0599973751</v>
          </cell>
          <cell r="AJ18"/>
          <cell r="AK18"/>
          <cell r="AL18"/>
          <cell r="AM18"/>
          <cell r="AN18"/>
          <cell r="AO18"/>
          <cell r="AP18"/>
          <cell r="AQ18"/>
          <cell r="AR18"/>
          <cell r="AS18"/>
          <cell r="AT18"/>
          <cell r="AU18"/>
          <cell r="AV18"/>
          <cell r="AW18"/>
          <cell r="AX18"/>
          <cell r="AY18"/>
          <cell r="AZ18"/>
          <cell r="BA18"/>
          <cell r="BB18"/>
          <cell r="BC18"/>
          <cell r="BD18"/>
        </row>
        <row r="19">
          <cell r="C19" t="str">
            <v>OR_Multi Family</v>
          </cell>
          <cell r="D19" t="str">
            <v>Multifamily - Low Rise</v>
          </cell>
          <cell r="E19" t="str">
            <v>Existing</v>
          </cell>
          <cell r="F19">
            <v>311200.62611127843</v>
          </cell>
          <cell r="G19">
            <v>310493.94618677528</v>
          </cell>
          <cell r="H19">
            <v>309788.87100363121</v>
          </cell>
          <cell r="I19">
            <v>309085.39691777102</v>
          </cell>
          <cell r="J19">
            <v>308383.52029339439</v>
          </cell>
          <cell r="K19">
            <v>307683.2375029574</v>
          </cell>
          <cell r="L19">
            <v>306984.5449271535</v>
          </cell>
          <cell r="M19">
            <v>306287.43895489501</v>
          </cell>
          <cell r="N19">
            <v>305591.91598329437</v>
          </cell>
          <cell r="O19">
            <v>304897.97241764545</v>
          </cell>
          <cell r="P19">
            <v>304205.60467140505</v>
          </cell>
          <cell r="Q19">
            <v>303514.80916617444</v>
          </cell>
          <cell r="R19">
            <v>302825.58233168075</v>
          </cell>
          <cell r="S19">
            <v>302137.9206057585</v>
          </cell>
          <cell r="T19">
            <v>301451.82043433125</v>
          </cell>
          <cell r="U19">
            <v>300767.27827139327</v>
          </cell>
          <cell r="V19">
            <v>300084.29057899112</v>
          </cell>
          <cell r="W19">
            <v>299402.85382720543</v>
          </cell>
          <cell r="X19">
            <v>298722.96449413261</v>
          </cell>
          <cell r="Y19">
            <v>298044.61906586675</v>
          </cell>
          <cell r="Z19">
            <v>297367.81403648126</v>
          </cell>
          <cell r="AA19">
            <v>296692.54590801091</v>
          </cell>
          <cell r="AB19">
            <v>296018.81119043374</v>
          </cell>
          <cell r="AC19">
            <v>295346.60640165303</v>
          </cell>
          <cell r="AD19">
            <v>294675.92806747917</v>
          </cell>
          <cell r="AE19">
            <v>294006.77272161184</v>
          </cell>
          <cell r="AF19">
            <v>293339.13690562209</v>
          </cell>
          <cell r="AG19">
            <v>292673.0171689344</v>
          </cell>
          <cell r="AH19">
            <v>292008.41006880894</v>
          </cell>
          <cell r="AI19">
            <v>291345.31217032362</v>
          </cell>
          <cell r="AJ19"/>
          <cell r="AK19"/>
          <cell r="AL19"/>
          <cell r="AM19"/>
          <cell r="AN19"/>
          <cell r="AO19"/>
          <cell r="AP19"/>
          <cell r="AQ19"/>
          <cell r="AR19"/>
          <cell r="AS19"/>
          <cell r="AT19"/>
          <cell r="AU19"/>
          <cell r="AV19"/>
          <cell r="AW19"/>
          <cell r="AX19"/>
          <cell r="AY19"/>
          <cell r="AZ19"/>
          <cell r="BA19"/>
          <cell r="BB19"/>
          <cell r="BC19"/>
          <cell r="BD19"/>
        </row>
        <row r="20">
          <cell r="D20" t="str">
            <v>Multifamily - High Rise</v>
          </cell>
          <cell r="E20" t="str">
            <v>Existing</v>
          </cell>
          <cell r="F20">
            <v>72997.677729806033</v>
          </cell>
          <cell r="G20">
            <v>72831.913303070731</v>
          </cell>
          <cell r="H20">
            <v>72666.525297148051</v>
          </cell>
          <cell r="I20">
            <v>72501.512857254915</v>
          </cell>
          <cell r="J20">
            <v>72336.875130549291</v>
          </cell>
          <cell r="K20">
            <v>72172.611266125794</v>
          </cell>
          <cell r="L20">
            <v>72008.720415011296</v>
          </cell>
          <cell r="M20">
            <v>71845.201730160537</v>
          </cell>
          <cell r="N20">
            <v>71682.054366451732</v>
          </cell>
          <cell r="O20">
            <v>71519.277480682227</v>
          </cell>
          <cell r="P20">
            <v>71356.870231564113</v>
          </cell>
          <cell r="Q20">
            <v>71194.831779719898</v>
          </cell>
          <cell r="R20">
            <v>71033.161287678158</v>
          </cell>
          <cell r="S20">
            <v>70871.857919869231</v>
          </cell>
          <cell r="T20">
            <v>70710.920842620864</v>
          </cell>
          <cell r="U20">
            <v>70550.349224153935</v>
          </cell>
          <cell r="V20">
            <v>70390.142234578132</v>
          </cell>
          <cell r="W20">
            <v>70230.299045887659</v>
          </cell>
          <cell r="X20">
            <v>70070.818831957004</v>
          </cell>
          <cell r="Y20">
            <v>69911.700768536612</v>
          </cell>
          <cell r="Z20">
            <v>69752.944033248656</v>
          </cell>
          <cell r="AA20">
            <v>69594.54780558277</v>
          </cell>
          <cell r="AB20">
            <v>69436.51126689183</v>
          </cell>
          <cell r="AC20">
            <v>69278.833600387705</v>
          </cell>
          <cell r="AD20">
            <v>69121.51399113705</v>
          </cell>
          <cell r="AE20">
            <v>68964.551626057058</v>
          </cell>
          <cell r="AF20">
            <v>68807.945693911315</v>
          </cell>
          <cell r="AG20">
            <v>68651.69538530556</v>
          </cell>
          <cell r="AH20">
            <v>68495.799892683543</v>
          </cell>
          <cell r="AI20">
            <v>68340.258410322785</v>
          </cell>
          <cell r="AJ20"/>
          <cell r="AK20"/>
          <cell r="AL20"/>
          <cell r="AM20"/>
          <cell r="AN20"/>
          <cell r="AO20"/>
          <cell r="AP20"/>
          <cell r="AQ20"/>
          <cell r="AR20"/>
          <cell r="AS20"/>
          <cell r="AT20"/>
          <cell r="AU20"/>
          <cell r="AV20"/>
          <cell r="AW20"/>
          <cell r="AX20"/>
          <cell r="AY20"/>
          <cell r="AZ20"/>
          <cell r="BA20"/>
          <cell r="BB20"/>
          <cell r="BC20"/>
          <cell r="BD20"/>
        </row>
        <row r="21">
          <cell r="C21" t="str">
            <v>OR_Other Family</v>
          </cell>
          <cell r="D21" t="str">
            <v>Manufactured</v>
          </cell>
          <cell r="E21" t="str">
            <v>Existing</v>
          </cell>
          <cell r="F21">
            <v>211803.64728502274</v>
          </cell>
          <cell r="G21">
            <v>209540.1045706197</v>
          </cell>
          <cell r="H21">
            <v>207300.75230659655</v>
          </cell>
          <cell r="I21">
            <v>205085.33196993719</v>
          </cell>
          <cell r="J21">
            <v>202893.58780045749</v>
          </cell>
          <cell r="K21">
            <v>200725.26677127898</v>
          </cell>
          <cell r="L21">
            <v>198580.11855961801</v>
          </cell>
          <cell r="M21">
            <v>196457.89551788714</v>
          </cell>
          <cell r="N21">
            <v>194358.3526451053</v>
          </cell>
          <cell r="O21">
            <v>192281.24755861363</v>
          </cell>
          <cell r="P21">
            <v>190226.34046609348</v>
          </cell>
          <cell r="Q21">
            <v>188193.39413788344</v>
          </cell>
          <cell r="R21">
            <v>186182.1738795923</v>
          </cell>
          <cell r="S21">
            <v>184192.44750500465</v>
          </cell>
          <cell r="T21">
            <v>182223.98530927597</v>
          </cell>
          <cell r="U21">
            <v>180276.56004241435</v>
          </cell>
          <cell r="V21">
            <v>178349.94688304546</v>
          </cell>
          <cell r="W21">
            <v>176443.92341245795</v>
          </cell>
          <cell r="X21">
            <v>174558.26958892628</v>
          </cell>
          <cell r="Y21">
            <v>172692.76772230776</v>
          </cell>
          <cell r="Z21">
            <v>170847.20244891141</v>
          </cell>
          <cell r="AA21">
            <v>169021.36070663505</v>
          </cell>
          <cell r="AB21">
            <v>167215.03171036829</v>
          </cell>
          <cell r="AC21">
            <v>165428.0069276584</v>
          </cell>
          <cell r="AD21">
            <v>163660.08005463614</v>
          </cell>
          <cell r="AE21">
            <v>161911.04699219894</v>
          </cell>
          <cell r="AF21">
            <v>160180.70582244857</v>
          </cell>
          <cell r="AG21">
            <v>158468.85678538063</v>
          </cell>
          <cell r="AH21">
            <v>156775.30225582322</v>
          </cell>
          <cell r="AI21">
            <v>155099.84672062198</v>
          </cell>
          <cell r="AJ21"/>
          <cell r="AK21"/>
          <cell r="AL21"/>
          <cell r="AM21"/>
          <cell r="AN21"/>
          <cell r="AO21"/>
          <cell r="AP21"/>
          <cell r="AQ21"/>
          <cell r="AR21"/>
          <cell r="AS21"/>
          <cell r="AT21"/>
          <cell r="AU21"/>
          <cell r="AV21"/>
          <cell r="AW21"/>
          <cell r="AX21"/>
          <cell r="AY21"/>
          <cell r="AZ21"/>
          <cell r="BA21"/>
          <cell r="BB21"/>
          <cell r="BC21"/>
          <cell r="BD21"/>
        </row>
        <row r="22">
          <cell r="AG22"/>
          <cell r="BD22"/>
        </row>
        <row r="23">
          <cell r="D23" t="str">
            <v>WASHINGTON</v>
          </cell>
          <cell r="E23"/>
          <cell r="AG23"/>
          <cell r="BD23"/>
        </row>
        <row r="24">
          <cell r="C24" t="str">
            <v>WA_Single Family</v>
          </cell>
          <cell r="D24" t="str">
            <v>Single Family</v>
          </cell>
          <cell r="E24" t="str">
            <v>New</v>
          </cell>
          <cell r="F24">
            <v>25348.478831339915</v>
          </cell>
          <cell r="G24">
            <v>24270.927532988528</v>
          </cell>
          <cell r="H24">
            <v>23431.327736185329</v>
          </cell>
          <cell r="I24">
            <v>22599.921511157769</v>
          </cell>
          <cell r="J24">
            <v>21976.531553312721</v>
          </cell>
          <cell r="K24">
            <v>21269.488006539159</v>
          </cell>
          <cell r="L24">
            <v>20332.384437510969</v>
          </cell>
          <cell r="M24">
            <v>19884.27229651947</v>
          </cell>
          <cell r="N24">
            <v>19667.869071505986</v>
          </cell>
          <cell r="O24">
            <v>19607.236061131433</v>
          </cell>
          <cell r="P24">
            <v>19545.367838208022</v>
          </cell>
          <cell r="Q24">
            <v>18848.227293670174</v>
          </cell>
          <cell r="R24">
            <v>18614.118087608298</v>
          </cell>
          <cell r="S24">
            <v>18547.56825330721</v>
          </cell>
          <cell r="T24">
            <v>18438.151191780704</v>
          </cell>
          <cell r="U24">
            <v>17963.911576858747</v>
          </cell>
          <cell r="V24">
            <v>17787.152042922753</v>
          </cell>
          <cell r="W24">
            <v>17550.540837405882</v>
          </cell>
          <cell r="X24">
            <v>17172.698180919528</v>
          </cell>
          <cell r="Y24">
            <v>16987.260732723931</v>
          </cell>
          <cell r="Z24">
            <v>16744.174504969145</v>
          </cell>
          <cell r="AA24">
            <v>16371.591235668327</v>
          </cell>
          <cell r="AB24">
            <v>16308.205802434073</v>
          </cell>
          <cell r="AC24">
            <v>16324.284425825292</v>
          </cell>
          <cell r="AD24">
            <v>16397.677809461849</v>
          </cell>
          <cell r="AE24">
            <v>16397.501970582005</v>
          </cell>
          <cell r="AF24">
            <v>16310.149238156759</v>
          </cell>
          <cell r="AG24">
            <v>16220.018756835352</v>
          </cell>
          <cell r="AH24">
            <v>16131.260175954023</v>
          </cell>
          <cell r="AI24">
            <v>16335.782212146261</v>
          </cell>
          <cell r="AJ24"/>
          <cell r="AK24"/>
          <cell r="AL24"/>
          <cell r="AM24"/>
          <cell r="AN24"/>
          <cell r="AO24"/>
          <cell r="AP24"/>
          <cell r="AQ24"/>
          <cell r="AR24"/>
          <cell r="AS24"/>
          <cell r="AT24"/>
          <cell r="AU24"/>
          <cell r="AV24"/>
          <cell r="AW24"/>
          <cell r="AX24"/>
          <cell r="AY24"/>
          <cell r="AZ24"/>
          <cell r="BA24"/>
          <cell r="BB24"/>
          <cell r="BC24"/>
          <cell r="BD24"/>
        </row>
        <row r="25">
          <cell r="C25" t="str">
            <v>WA_Multi Family</v>
          </cell>
          <cell r="D25" t="str">
            <v>Multifamily - Low Rise</v>
          </cell>
          <cell r="E25" t="str">
            <v>New</v>
          </cell>
          <cell r="F25">
            <v>11853.078778630215</v>
          </cell>
          <cell r="G25">
            <v>11597.411768686716</v>
          </cell>
          <cell r="H25">
            <v>11319.568931086351</v>
          </cell>
          <cell r="I25">
            <v>11350.627331434122</v>
          </cell>
          <cell r="J25">
            <v>11542.062815350706</v>
          </cell>
          <cell r="K25">
            <v>11620.92344036676</v>
          </cell>
          <cell r="L25">
            <v>11473.456198789489</v>
          </cell>
          <cell r="M25">
            <v>11604.315899107187</v>
          </cell>
          <cell r="N25">
            <v>11935.032153306143</v>
          </cell>
          <cell r="O25">
            <v>12293.792267180859</v>
          </cell>
          <cell r="P25">
            <v>12594.437485644665</v>
          </cell>
          <cell r="Q25">
            <v>12418.267014549829</v>
          </cell>
          <cell r="R25">
            <v>12521.17805485214</v>
          </cell>
          <cell r="S25">
            <v>12828.503598202911</v>
          </cell>
          <cell r="T25">
            <v>13012.393262250416</v>
          </cell>
          <cell r="U25">
            <v>12924.266268456209</v>
          </cell>
          <cell r="V25">
            <v>12959.666912120545</v>
          </cell>
          <cell r="W25">
            <v>13071.519387398936</v>
          </cell>
          <cell r="X25">
            <v>12940.019957419392</v>
          </cell>
          <cell r="Y25">
            <v>12892.561611592118</v>
          </cell>
          <cell r="Z25">
            <v>12853.108174989102</v>
          </cell>
          <cell r="AA25">
            <v>12813.920138115685</v>
          </cell>
          <cell r="AB25">
            <v>12853.502988086762</v>
          </cell>
          <cell r="AC25">
            <v>13074.652700586868</v>
          </cell>
          <cell r="AD25">
            <v>13303.993684709369</v>
          </cell>
          <cell r="AE25">
            <v>13476.198796070415</v>
          </cell>
          <cell r="AF25">
            <v>13578.5589945756</v>
          </cell>
          <cell r="AG25">
            <v>13677.842440072458</v>
          </cell>
          <cell r="AH25">
            <v>13777.31853996698</v>
          </cell>
          <cell r="AI25">
            <v>13876.942581822022</v>
          </cell>
          <cell r="AJ25"/>
          <cell r="AK25"/>
          <cell r="AL25"/>
          <cell r="AM25"/>
          <cell r="AN25"/>
          <cell r="AO25"/>
          <cell r="AP25"/>
          <cell r="AQ25"/>
          <cell r="AR25"/>
          <cell r="AS25"/>
          <cell r="AT25"/>
          <cell r="AU25"/>
          <cell r="AV25"/>
          <cell r="AW25"/>
          <cell r="AX25"/>
          <cell r="AY25"/>
          <cell r="AZ25"/>
          <cell r="BA25"/>
          <cell r="BB25"/>
          <cell r="BC25"/>
          <cell r="BD25"/>
        </row>
        <row r="26">
          <cell r="C26" t="str">
            <v>WA</v>
          </cell>
          <cell r="D26" t="str">
            <v>Multifamily - High Rise</v>
          </cell>
          <cell r="E26" t="str">
            <v>New</v>
          </cell>
          <cell r="F26">
            <v>4384.0154386714494</v>
          </cell>
          <cell r="G26">
            <v>4289.4536678704299</v>
          </cell>
          <cell r="H26">
            <v>4186.6898786209795</v>
          </cell>
          <cell r="I26">
            <v>4198.1772321742646</v>
          </cell>
          <cell r="J26">
            <v>4268.9821371845082</v>
          </cell>
          <cell r="K26">
            <v>4298.1497656151032</v>
          </cell>
          <cell r="L26">
            <v>4243.6070872235105</v>
          </cell>
          <cell r="M26">
            <v>4292.0072503547135</v>
          </cell>
          <cell r="N26">
            <v>4414.3269608118617</v>
          </cell>
          <cell r="O26">
            <v>4547.0190577244275</v>
          </cell>
          <cell r="P26">
            <v>4658.2166042795343</v>
          </cell>
          <cell r="Q26">
            <v>4593.0576629156903</v>
          </cell>
          <cell r="R26">
            <v>4631.1206504247648</v>
          </cell>
          <cell r="S26">
            <v>4744.7890020750492</v>
          </cell>
          <cell r="T26">
            <v>4812.8029874076883</v>
          </cell>
          <cell r="U26">
            <v>4780.2080718947627</v>
          </cell>
          <cell r="V26">
            <v>4793.3014606473253</v>
          </cell>
          <cell r="W26">
            <v>4834.6715542434422</v>
          </cell>
          <cell r="X26">
            <v>4786.0347787715564</v>
          </cell>
          <cell r="Y26">
            <v>4768.4816919587292</v>
          </cell>
          <cell r="Z26">
            <v>4753.8893249959692</v>
          </cell>
          <cell r="AA26">
            <v>4739.3951195770351</v>
          </cell>
          <cell r="AB26">
            <v>4754.0353517581179</v>
          </cell>
          <cell r="AC26">
            <v>4835.8304509019927</v>
          </cell>
          <cell r="AD26">
            <v>4920.6551984541502</v>
          </cell>
          <cell r="AE26">
            <v>4984.3474999164555</v>
          </cell>
          <cell r="AF26">
            <v>5022.2067514183727</v>
          </cell>
          <cell r="AG26">
            <v>5058.9280257802247</v>
          </cell>
          <cell r="AH26">
            <v>5095.7205558781989</v>
          </cell>
          <cell r="AI26">
            <v>5132.567804235543</v>
          </cell>
          <cell r="AJ26"/>
          <cell r="AK26"/>
          <cell r="AL26"/>
          <cell r="AM26"/>
          <cell r="AN26"/>
          <cell r="AO26"/>
          <cell r="AP26"/>
          <cell r="AQ26"/>
          <cell r="AR26"/>
          <cell r="AS26"/>
          <cell r="AT26"/>
          <cell r="AU26"/>
          <cell r="AV26"/>
          <cell r="AW26"/>
          <cell r="AX26"/>
          <cell r="AY26"/>
          <cell r="AZ26"/>
          <cell r="BA26"/>
          <cell r="BB26"/>
          <cell r="BC26"/>
          <cell r="BD26"/>
        </row>
        <row r="27">
          <cell r="C27" t="str">
            <v>WA_Other Family</v>
          </cell>
          <cell r="D27" t="str">
            <v>Manufactured</v>
          </cell>
          <cell r="E27" t="str">
            <v>New</v>
          </cell>
          <cell r="F27">
            <v>1639.1194792843332</v>
          </cell>
          <cell r="G27">
            <v>1676.2369847387531</v>
          </cell>
          <cell r="H27">
            <v>1705.5343950321878</v>
          </cell>
          <cell r="I27">
            <v>1744.1922714302302</v>
          </cell>
          <cell r="J27">
            <v>1796.0470354799415</v>
          </cell>
          <cell r="K27">
            <v>1818.3945494421839</v>
          </cell>
          <cell r="L27">
            <v>1817.5445532752392</v>
          </cell>
          <cell r="M27">
            <v>1848.8918737440329</v>
          </cell>
          <cell r="N27">
            <v>1894.1995366033691</v>
          </cell>
          <cell r="O27">
            <v>1958.4778787444618</v>
          </cell>
          <cell r="P27">
            <v>2027.2015772730604</v>
          </cell>
          <cell r="Q27">
            <v>2036.2474891688487</v>
          </cell>
          <cell r="R27">
            <v>2087.2573452807637</v>
          </cell>
          <cell r="S27">
            <v>2152.7736019919944</v>
          </cell>
          <cell r="T27">
            <v>2215.9218796593268</v>
          </cell>
          <cell r="U27">
            <v>2232.4443288284469</v>
          </cell>
          <cell r="V27">
            <v>2276.031164959159</v>
          </cell>
          <cell r="W27">
            <v>2310.8319181000961</v>
          </cell>
          <cell r="X27">
            <v>2328.9931262281843</v>
          </cell>
          <cell r="Y27">
            <v>2366.5848231376153</v>
          </cell>
          <cell r="Z27">
            <v>2395.7319252661468</v>
          </cell>
          <cell r="AA27">
            <v>2409.4138793673756</v>
          </cell>
          <cell r="AB27">
            <v>2465.5870191012796</v>
          </cell>
          <cell r="AC27">
            <v>2539.475673522777</v>
          </cell>
          <cell r="AD27">
            <v>2622.5011601364777</v>
          </cell>
          <cell r="AE27">
            <v>2695.1768741599813</v>
          </cell>
          <cell r="AF27">
            <v>2754.2178252227782</v>
          </cell>
          <cell r="AG27">
            <v>2811.7777439294459</v>
          </cell>
          <cell r="AH27">
            <v>2869.9383341778421</v>
          </cell>
          <cell r="AI27">
            <v>2928.7173009644976</v>
          </cell>
          <cell r="AJ27"/>
          <cell r="AK27"/>
          <cell r="AL27"/>
          <cell r="AM27"/>
          <cell r="AN27"/>
          <cell r="AO27"/>
          <cell r="AP27"/>
          <cell r="AQ27"/>
          <cell r="AR27"/>
          <cell r="AS27"/>
          <cell r="AT27"/>
          <cell r="AU27"/>
          <cell r="AV27"/>
          <cell r="AW27"/>
          <cell r="AX27"/>
          <cell r="AY27"/>
          <cell r="AZ27"/>
          <cell r="BA27"/>
          <cell r="BB27"/>
          <cell r="BC27"/>
          <cell r="BD27"/>
        </row>
        <row r="28">
          <cell r="C28" t="str">
            <v>WA_Single Family</v>
          </cell>
          <cell r="D28" t="str">
            <v>Single Family</v>
          </cell>
          <cell r="E28" t="str">
            <v>Existing</v>
          </cell>
          <cell r="F28">
            <v>2284242.2862706552</v>
          </cell>
          <cell r="G28">
            <v>2279055.2715982115</v>
          </cell>
          <cell r="H28">
            <v>2273880.035501698</v>
          </cell>
          <cell r="I28">
            <v>2268716.5512345447</v>
          </cell>
          <cell r="J28">
            <v>2263564.7921109176</v>
          </cell>
          <cell r="K28">
            <v>2258424.7315055798</v>
          </cell>
          <cell r="L28">
            <v>2253296.3428537548</v>
          </cell>
          <cell r="M28">
            <v>2248179.5996509884</v>
          </cell>
          <cell r="N28">
            <v>2243074.4754530131</v>
          </cell>
          <cell r="O28">
            <v>2237980.9438756099</v>
          </cell>
          <cell r="P28">
            <v>2232898.9785944731</v>
          </cell>
          <cell r="Q28">
            <v>2227828.553345073</v>
          </cell>
          <cell r="R28">
            <v>2222769.6419225214</v>
          </cell>
          <cell r="S28">
            <v>2217722.2181814355</v>
          </cell>
          <cell r="T28">
            <v>2212686.2560358029</v>
          </cell>
          <cell r="U28">
            <v>2207661.7294588475</v>
          </cell>
          <cell r="V28">
            <v>2202648.6124828933</v>
          </cell>
          <cell r="W28">
            <v>2197646.879199232</v>
          </cell>
          <cell r="X28">
            <v>2192656.5037579876</v>
          </cell>
          <cell r="Y28">
            <v>2187677.4603679841</v>
          </cell>
          <cell r="Z28">
            <v>2182709.7232966116</v>
          </cell>
          <cell r="AA28">
            <v>2177753.2668696931</v>
          </cell>
          <cell r="AB28">
            <v>2172808.0654713521</v>
          </cell>
          <cell r="AC28">
            <v>2167874.0935438802</v>
          </cell>
          <cell r="AD28">
            <v>2162951.3255876047</v>
          </cell>
          <cell r="AE28">
            <v>2158039.736160757</v>
          </cell>
          <cell r="AF28">
            <v>2153139.2998793423</v>
          </cell>
          <cell r="AG28">
            <v>2148249.9914170061</v>
          </cell>
          <cell r="AH28">
            <v>2143371.7855049046</v>
          </cell>
          <cell r="AI28">
            <v>2138504.6569315749</v>
          </cell>
          <cell r="AJ28"/>
          <cell r="AK28"/>
          <cell r="AL28"/>
          <cell r="AM28"/>
          <cell r="AN28"/>
          <cell r="AO28"/>
          <cell r="AP28"/>
          <cell r="AQ28"/>
          <cell r="AR28"/>
          <cell r="AS28"/>
          <cell r="AT28"/>
          <cell r="AU28"/>
          <cell r="AV28"/>
          <cell r="AW28"/>
          <cell r="AX28"/>
          <cell r="AY28"/>
          <cell r="AZ28"/>
          <cell r="BA28"/>
          <cell r="BB28"/>
          <cell r="BC28"/>
          <cell r="BD28"/>
        </row>
        <row r="29">
          <cell r="C29" t="str">
            <v>WA_Multi Family</v>
          </cell>
          <cell r="D29" t="str">
            <v>Multifamily - Low Rise</v>
          </cell>
          <cell r="E29" t="str">
            <v>Existing</v>
          </cell>
          <cell r="F29">
            <v>575470.91807832522</v>
          </cell>
          <cell r="G29">
            <v>574164.12846796005</v>
          </cell>
          <cell r="H29">
            <v>572860.30633871711</v>
          </cell>
          <cell r="I29">
            <v>571559.44495198736</v>
          </cell>
          <cell r="J29">
            <v>570261.53758446395</v>
          </cell>
          <cell r="K29">
            <v>568966.57752810745</v>
          </cell>
          <cell r="L29">
            <v>567674.55809011124</v>
          </cell>
          <cell r="M29">
            <v>566385.47259286675</v>
          </cell>
          <cell r="N29">
            <v>565099.31437392894</v>
          </cell>
          <cell r="O29">
            <v>563816.07678598224</v>
          </cell>
          <cell r="P29">
            <v>562535.75319680572</v>
          </cell>
          <cell r="Q29">
            <v>561258.33698923909</v>
          </cell>
          <cell r="R29">
            <v>559983.82156114839</v>
          </cell>
          <cell r="S29">
            <v>558712.20032539195</v>
          </cell>
          <cell r="T29">
            <v>557443.46670978621</v>
          </cell>
          <cell r="U29">
            <v>556177.61415707192</v>
          </cell>
          <cell r="V29">
            <v>554914.63612488017</v>
          </cell>
          <cell r="W29">
            <v>553654.52608569863</v>
          </cell>
          <cell r="X29">
            <v>552397.27752683754</v>
          </cell>
          <cell r="Y29">
            <v>551142.88395039656</v>
          </cell>
          <cell r="Z29">
            <v>549891.33887323074</v>
          </cell>
          <cell r="AA29">
            <v>548642.63582691713</v>
          </cell>
          <cell r="AB29">
            <v>547396.76835772151</v>
          </cell>
          <cell r="AC29">
            <v>546153.73002656479</v>
          </cell>
          <cell r="AD29">
            <v>544913.51440898993</v>
          </cell>
          <cell r="AE29">
            <v>543676.11509512865</v>
          </cell>
          <cell r="AF29">
            <v>542441.52568966837</v>
          </cell>
          <cell r="AG29">
            <v>541209.73981181905</v>
          </cell>
          <cell r="AH29">
            <v>539980.75109528017</v>
          </cell>
          <cell r="AI29">
            <v>538754.55318820814</v>
          </cell>
          <cell r="AJ29"/>
          <cell r="AK29"/>
          <cell r="AL29"/>
          <cell r="AM29"/>
          <cell r="AN29"/>
          <cell r="AO29"/>
          <cell r="AP29"/>
          <cell r="AQ29"/>
          <cell r="AR29"/>
          <cell r="AS29"/>
          <cell r="AT29"/>
          <cell r="AU29"/>
          <cell r="AV29"/>
          <cell r="AW29"/>
          <cell r="AX29"/>
          <cell r="AY29"/>
          <cell r="AZ29"/>
          <cell r="BA29"/>
          <cell r="BB29"/>
          <cell r="BC29"/>
          <cell r="BD29"/>
        </row>
        <row r="30">
          <cell r="D30" t="str">
            <v>Multifamily - High Rise</v>
          </cell>
          <cell r="E30" t="str">
            <v>Existing</v>
          </cell>
          <cell r="F30">
            <v>212845.4080563669</v>
          </cell>
          <cell r="G30">
            <v>212362.07491280721</v>
          </cell>
          <cell r="H30">
            <v>211879.83933075843</v>
          </cell>
          <cell r="I30">
            <v>211398.69881785839</v>
          </cell>
          <cell r="J30">
            <v>210918.65088740451</v>
          </cell>
          <cell r="K30">
            <v>210439.69305834116</v>
          </cell>
          <cell r="L30">
            <v>209961.82285524666</v>
          </cell>
          <cell r="M30">
            <v>209485.0378083206</v>
          </cell>
          <cell r="N30">
            <v>209009.33545337102</v>
          </cell>
          <cell r="O30">
            <v>208534.7133318017</v>
          </cell>
          <cell r="P30">
            <v>208061.16899059943</v>
          </cell>
          <cell r="Q30">
            <v>207588.69998232136</v>
          </cell>
          <cell r="R30">
            <v>207117.30386508233</v>
          </cell>
          <cell r="S30">
            <v>206646.97820254226</v>
          </cell>
          <cell r="T30">
            <v>206177.72056389356</v>
          </cell>
          <cell r="U30">
            <v>205709.52852384857</v>
          </cell>
          <cell r="V30">
            <v>205242.39966262697</v>
          </cell>
          <cell r="W30">
            <v>204776.33156594337</v>
          </cell>
          <cell r="X30">
            <v>204311.32182499475</v>
          </cell>
          <cell r="Y30">
            <v>203847.36803644808</v>
          </cell>
          <cell r="Z30">
            <v>203384.46780242783</v>
          </cell>
          <cell r="AA30">
            <v>202922.6187305036</v>
          </cell>
          <cell r="AB30">
            <v>202461.81843367781</v>
          </cell>
          <cell r="AC30">
            <v>202002.06453037326</v>
          </cell>
          <cell r="AD30">
            <v>201543.35464442091</v>
          </cell>
          <cell r="AE30">
            <v>201085.68640504757</v>
          </cell>
          <cell r="AF30">
            <v>200629.05744686365</v>
          </cell>
          <cell r="AG30">
            <v>200173.46540985088</v>
          </cell>
          <cell r="AH30">
            <v>199718.9079393502</v>
          </cell>
          <cell r="AI30">
            <v>199265.38268604959</v>
          </cell>
          <cell r="AJ30"/>
          <cell r="AK30"/>
          <cell r="AL30"/>
          <cell r="AM30"/>
          <cell r="AN30"/>
          <cell r="AO30"/>
          <cell r="AP30"/>
          <cell r="AQ30"/>
          <cell r="AR30"/>
          <cell r="AS30"/>
          <cell r="AT30"/>
          <cell r="AU30"/>
          <cell r="AV30"/>
          <cell r="AW30"/>
          <cell r="AX30"/>
          <cell r="AY30"/>
          <cell r="AZ30"/>
          <cell r="BA30"/>
          <cell r="BB30"/>
          <cell r="BC30"/>
          <cell r="BD30"/>
        </row>
        <row r="31">
          <cell r="C31" t="str">
            <v>WA_Other Family</v>
          </cell>
          <cell r="D31" t="str">
            <v>Manufactured</v>
          </cell>
          <cell r="E31" t="str">
            <v>Existing</v>
          </cell>
          <cell r="F31">
            <v>251928.51061775905</v>
          </cell>
          <cell r="G31">
            <v>249236.15403151076</v>
          </cell>
          <cell r="H31">
            <v>246572.5706236921</v>
          </cell>
          <cell r="I31">
            <v>243937.45289573428</v>
          </cell>
          <cell r="J31">
            <v>241330.49663530156</v>
          </cell>
          <cell r="K31">
            <v>238751.40088117128</v>
          </cell>
          <cell r="L31">
            <v>236199.86788848939</v>
          </cell>
          <cell r="M31">
            <v>233675.60309439697</v>
          </cell>
          <cell r="N31">
            <v>231178.31508402442</v>
          </cell>
          <cell r="O31">
            <v>228707.71555684894</v>
          </cell>
          <cell r="P31">
            <v>226263.51929341152</v>
          </cell>
          <cell r="Q31">
            <v>223845.4441223896</v>
          </cell>
          <cell r="R31">
            <v>221453.21088802177</v>
          </cell>
          <cell r="S31">
            <v>219086.54341788049</v>
          </cell>
          <cell r="T31">
            <v>216745.16849098913</v>
          </cell>
          <cell r="U31">
            <v>214428.81580628004</v>
          </cell>
          <cell r="V31">
            <v>212137.21795138935</v>
          </cell>
          <cell r="W31">
            <v>209870.11037178559</v>
          </cell>
          <cell r="X31">
            <v>207627.23134022788</v>
          </cell>
          <cell r="Y31">
            <v>205408.32192655094</v>
          </cell>
          <cell r="Z31">
            <v>203213.12596777256</v>
          </cell>
          <cell r="AA31">
            <v>201041.39003852094</v>
          </cell>
          <cell r="AB31">
            <v>198892.86342177776</v>
          </cell>
          <cell r="AC31">
            <v>196767.29807993409</v>
          </cell>
          <cell r="AD31">
            <v>194664.44862615556</v>
          </cell>
          <cell r="AE31">
            <v>192584.07229605361</v>
          </cell>
          <cell r="AF31">
            <v>190525.9289196594</v>
          </cell>
          <cell r="AG31">
            <v>188489.78089369732</v>
          </cell>
          <cell r="AH31">
            <v>186475.39315415471</v>
          </cell>
          <cell r="AI31">
            <v>184482.53314914487</v>
          </cell>
          <cell r="AJ31"/>
          <cell r="AK31"/>
          <cell r="AL31"/>
          <cell r="AM31"/>
          <cell r="AN31"/>
          <cell r="AO31"/>
          <cell r="AP31"/>
          <cell r="AQ31"/>
          <cell r="AR31"/>
          <cell r="AS31"/>
          <cell r="AT31"/>
          <cell r="AU31"/>
          <cell r="AV31"/>
          <cell r="AW31"/>
          <cell r="AX31"/>
          <cell r="AY31"/>
          <cell r="AZ31"/>
          <cell r="BA31"/>
          <cell r="BB31"/>
          <cell r="BC31"/>
          <cell r="BD31"/>
        </row>
        <row r="32">
          <cell r="AG32"/>
          <cell r="BD32"/>
        </row>
        <row r="33">
          <cell r="D33" t="str">
            <v>IDAHO</v>
          </cell>
          <cell r="E33"/>
          <cell r="AG33"/>
          <cell r="BD33"/>
        </row>
        <row r="34">
          <cell r="C34" t="str">
            <v>ID_Single Family</v>
          </cell>
          <cell r="D34" t="str">
            <v>Single Family</v>
          </cell>
          <cell r="E34" t="str">
            <v>New</v>
          </cell>
          <cell r="F34">
            <v>10247.65310802045</v>
          </cell>
          <cell r="G34">
            <v>10366.588432608711</v>
          </cell>
          <cell r="H34">
            <v>10328.754037900784</v>
          </cell>
          <cell r="I34">
            <v>10381.622465360768</v>
          </cell>
          <cell r="J34">
            <v>10307.057554644909</v>
          </cell>
          <cell r="K34">
            <v>10078.579076296935</v>
          </cell>
          <cell r="L34">
            <v>9864.0629471246029</v>
          </cell>
          <cell r="M34">
            <v>9946.6470993251878</v>
          </cell>
          <cell r="N34">
            <v>9872.6369614750984</v>
          </cell>
          <cell r="O34">
            <v>9808.7629363807591</v>
          </cell>
          <cell r="P34">
            <v>9862.1859073383494</v>
          </cell>
          <cell r="Q34">
            <v>9763.8570441548381</v>
          </cell>
          <cell r="R34">
            <v>9790.3456596440556</v>
          </cell>
          <cell r="S34">
            <v>9765.3841766406513</v>
          </cell>
          <cell r="T34">
            <v>9727.6623876612321</v>
          </cell>
          <cell r="U34">
            <v>9472.0235577652493</v>
          </cell>
          <cell r="V34">
            <v>9375.1832332351241</v>
          </cell>
          <cell r="W34">
            <v>9243.6383262470044</v>
          </cell>
          <cell r="X34">
            <v>9062.5859653063671</v>
          </cell>
          <cell r="Y34">
            <v>8917.9929561201207</v>
          </cell>
          <cell r="Z34">
            <v>8692.5569885560399</v>
          </cell>
          <cell r="AA34">
            <v>8475.7635816256679</v>
          </cell>
          <cell r="AB34">
            <v>8400.9151051931622</v>
          </cell>
          <cell r="AC34">
            <v>8425.0516253344285</v>
          </cell>
          <cell r="AD34">
            <v>8452.6182602128629</v>
          </cell>
          <cell r="AE34">
            <v>8441.8995483336203</v>
          </cell>
          <cell r="AF34">
            <v>8386.3979084099738</v>
          </cell>
          <cell r="AG34">
            <v>8315.3286458369275</v>
          </cell>
          <cell r="AH34">
            <v>8245.3083002811127</v>
          </cell>
          <cell r="AI34">
            <v>8325.0926349609217</v>
          </cell>
          <cell r="AJ34"/>
          <cell r="AK34"/>
          <cell r="AL34"/>
          <cell r="AM34"/>
          <cell r="AN34"/>
          <cell r="AO34"/>
          <cell r="AP34"/>
          <cell r="AQ34"/>
          <cell r="AR34"/>
          <cell r="AS34"/>
          <cell r="AT34"/>
          <cell r="AU34"/>
          <cell r="AV34"/>
          <cell r="AW34"/>
          <cell r="AX34"/>
          <cell r="AY34"/>
          <cell r="AZ34"/>
          <cell r="BA34"/>
          <cell r="BB34"/>
          <cell r="BC34"/>
          <cell r="BD34"/>
        </row>
        <row r="35">
          <cell r="C35" t="str">
            <v>ID_Multi Family</v>
          </cell>
          <cell r="D35" t="str">
            <v>Multifamily - Low Rise</v>
          </cell>
          <cell r="E35" t="str">
            <v>New</v>
          </cell>
          <cell r="F35">
            <v>1811.6096253029643</v>
          </cell>
          <cell r="G35">
            <v>1806.7994885669962</v>
          </cell>
          <cell r="H35">
            <v>1860.007119007551</v>
          </cell>
          <cell r="I35">
            <v>1849.1493326559496</v>
          </cell>
          <cell r="J35">
            <v>1843.108613986587</v>
          </cell>
          <cell r="K35">
            <v>1808.469522861657</v>
          </cell>
          <cell r="L35">
            <v>1791.139849828417</v>
          </cell>
          <cell r="M35">
            <v>1823.1016613035465</v>
          </cell>
          <cell r="N35">
            <v>1876.7887668515848</v>
          </cell>
          <cell r="O35">
            <v>1948.0335751336215</v>
          </cell>
          <cell r="P35">
            <v>2012.7754530712396</v>
          </cell>
          <cell r="Q35">
            <v>2062.7497384403669</v>
          </cell>
          <cell r="R35">
            <v>2153.1145843613999</v>
          </cell>
          <cell r="S35">
            <v>2287.6974839352833</v>
          </cell>
          <cell r="T35">
            <v>2389.5398215757887</v>
          </cell>
          <cell r="U35">
            <v>2454.1197575408864</v>
          </cell>
          <cell r="V35">
            <v>2505.7008574954107</v>
          </cell>
          <cell r="W35">
            <v>2627.7460600354175</v>
          </cell>
          <cell r="X35">
            <v>2715.8205240031325</v>
          </cell>
          <cell r="Y35">
            <v>2857.3755542553417</v>
          </cell>
          <cell r="Z35">
            <v>2984.7626006339256</v>
          </cell>
          <cell r="AA35">
            <v>3102.5238421212412</v>
          </cell>
          <cell r="AB35">
            <v>3190.481784641277</v>
          </cell>
          <cell r="AC35">
            <v>3305.6522164378352</v>
          </cell>
          <cell r="AD35">
            <v>3404.1612404937268</v>
          </cell>
          <cell r="AE35">
            <v>3489.2802129440952</v>
          </cell>
          <cell r="AF35">
            <v>3558.6834022709318</v>
          </cell>
          <cell r="AG35">
            <v>3671.5914165868667</v>
          </cell>
          <cell r="AH35">
            <v>3787.9350951567408</v>
          </cell>
          <cell r="AI35">
            <v>3907.8033472810839</v>
          </cell>
          <cell r="AJ35"/>
          <cell r="AK35"/>
          <cell r="AL35"/>
          <cell r="AM35"/>
          <cell r="AN35"/>
          <cell r="AO35"/>
          <cell r="AP35"/>
          <cell r="AQ35"/>
          <cell r="AR35"/>
          <cell r="AS35"/>
          <cell r="AT35"/>
          <cell r="AU35"/>
          <cell r="AV35"/>
          <cell r="AW35"/>
          <cell r="AX35"/>
          <cell r="AY35"/>
          <cell r="AZ35"/>
          <cell r="BA35"/>
          <cell r="BB35"/>
          <cell r="BC35"/>
          <cell r="BD35"/>
        </row>
        <row r="36">
          <cell r="C36" t="str">
            <v>ID</v>
          </cell>
          <cell r="D36" t="str">
            <v>Multifamily - High Rise</v>
          </cell>
          <cell r="E36" t="str">
            <v>New</v>
          </cell>
          <cell r="F36">
            <v>136.35771373248119</v>
          </cell>
          <cell r="G36">
            <v>135.99566042977392</v>
          </cell>
          <cell r="H36">
            <v>140.00053583927806</v>
          </cell>
          <cell r="I36">
            <v>139.18328310313601</v>
          </cell>
          <cell r="J36">
            <v>138.72860535382915</v>
          </cell>
          <cell r="K36">
            <v>136.12136193582367</v>
          </cell>
          <cell r="L36">
            <v>134.81697794407441</v>
          </cell>
          <cell r="M36">
            <v>137.22270568951427</v>
          </cell>
          <cell r="N36">
            <v>141.26367062323757</v>
          </cell>
          <cell r="O36">
            <v>146.6261830745737</v>
          </cell>
          <cell r="P36">
            <v>151.49922765052344</v>
          </cell>
          <cell r="Q36">
            <v>155.26073300088788</v>
          </cell>
          <cell r="R36">
            <v>162.06238807021293</v>
          </cell>
          <cell r="S36">
            <v>172.19228373706434</v>
          </cell>
          <cell r="T36">
            <v>179.85783603258628</v>
          </cell>
          <cell r="U36">
            <v>184.71869142780866</v>
          </cell>
          <cell r="V36">
            <v>188.60113981148257</v>
          </cell>
          <cell r="W36">
            <v>197.78733785212825</v>
          </cell>
          <cell r="X36">
            <v>204.41659858088099</v>
          </cell>
          <cell r="Y36">
            <v>215.07127827728382</v>
          </cell>
          <cell r="Z36">
            <v>224.65955058534925</v>
          </cell>
          <cell r="AA36">
            <v>233.52329994460959</v>
          </cell>
          <cell r="AB36">
            <v>240.14379024181662</v>
          </cell>
          <cell r="AC36">
            <v>248.81253242005215</v>
          </cell>
          <cell r="AD36">
            <v>256.22719014468913</v>
          </cell>
          <cell r="AE36">
            <v>262.6339945226739</v>
          </cell>
          <cell r="AF36">
            <v>267.85789049351104</v>
          </cell>
          <cell r="AG36">
            <v>276.35634318395773</v>
          </cell>
          <cell r="AH36">
            <v>285.11339425910955</v>
          </cell>
          <cell r="AI36">
            <v>294.13573581685586</v>
          </cell>
          <cell r="AJ36"/>
          <cell r="AK36"/>
          <cell r="AL36"/>
          <cell r="AM36"/>
          <cell r="AN36"/>
          <cell r="AO36"/>
          <cell r="AP36"/>
          <cell r="AQ36"/>
          <cell r="AR36"/>
          <cell r="AS36"/>
          <cell r="AT36"/>
          <cell r="AU36"/>
          <cell r="AV36"/>
          <cell r="AW36"/>
          <cell r="AX36"/>
          <cell r="AY36"/>
          <cell r="AZ36"/>
          <cell r="BA36"/>
          <cell r="BB36"/>
          <cell r="BC36"/>
          <cell r="BD36"/>
        </row>
        <row r="37">
          <cell r="C37" t="str">
            <v>ID_Other Family</v>
          </cell>
          <cell r="D37" t="str">
            <v>Manufactured</v>
          </cell>
          <cell r="E37" t="str">
            <v>New</v>
          </cell>
          <cell r="F37">
            <v>479.44244769066745</v>
          </cell>
          <cell r="G37">
            <v>490.2993180360852</v>
          </cell>
          <cell r="H37">
            <v>498.8688105469148</v>
          </cell>
          <cell r="I37">
            <v>510.1762393933422</v>
          </cell>
          <cell r="J37">
            <v>525.34375787788269</v>
          </cell>
          <cell r="K37">
            <v>531.88040571183865</v>
          </cell>
          <cell r="L37">
            <v>531.63178183300738</v>
          </cell>
          <cell r="M37">
            <v>540.80087307012946</v>
          </cell>
          <cell r="N37">
            <v>554.05336445648538</v>
          </cell>
          <cell r="O37">
            <v>572.85477953275483</v>
          </cell>
          <cell r="P37">
            <v>592.95646135236996</v>
          </cell>
          <cell r="Q37">
            <v>595.60239058188802</v>
          </cell>
          <cell r="R37">
            <v>610.52277349462315</v>
          </cell>
          <cell r="S37">
            <v>629.68627858265813</v>
          </cell>
          <cell r="T37">
            <v>648.15714980035273</v>
          </cell>
          <cell r="U37">
            <v>652.98996618232036</v>
          </cell>
          <cell r="V37">
            <v>665.73911575055354</v>
          </cell>
          <cell r="W37">
            <v>675.91833604427757</v>
          </cell>
          <cell r="X37">
            <v>681.23048942174341</v>
          </cell>
          <cell r="Y37">
            <v>692.22606076775196</v>
          </cell>
          <cell r="Z37">
            <v>700.75158814034751</v>
          </cell>
          <cell r="AA37">
            <v>704.75355971495685</v>
          </cell>
          <cell r="AB37">
            <v>721.18420308712382</v>
          </cell>
          <cell r="AC37">
            <v>742.79663450541193</v>
          </cell>
          <cell r="AD37">
            <v>767.08158933991922</v>
          </cell>
          <cell r="AE37">
            <v>788.3392356917941</v>
          </cell>
          <cell r="AF37">
            <v>805.60871387766224</v>
          </cell>
          <cell r="AG37">
            <v>822.44499009936249</v>
          </cell>
          <cell r="AH37">
            <v>839.45696274701834</v>
          </cell>
          <cell r="AI37">
            <v>856.64981053211511</v>
          </cell>
          <cell r="AJ37"/>
          <cell r="AK37"/>
          <cell r="AL37"/>
          <cell r="AM37"/>
          <cell r="AN37"/>
          <cell r="AO37"/>
          <cell r="AP37"/>
          <cell r="AQ37"/>
          <cell r="AR37"/>
          <cell r="AS37"/>
          <cell r="AT37"/>
          <cell r="AU37"/>
          <cell r="AV37"/>
          <cell r="AW37"/>
          <cell r="AX37"/>
          <cell r="AY37"/>
          <cell r="AZ37"/>
          <cell r="BA37"/>
          <cell r="BB37"/>
          <cell r="BC37"/>
          <cell r="BD37"/>
        </row>
        <row r="38">
          <cell r="C38" t="str">
            <v>ID_Single Family</v>
          </cell>
          <cell r="D38" t="str">
            <v>Single Family</v>
          </cell>
          <cell r="E38" t="str">
            <v>Existing</v>
          </cell>
          <cell r="F38">
            <v>610284.4353407661</v>
          </cell>
          <cell r="G38">
            <v>608898.61285621487</v>
          </cell>
          <cell r="H38">
            <v>607515.93727144913</v>
          </cell>
          <cell r="I38">
            <v>606136.40144054778</v>
          </cell>
          <cell r="J38">
            <v>604759.99823381635</v>
          </cell>
          <cell r="K38">
            <v>603386.72053775052</v>
          </cell>
          <cell r="L38">
            <v>602016.56125499913</v>
          </cell>
          <cell r="M38">
            <v>600649.5133043275</v>
          </cell>
          <cell r="N38">
            <v>599285.56962058088</v>
          </cell>
          <cell r="O38">
            <v>597924.72315464797</v>
          </cell>
          <cell r="P38">
            <v>596566.96687342459</v>
          </cell>
          <cell r="Q38">
            <v>595212.29375977698</v>
          </cell>
          <cell r="R38">
            <v>593860.69681250595</v>
          </cell>
          <cell r="S38">
            <v>592512.16904631036</v>
          </cell>
          <cell r="T38">
            <v>591166.7034917511</v>
          </cell>
          <cell r="U38">
            <v>589824.2931952154</v>
          </cell>
          <cell r="V38">
            <v>588484.93121888046</v>
          </cell>
          <cell r="W38">
            <v>587148.61064067774</v>
          </cell>
          <cell r="X38">
            <v>585815.32455425721</v>
          </cell>
          <cell r="Y38">
            <v>584485.06606895162</v>
          </cell>
          <cell r="Z38">
            <v>583157.82830974099</v>
          </cell>
          <cell r="AA38">
            <v>581833.60441721708</v>
          </cell>
          <cell r="AB38">
            <v>580512.3875475477</v>
          </cell>
          <cell r="AC38">
            <v>579194.17087244161</v>
          </cell>
          <cell r="AD38">
            <v>577878.94757911307</v>
          </cell>
          <cell r="AE38">
            <v>576566.71087024664</v>
          </cell>
          <cell r="AF38">
            <v>575257.45396396227</v>
          </cell>
          <cell r="AG38">
            <v>573951.17009377992</v>
          </cell>
          <cell r="AH38">
            <v>572647.85250858485</v>
          </cell>
          <cell r="AI38">
            <v>571347.49447259249</v>
          </cell>
          <cell r="AJ38"/>
          <cell r="AK38"/>
          <cell r="AL38"/>
          <cell r="AM38"/>
          <cell r="AN38"/>
          <cell r="AO38"/>
          <cell r="AP38"/>
          <cell r="AQ38"/>
          <cell r="AR38"/>
          <cell r="AS38"/>
          <cell r="AT38"/>
          <cell r="AU38"/>
          <cell r="AV38"/>
          <cell r="AW38"/>
          <cell r="AX38"/>
          <cell r="AY38"/>
          <cell r="AZ38"/>
          <cell r="BA38"/>
          <cell r="BB38"/>
          <cell r="BC38"/>
          <cell r="BD38"/>
        </row>
        <row r="39">
          <cell r="C39" t="str">
            <v>ID_Multi Family</v>
          </cell>
          <cell r="D39" t="str">
            <v>Multifamily - Low Rise</v>
          </cell>
          <cell r="E39" t="str">
            <v>Existing</v>
          </cell>
          <cell r="F39">
            <v>80735.300787244094</v>
          </cell>
          <cell r="G39">
            <v>80551.965628256759</v>
          </cell>
          <cell r="H39">
            <v>80369.046790013803</v>
          </cell>
          <cell r="I39">
            <v>80186.543327126652</v>
          </cell>
          <cell r="J39">
            <v>80004.454296353564</v>
          </cell>
          <cell r="K39">
            <v>79822.778756594707</v>
          </cell>
          <cell r="L39">
            <v>79641.515768887315</v>
          </cell>
          <cell r="M39">
            <v>79460.664396400854</v>
          </cell>
          <cell r="N39">
            <v>79280.223704432137</v>
          </cell>
          <cell r="O39">
            <v>79100.192760400532</v>
          </cell>
          <cell r="P39">
            <v>78920.570633843134</v>
          </cell>
          <cell r="Q39">
            <v>78741.35639640993</v>
          </cell>
          <cell r="R39">
            <v>78562.549121859032</v>
          </cell>
          <cell r="S39">
            <v>78384.147886051884</v>
          </cell>
          <cell r="T39">
            <v>78206.151766948475</v>
          </cell>
          <cell r="U39">
            <v>78028.559844602583</v>
          </cell>
          <cell r="V39">
            <v>77851.371201157002</v>
          </cell>
          <cell r="W39">
            <v>77674.584920838824</v>
          </cell>
          <cell r="X39">
            <v>77498.200089954698</v>
          </cell>
          <cell r="Y39">
            <v>77322.215796886099</v>
          </cell>
          <cell r="Z39">
            <v>77146.631132084614</v>
          </cell>
          <cell r="AA39">
            <v>76971.445188067271</v>
          </cell>
          <cell r="AB39">
            <v>76796.657059411795</v>
          </cell>
          <cell r="AC39">
            <v>76622.265842751993</v>
          </cell>
          <cell r="AD39">
            <v>76448.270636773028</v>
          </cell>
          <cell r="AE39">
            <v>76274.67054220679</v>
          </cell>
          <cell r="AF39">
            <v>76101.464661827253</v>
          </cell>
          <cell r="AG39">
            <v>75928.652100445805</v>
          </cell>
          <cell r="AH39">
            <v>75756.231964906678</v>
          </cell>
          <cell r="AI39">
            <v>75584.203364082277</v>
          </cell>
          <cell r="AJ39"/>
          <cell r="AK39"/>
          <cell r="AL39"/>
          <cell r="AM39"/>
          <cell r="AN39"/>
          <cell r="AO39"/>
          <cell r="AP39"/>
          <cell r="AQ39"/>
          <cell r="AR39"/>
          <cell r="AS39"/>
          <cell r="AT39"/>
          <cell r="AU39"/>
          <cell r="AV39"/>
          <cell r="AW39"/>
          <cell r="AX39"/>
          <cell r="AY39"/>
          <cell r="AZ39"/>
          <cell r="BA39"/>
          <cell r="BB39"/>
          <cell r="BC39"/>
          <cell r="BD39"/>
        </row>
        <row r="40">
          <cell r="D40" t="str">
            <v>Multifamily - High Rise</v>
          </cell>
          <cell r="E40" t="str">
            <v>Existing</v>
          </cell>
          <cell r="F40">
            <v>6076.8505968893414</v>
          </cell>
          <cell r="G40">
            <v>6063.0511763204022</v>
          </cell>
          <cell r="H40">
            <v>6049.2830917214696</v>
          </cell>
          <cell r="I40">
            <v>6035.546271934265</v>
          </cell>
          <cell r="J40">
            <v>6021.8406459620965</v>
          </cell>
          <cell r="K40">
            <v>6008.1661429694941</v>
          </cell>
          <cell r="L40">
            <v>5994.522692281841</v>
          </cell>
          <cell r="M40">
            <v>5980.9102233850099</v>
          </cell>
          <cell r="N40">
            <v>5967.3286659249989</v>
          </cell>
          <cell r="O40">
            <v>5953.7779497075662</v>
          </cell>
          <cell r="P40">
            <v>5940.2580046978692</v>
          </cell>
          <cell r="Q40">
            <v>5926.768761020101</v>
          </cell>
          <cell r="R40">
            <v>5913.3101489571309</v>
          </cell>
          <cell r="S40">
            <v>5899.8820989501419</v>
          </cell>
          <cell r="T40">
            <v>5886.4845415982727</v>
          </cell>
          <cell r="U40">
            <v>5873.1174076582593</v>
          </cell>
          <cell r="V40">
            <v>5859.7806280440755</v>
          </cell>
          <cell r="W40">
            <v>5846.4741338265785</v>
          </cell>
          <cell r="X40">
            <v>5833.1978562331497</v>
          </cell>
          <cell r="Y40">
            <v>5819.9517266473413</v>
          </cell>
          <cell r="Z40">
            <v>5806.7356766085204</v>
          </cell>
          <cell r="AA40">
            <v>5793.5496378115158</v>
          </cell>
          <cell r="AB40">
            <v>5780.3935421062652</v>
          </cell>
          <cell r="AC40">
            <v>5767.2673214974629</v>
          </cell>
          <cell r="AD40">
            <v>5754.1709081442077</v>
          </cell>
          <cell r="AE40">
            <v>5741.1042343596519</v>
          </cell>
          <cell r="AF40">
            <v>5728.0672326106542</v>
          </cell>
          <cell r="AG40">
            <v>5715.059835517427</v>
          </cell>
          <cell r="AH40">
            <v>5702.0819758531916</v>
          </cell>
          <cell r="AI40">
            <v>5689.1335865438277</v>
          </cell>
          <cell r="AJ40"/>
          <cell r="AK40"/>
          <cell r="AL40"/>
          <cell r="AM40"/>
          <cell r="AN40"/>
          <cell r="AO40"/>
          <cell r="AP40"/>
          <cell r="AQ40"/>
          <cell r="AR40"/>
          <cell r="AS40"/>
          <cell r="AT40"/>
          <cell r="AU40"/>
          <cell r="AV40"/>
          <cell r="AW40"/>
          <cell r="AX40"/>
          <cell r="AY40"/>
          <cell r="AZ40"/>
          <cell r="BA40"/>
          <cell r="BB40"/>
          <cell r="BC40"/>
          <cell r="BD40"/>
        </row>
        <row r="41">
          <cell r="C41" t="str">
            <v>ID_Other Family</v>
          </cell>
          <cell r="D41" t="str">
            <v>Manufactured</v>
          </cell>
          <cell r="E41" t="str">
            <v>Existing</v>
          </cell>
          <cell r="F41">
            <v>87206.734623873199</v>
          </cell>
          <cell r="G41">
            <v>86274.757430208003</v>
          </cell>
          <cell r="H41">
            <v>85352.740264208769</v>
          </cell>
          <cell r="I41">
            <v>84440.576683194522</v>
          </cell>
          <cell r="J41">
            <v>83538.16138203576</v>
          </cell>
          <cell r="K41">
            <v>82645.390180997507</v>
          </cell>
          <cell r="L41">
            <v>81762.160013712171</v>
          </cell>
          <cell r="M41">
            <v>80888.368915281069</v>
          </cell>
          <cell r="N41">
            <v>80023.916010502988</v>
          </cell>
          <cell r="O41">
            <v>79168.701502228636</v>
          </cell>
          <cell r="P41">
            <v>78322.626659839501</v>
          </cell>
          <cell r="Q41">
            <v>77485.593807849858</v>
          </cell>
          <cell r="R41">
            <v>76657.506314630591</v>
          </cell>
          <cell r="S41">
            <v>75838.268581253476</v>
          </cell>
          <cell r="T41">
            <v>75027.78603045475</v>
          </cell>
          <cell r="U41">
            <v>74225.965095716601</v>
          </cell>
          <cell r="V41">
            <v>73432.713210465314</v>
          </cell>
          <cell r="W41">
            <v>72647.938797384893</v>
          </cell>
          <cell r="X41">
            <v>71871.551257844883</v>
          </cell>
          <cell r="Y41">
            <v>71103.460961441175</v>
          </cell>
          <cell r="Z41">
            <v>70343.579235648562</v>
          </cell>
          <cell r="AA41">
            <v>69591.818355583935</v>
          </cell>
          <cell r="AB41">
            <v>68848.091533878818</v>
          </cell>
          <cell r="AC41">
            <v>68112.312910660155</v>
          </cell>
          <cell r="AD41">
            <v>67384.397543638202</v>
          </cell>
          <cell r="AE41">
            <v>66664.261398300325</v>
          </cell>
          <cell r="AF41">
            <v>65951.821338209571</v>
          </cell>
          <cell r="AG41">
            <v>65246.995115406971</v>
          </cell>
          <cell r="AH41">
            <v>64549.701360916399</v>
          </cell>
          <cell r="AI41">
            <v>63859.859575350856</v>
          </cell>
          <cell r="AJ41"/>
          <cell r="AK41"/>
          <cell r="AL41"/>
          <cell r="AM41"/>
          <cell r="AN41"/>
          <cell r="AO41"/>
          <cell r="AP41"/>
          <cell r="AQ41"/>
          <cell r="AR41"/>
          <cell r="AS41"/>
          <cell r="AT41"/>
          <cell r="AU41"/>
          <cell r="AV41"/>
          <cell r="AW41"/>
          <cell r="AX41"/>
          <cell r="AY41"/>
          <cell r="AZ41"/>
          <cell r="BA41"/>
          <cell r="BB41"/>
          <cell r="BC41"/>
          <cell r="BD41"/>
        </row>
        <row r="42">
          <cell r="AG42"/>
          <cell r="BD42"/>
        </row>
        <row r="43">
          <cell r="D43" t="str">
            <v>MONTANA</v>
          </cell>
          <cell r="E43">
            <v>0.56999999999999995</v>
          </cell>
          <cell r="AG43"/>
          <cell r="BD43"/>
        </row>
        <row r="44">
          <cell r="C44" t="str">
            <v>MT_Single Family</v>
          </cell>
          <cell r="D44" t="str">
            <v>Single Family</v>
          </cell>
          <cell r="E44" t="str">
            <v>New</v>
          </cell>
          <cell r="F44">
            <v>1634.1752008029632</v>
          </cell>
          <cell r="G44">
            <v>1578.8580042042388</v>
          </cell>
          <cell r="H44">
            <v>1515.3512572871966</v>
          </cell>
          <cell r="I44">
            <v>1471.964285642759</v>
          </cell>
          <cell r="J44">
            <v>1438.074790966306</v>
          </cell>
          <cell r="K44">
            <v>1384.2505101724103</v>
          </cell>
          <cell r="L44">
            <v>1341.2314890320042</v>
          </cell>
          <cell r="M44">
            <v>1323.0069138945425</v>
          </cell>
          <cell r="N44">
            <v>1310.0859066990934</v>
          </cell>
          <cell r="O44">
            <v>1293.0305917013134</v>
          </cell>
          <cell r="P44">
            <v>1294.3590899232997</v>
          </cell>
          <cell r="Q44">
            <v>1268.0503901761065</v>
          </cell>
          <cell r="R44">
            <v>1257.5043959938225</v>
          </cell>
          <cell r="S44">
            <v>1246.5660983456035</v>
          </cell>
          <cell r="T44">
            <v>1234.7022890866567</v>
          </cell>
          <cell r="U44">
            <v>1199.7896506502648</v>
          </cell>
          <cell r="V44">
            <v>1187.4541674960492</v>
          </cell>
          <cell r="W44">
            <v>1178.1270249796946</v>
          </cell>
          <cell r="X44">
            <v>1164.457403797591</v>
          </cell>
          <cell r="Y44">
            <v>1155.4954323332083</v>
          </cell>
          <cell r="Z44">
            <v>1162.1709449011669</v>
          </cell>
          <cell r="AA44">
            <v>1164.0379698857912</v>
          </cell>
          <cell r="AB44">
            <v>1158.8197829502358</v>
          </cell>
          <cell r="AC44">
            <v>1169.9370437481298</v>
          </cell>
          <cell r="AD44">
            <v>1180.1259360105498</v>
          </cell>
          <cell r="AE44">
            <v>1184.7898665374526</v>
          </cell>
          <cell r="AF44">
            <v>1183.1081976090481</v>
          </cell>
          <cell r="AG44">
            <v>1187.4263653628707</v>
          </cell>
          <cell r="AH44">
            <v>1191.8248553588296</v>
          </cell>
          <cell r="AI44">
            <v>1218.0717870220888</v>
          </cell>
          <cell r="AJ44"/>
          <cell r="AK44"/>
          <cell r="AL44"/>
          <cell r="AM44"/>
          <cell r="AN44"/>
          <cell r="AO44"/>
          <cell r="AP44"/>
          <cell r="AQ44"/>
          <cell r="AR44"/>
          <cell r="AS44"/>
          <cell r="AT44"/>
          <cell r="AU44"/>
          <cell r="AV44"/>
          <cell r="AW44"/>
          <cell r="AX44"/>
          <cell r="AY44"/>
          <cell r="AZ44"/>
          <cell r="BA44"/>
          <cell r="BB44"/>
          <cell r="BC44"/>
          <cell r="BD44"/>
        </row>
        <row r="45">
          <cell r="C45" t="str">
            <v>MT_Multi Family</v>
          </cell>
          <cell r="D45" t="str">
            <v>Multifamily - Low Rise</v>
          </cell>
          <cell r="E45" t="str">
            <v>New</v>
          </cell>
          <cell r="F45">
            <v>606.11880944349252</v>
          </cell>
          <cell r="G45">
            <v>640.81234534880946</v>
          </cell>
          <cell r="H45">
            <v>671.11534491307714</v>
          </cell>
          <cell r="I45">
            <v>664.36109831148747</v>
          </cell>
          <cell r="J45">
            <v>656.04759654465909</v>
          </cell>
          <cell r="K45">
            <v>635.00829456682584</v>
          </cell>
          <cell r="L45">
            <v>602.82897127632361</v>
          </cell>
          <cell r="M45">
            <v>595.75084847939183</v>
          </cell>
          <cell r="N45">
            <v>606.67140831465326</v>
          </cell>
          <cell r="O45">
            <v>631.79393414718629</v>
          </cell>
          <cell r="P45">
            <v>657.59114190224057</v>
          </cell>
          <cell r="Q45">
            <v>664.03957805536049</v>
          </cell>
          <cell r="R45">
            <v>692.46943245429554</v>
          </cell>
          <cell r="S45">
            <v>722.08843465047096</v>
          </cell>
          <cell r="T45">
            <v>738.37787807364452</v>
          </cell>
          <cell r="U45">
            <v>741.30955358821632</v>
          </cell>
          <cell r="V45">
            <v>746.36029189269129</v>
          </cell>
          <cell r="W45">
            <v>772.59810593536793</v>
          </cell>
          <cell r="X45">
            <v>782.08596673943305</v>
          </cell>
          <cell r="Y45">
            <v>816.16992365289468</v>
          </cell>
          <cell r="Z45">
            <v>828.54044541806252</v>
          </cell>
          <cell r="AA45">
            <v>859.97554060064465</v>
          </cell>
          <cell r="AB45">
            <v>873.69760346775843</v>
          </cell>
          <cell r="AC45">
            <v>894.76320426803693</v>
          </cell>
          <cell r="AD45">
            <v>913.05325276213443</v>
          </cell>
          <cell r="AE45">
            <v>926.39049684305928</v>
          </cell>
          <cell r="AF45">
            <v>936.26599755315431</v>
          </cell>
          <cell r="AG45">
            <v>954.69305665802221</v>
          </cell>
          <cell r="AH45">
            <v>973.44510719983907</v>
          </cell>
          <cell r="AI45">
            <v>992.52432134633909</v>
          </cell>
          <cell r="AJ45"/>
          <cell r="AK45"/>
          <cell r="AL45"/>
          <cell r="AM45"/>
          <cell r="AN45"/>
          <cell r="AO45"/>
          <cell r="AP45"/>
          <cell r="AQ45"/>
          <cell r="AR45"/>
          <cell r="AS45"/>
          <cell r="AT45"/>
          <cell r="AU45"/>
          <cell r="AV45"/>
          <cell r="AW45"/>
          <cell r="AX45"/>
          <cell r="AY45"/>
          <cell r="AZ45"/>
          <cell r="BA45"/>
          <cell r="BB45"/>
          <cell r="BC45"/>
          <cell r="BD45"/>
        </row>
        <row r="46">
          <cell r="C46" t="str">
            <v>MT</v>
          </cell>
          <cell r="D46" t="str">
            <v>Multifamily - High Rise</v>
          </cell>
          <cell r="E46" t="str">
            <v>New</v>
          </cell>
          <cell r="F46">
            <v>74.913560717735038</v>
          </cell>
          <cell r="G46">
            <v>79.201525829628139</v>
          </cell>
          <cell r="H46">
            <v>82.946840382515134</v>
          </cell>
          <cell r="I46">
            <v>82.112045858723178</v>
          </cell>
          <cell r="J46">
            <v>81.084534404396067</v>
          </cell>
          <cell r="K46">
            <v>78.48417123859646</v>
          </cell>
          <cell r="L46">
            <v>74.506951506062478</v>
          </cell>
          <cell r="M46">
            <v>73.632127340149552</v>
          </cell>
          <cell r="N46">
            <v>74.981859454620064</v>
          </cell>
          <cell r="O46">
            <v>78.086890737292677</v>
          </cell>
          <cell r="P46">
            <v>81.27530967331063</v>
          </cell>
          <cell r="Q46">
            <v>82.07230740010074</v>
          </cell>
          <cell r="R46">
            <v>85.586109629182587</v>
          </cell>
          <cell r="S46">
            <v>89.246885181518877</v>
          </cell>
          <cell r="T46">
            <v>91.260187177641455</v>
          </cell>
          <cell r="U46">
            <v>91.622529095172794</v>
          </cell>
          <cell r="V46">
            <v>92.246777649658469</v>
          </cell>
          <cell r="W46">
            <v>95.489653542573564</v>
          </cell>
          <cell r="X46">
            <v>96.662310495884981</v>
          </cell>
          <cell r="Y46">
            <v>100.87493438406563</v>
          </cell>
          <cell r="Z46">
            <v>102.40387527638975</v>
          </cell>
          <cell r="AA46">
            <v>106.28911175963023</v>
          </cell>
          <cell r="AB46">
            <v>107.98509705781284</v>
          </cell>
          <cell r="AC46">
            <v>110.58871063986973</v>
          </cell>
          <cell r="AD46">
            <v>112.84927843127504</v>
          </cell>
          <cell r="AE46">
            <v>114.49770185700733</v>
          </cell>
          <cell r="AF46">
            <v>115.71826936050222</v>
          </cell>
          <cell r="AG46">
            <v>117.99577104762072</v>
          </cell>
          <cell r="AH46">
            <v>120.31344021571044</v>
          </cell>
          <cell r="AI46">
            <v>122.67154533494079</v>
          </cell>
          <cell r="AJ46"/>
          <cell r="AK46"/>
          <cell r="AL46"/>
          <cell r="AM46"/>
          <cell r="AN46"/>
          <cell r="AO46"/>
          <cell r="AP46"/>
          <cell r="AQ46"/>
          <cell r="AR46"/>
          <cell r="AS46"/>
          <cell r="AT46"/>
          <cell r="AU46"/>
          <cell r="AV46"/>
          <cell r="AW46"/>
          <cell r="AX46"/>
          <cell r="AY46"/>
          <cell r="AZ46"/>
          <cell r="BA46"/>
          <cell r="BB46"/>
          <cell r="BC46"/>
          <cell r="BD46"/>
        </row>
        <row r="47">
          <cell r="C47" t="str">
            <v>MT_Other Family</v>
          </cell>
          <cell r="D47" t="str">
            <v>Manufactured</v>
          </cell>
          <cell r="E47" t="str">
            <v>New</v>
          </cell>
          <cell r="F47">
            <v>172.84514909053291</v>
          </cell>
          <cell r="G47">
            <v>176.75919004070147</v>
          </cell>
          <cell r="H47">
            <v>179.84860195614417</v>
          </cell>
          <cell r="I47">
            <v>183.92507502231774</v>
          </cell>
          <cell r="J47">
            <v>189.3931598913598</v>
          </cell>
          <cell r="K47">
            <v>191.74970523867825</v>
          </cell>
          <cell r="L47">
            <v>191.6600731428739</v>
          </cell>
          <cell r="M47">
            <v>194.96564808630819</v>
          </cell>
          <cell r="N47">
            <v>199.74334113482522</v>
          </cell>
          <cell r="O47">
            <v>206.52149231360337</v>
          </cell>
          <cell r="P47">
            <v>213.76840632344414</v>
          </cell>
          <cell r="Q47">
            <v>214.72229773285497</v>
          </cell>
          <cell r="R47">
            <v>220.10128705985642</v>
          </cell>
          <cell r="S47">
            <v>227.00997633005568</v>
          </cell>
          <cell r="T47">
            <v>233.66896221007588</v>
          </cell>
          <cell r="U47">
            <v>235.41125447495958</v>
          </cell>
          <cell r="V47">
            <v>240.00748634494312</v>
          </cell>
          <cell r="W47">
            <v>243.67722576365495</v>
          </cell>
          <cell r="X47">
            <v>245.5923251607619</v>
          </cell>
          <cell r="Y47">
            <v>249.5563695998614</v>
          </cell>
          <cell r="Z47">
            <v>252.62993151931505</v>
          </cell>
          <cell r="AA47">
            <v>254.07269357928965</v>
          </cell>
          <cell r="AB47">
            <v>259.9961511642299</v>
          </cell>
          <cell r="AC47">
            <v>267.78770977297683</v>
          </cell>
          <cell r="AD47">
            <v>276.54274733639147</v>
          </cell>
          <cell r="AE47">
            <v>284.20640138016995</v>
          </cell>
          <cell r="AF47">
            <v>290.43226966974191</v>
          </cell>
          <cell r="AG47">
            <v>296.50196309736003</v>
          </cell>
          <cell r="AH47">
            <v>302.63499733905343</v>
          </cell>
          <cell r="AI47">
            <v>308.83323938670623</v>
          </cell>
          <cell r="AJ47"/>
          <cell r="AK47"/>
          <cell r="AL47"/>
          <cell r="AM47"/>
          <cell r="AN47"/>
          <cell r="AO47"/>
          <cell r="AP47"/>
          <cell r="AQ47"/>
          <cell r="AR47"/>
          <cell r="AS47"/>
          <cell r="AT47"/>
          <cell r="AU47"/>
          <cell r="AV47"/>
          <cell r="AW47"/>
          <cell r="AX47"/>
          <cell r="AY47"/>
          <cell r="AZ47"/>
          <cell r="BA47"/>
          <cell r="BB47"/>
          <cell r="BC47"/>
          <cell r="BD47"/>
        </row>
        <row r="48">
          <cell r="C48" t="str">
            <v>MT_Single Family</v>
          </cell>
          <cell r="D48" t="str">
            <v>Single Family</v>
          </cell>
          <cell r="E48" t="str">
            <v>Existing</v>
          </cell>
          <cell r="F48">
            <v>194440.90633724176</v>
          </cell>
          <cell r="G48">
            <v>193999.37356282613</v>
          </cell>
          <cell r="H48">
            <v>193558.84341277881</v>
          </cell>
          <cell r="I48">
            <v>193119.31361035907</v>
          </cell>
          <cell r="J48">
            <v>192680.78188399624</v>
          </cell>
          <cell r="K48">
            <v>192243.24596727791</v>
          </cell>
          <cell r="L48">
            <v>191806.70359893813</v>
          </cell>
          <cell r="M48">
            <v>191371.1525228458</v>
          </cell>
          <cell r="N48">
            <v>190936.59048799306</v>
          </cell>
          <cell r="O48">
            <v>190503.01524848351</v>
          </cell>
          <cell r="P48">
            <v>190070.42456352076</v>
          </cell>
          <cell r="Q48">
            <v>189638.81619739678</v>
          </cell>
          <cell r="R48">
            <v>189208.18791948029</v>
          </cell>
          <cell r="S48">
            <v>188778.53750420531</v>
          </cell>
          <cell r="T48">
            <v>188349.86273105963</v>
          </cell>
          <cell r="U48">
            <v>187922.16138457338</v>
          </cell>
          <cell r="V48">
            <v>187495.43125430748</v>
          </cell>
          <cell r="W48">
            <v>187069.67013484231</v>
          </cell>
          <cell r="X48">
            <v>186644.87582576624</v>
          </cell>
          <cell r="Y48">
            <v>186221.04613166433</v>
          </cell>
          <cell r="Z48">
            <v>185798.17886210696</v>
          </cell>
          <cell r="AA48">
            <v>185376.27183163844</v>
          </cell>
          <cell r="AB48">
            <v>184955.32285976579</v>
          </cell>
          <cell r="AC48">
            <v>184535.32977094749</v>
          </cell>
          <cell r="AD48">
            <v>184116.29039458215</v>
          </cell>
          <cell r="AE48">
            <v>183698.20256499739</v>
          </cell>
          <cell r="AF48">
            <v>183281.06412143857</v>
          </cell>
          <cell r="AG48">
            <v>182864.87290805764</v>
          </cell>
          <cell r="AH48">
            <v>182449.62677390204</v>
          </cell>
          <cell r="AI48">
            <v>182035.32357290352</v>
          </cell>
          <cell r="AJ48"/>
          <cell r="AK48"/>
          <cell r="AL48"/>
          <cell r="AM48"/>
          <cell r="AN48"/>
          <cell r="AO48"/>
          <cell r="AP48"/>
          <cell r="AQ48"/>
          <cell r="AR48"/>
          <cell r="AS48"/>
          <cell r="AT48"/>
          <cell r="AU48"/>
          <cell r="AV48"/>
          <cell r="AW48"/>
          <cell r="AX48"/>
          <cell r="AY48"/>
          <cell r="AZ48"/>
          <cell r="BA48"/>
          <cell r="BB48"/>
          <cell r="BC48"/>
          <cell r="BD48"/>
        </row>
        <row r="49">
          <cell r="C49" t="str">
            <v>MT_Multi Family</v>
          </cell>
          <cell r="D49" t="str">
            <v>Multifamily - Low Rise</v>
          </cell>
          <cell r="E49" t="str">
            <v>Existing</v>
          </cell>
          <cell r="F49">
            <v>32802.655904598643</v>
          </cell>
          <cell r="G49">
            <v>32728.167049329197</v>
          </cell>
          <cell r="H49">
            <v>32653.847344679001</v>
          </cell>
          <cell r="I49">
            <v>32579.69640653782</v>
          </cell>
          <cell r="J49">
            <v>32505.713851667653</v>
          </cell>
          <cell r="K49">
            <v>32431.899297700777</v>
          </cell>
          <cell r="L49">
            <v>32358.252363137741</v>
          </cell>
          <cell r="M49">
            <v>32284.772667345424</v>
          </cell>
          <cell r="N49">
            <v>32211.459830555043</v>
          </cell>
          <cell r="O49">
            <v>32138.313473860206</v>
          </cell>
          <cell r="P49">
            <v>32065.333219214946</v>
          </cell>
          <cell r="Q49">
            <v>31992.51868943177</v>
          </cell>
          <cell r="R49">
            <v>31919.869508179709</v>
          </cell>
          <cell r="S49">
            <v>31847.385299982376</v>
          </cell>
          <cell r="T49">
            <v>31775.065690216019</v>
          </cell>
          <cell r="U49">
            <v>31702.910305107587</v>
          </cell>
          <cell r="V49">
            <v>31630.918771732806</v>
          </cell>
          <cell r="W49">
            <v>31559.090718014239</v>
          </cell>
          <cell r="X49">
            <v>31487.425772719369</v>
          </cell>
          <cell r="Y49">
            <v>31415.923565458685</v>
          </cell>
          <cell r="Z49">
            <v>31344.583726683759</v>
          </cell>
          <cell r="AA49">
            <v>31273.405887685341</v>
          </cell>
          <cell r="AB49">
            <v>31202.389680591456</v>
          </cell>
          <cell r="AC49">
            <v>31131.534738365492</v>
          </cell>
          <cell r="AD49">
            <v>31060.840694804319</v>
          </cell>
          <cell r="AE49">
            <v>30990.307184536381</v>
          </cell>
          <cell r="AF49">
            <v>30919.933843019819</v>
          </cell>
          <cell r="AG49">
            <v>30849.720306540577</v>
          </cell>
          <cell r="AH49">
            <v>30779.66621221053</v>
          </cell>
          <cell r="AI49">
            <v>30709.771197965609</v>
          </cell>
          <cell r="AJ49"/>
          <cell r="AK49"/>
          <cell r="AL49"/>
          <cell r="AM49"/>
          <cell r="AN49"/>
          <cell r="AO49"/>
          <cell r="AP49"/>
          <cell r="AQ49"/>
          <cell r="AR49"/>
          <cell r="AS49"/>
          <cell r="AT49"/>
          <cell r="AU49"/>
          <cell r="AV49"/>
          <cell r="AW49"/>
          <cell r="AX49"/>
          <cell r="AY49"/>
          <cell r="AZ49"/>
          <cell r="BA49"/>
          <cell r="BB49"/>
          <cell r="BC49"/>
          <cell r="BD49"/>
        </row>
        <row r="50">
          <cell r="C50" t="str">
            <v>MT</v>
          </cell>
          <cell r="D50" t="str">
            <v>Multifamily - High Rise</v>
          </cell>
          <cell r="E50" t="str">
            <v>Existing</v>
          </cell>
          <cell r="F50">
            <v>4054.2608421414056</v>
          </cell>
          <cell r="G50">
            <v>4045.0543544114739</v>
          </cell>
          <cell r="H50">
            <v>4035.8687729378544</v>
          </cell>
          <cell r="I50">
            <v>4026.7040502462473</v>
          </cell>
          <cell r="J50">
            <v>4017.5601389701596</v>
          </cell>
          <cell r="K50">
            <v>4008.4369918506577</v>
          </cell>
          <cell r="L50">
            <v>3999.3345617361256</v>
          </cell>
          <cell r="M50">
            <v>3990.2528015820189</v>
          </cell>
          <cell r="N50">
            <v>3981.1916644506236</v>
          </cell>
          <cell r="O50">
            <v>3972.1511035108124</v>
          </cell>
          <cell r="P50">
            <v>3963.1310720378028</v>
          </cell>
          <cell r="Q50">
            <v>3954.1315234129161</v>
          </cell>
          <cell r="R50">
            <v>3945.1524111233357</v>
          </cell>
          <cell r="S50">
            <v>3936.1936887618676</v>
          </cell>
          <cell r="T50">
            <v>3927.2553100266996</v>
          </cell>
          <cell r="U50">
            <v>3918.3372287211632</v>
          </cell>
          <cell r="V50">
            <v>3909.4393987534936</v>
          </cell>
          <cell r="W50">
            <v>3900.5617741365918</v>
          </cell>
          <cell r="X50">
            <v>3891.7043089877875</v>
          </cell>
          <cell r="Y50">
            <v>3882.8669575286017</v>
          </cell>
          <cell r="Z50">
            <v>3874.0496740845097</v>
          </cell>
          <cell r="AA50">
            <v>3865.2524130847055</v>
          </cell>
          <cell r="AB50">
            <v>3856.4751290618656</v>
          </cell>
          <cell r="AC50">
            <v>3847.7177766519153</v>
          </cell>
          <cell r="AD50">
            <v>3838.9803105937926</v>
          </cell>
          <cell r="AE50">
            <v>3830.2626857292162</v>
          </cell>
          <cell r="AF50">
            <v>3821.56485700245</v>
          </cell>
          <cell r="AG50">
            <v>3812.8867794600719</v>
          </cell>
          <cell r="AH50">
            <v>3804.2284082507404</v>
          </cell>
          <cell r="AI50">
            <v>3795.5896986249631</v>
          </cell>
          <cell r="AJ50"/>
          <cell r="AK50"/>
          <cell r="AL50"/>
          <cell r="AM50"/>
          <cell r="AN50"/>
          <cell r="AO50"/>
          <cell r="AP50"/>
          <cell r="AQ50"/>
          <cell r="AR50"/>
          <cell r="AS50"/>
          <cell r="AT50"/>
          <cell r="AU50"/>
          <cell r="AV50"/>
          <cell r="AW50"/>
          <cell r="AX50"/>
          <cell r="AY50"/>
          <cell r="AZ50"/>
          <cell r="BA50"/>
          <cell r="BB50"/>
          <cell r="BC50"/>
          <cell r="BD50"/>
        </row>
        <row r="51">
          <cell r="C51" t="str">
            <v>MT_Other Family</v>
          </cell>
          <cell r="D51" t="str">
            <v>Manufactured</v>
          </cell>
          <cell r="E51" t="str">
            <v>Existing</v>
          </cell>
          <cell r="F51">
            <v>41595.549340500133</v>
          </cell>
          <cell r="G51">
            <v>41151.018267177395</v>
          </cell>
          <cell r="H51">
            <v>40711.237891424047</v>
          </cell>
          <cell r="I51">
            <v>40276.157442599411</v>
          </cell>
          <cell r="J51">
            <v>39845.726692647957</v>
          </cell>
          <cell r="K51">
            <v>39419.895950300699</v>
          </cell>
          <cell r="L51">
            <v>38998.616055338571</v>
          </cell>
          <cell r="M51">
            <v>38581.838372917111</v>
          </cell>
          <cell r="N51">
            <v>38169.514787951783</v>
          </cell>
          <cell r="O51">
            <v>37761.597699563303</v>
          </cell>
          <cell r="P51">
            <v>37358.040015582337</v>
          </cell>
          <cell r="Q51">
            <v>36958.795147112935</v>
          </cell>
          <cell r="R51">
            <v>36563.817003154043</v>
          </cell>
          <cell r="S51">
            <v>36173.059985278516</v>
          </cell>
          <cell r="T51">
            <v>35786.478982368979</v>
          </cell>
          <cell r="U51">
            <v>35404.029365409966</v>
          </cell>
          <cell r="V51">
            <v>35025.666982335686</v>
          </cell>
          <cell r="W51">
            <v>34651.348152932886</v>
          </cell>
          <cell r="X51">
            <v>34281.029663798159</v>
          </cell>
          <cell r="Y51">
            <v>33914.668763349153</v>
          </cell>
          <cell r="Z51">
            <v>33552.2231568891</v>
          </cell>
          <cell r="AA51">
            <v>33193.651001724087</v>
          </cell>
          <cell r="AB51">
            <v>32838.9109023325</v>
          </cell>
          <cell r="AC51">
            <v>32487.961905586108</v>
          </cell>
          <cell r="AD51">
            <v>32140.763496022206</v>
          </cell>
          <cell r="AE51">
            <v>31797.275591166297</v>
          </cell>
          <cell r="AF51">
            <v>31457.458536904738</v>
          </cell>
          <cell r="AG51">
            <v>31121.273102906871</v>
          </cell>
          <cell r="AH51">
            <v>30788.680478096045</v>
          </cell>
          <cell r="AI51">
            <v>30459.642266169059</v>
          </cell>
          <cell r="AJ51"/>
          <cell r="AK51"/>
          <cell r="AL51"/>
          <cell r="AM51"/>
          <cell r="AN51"/>
          <cell r="AO51"/>
          <cell r="AP51"/>
          <cell r="AQ51"/>
          <cell r="AR51"/>
          <cell r="AS51"/>
          <cell r="AT51"/>
          <cell r="AU51"/>
          <cell r="AV51"/>
          <cell r="AW51"/>
          <cell r="AX51"/>
          <cell r="AY51"/>
          <cell r="AZ51"/>
          <cell r="BA51"/>
          <cell r="BB51"/>
          <cell r="BC51"/>
          <cell r="BD51"/>
        </row>
        <row r="52">
          <cell r="C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row>
        <row r="54">
          <cell r="D54" t="str">
            <v>REGION</v>
          </cell>
          <cell r="E54"/>
          <cell r="F54">
            <v>2021</v>
          </cell>
          <cell r="G54">
            <v>2022</v>
          </cell>
          <cell r="H54">
            <v>2023</v>
          </cell>
          <cell r="I54">
            <v>2024</v>
          </cell>
          <cell r="J54">
            <v>2025</v>
          </cell>
          <cell r="K54">
            <v>2026</v>
          </cell>
          <cell r="L54">
            <v>2027</v>
          </cell>
          <cell r="M54">
            <v>2028</v>
          </cell>
          <cell r="N54">
            <v>2029</v>
          </cell>
          <cell r="O54">
            <v>2030</v>
          </cell>
          <cell r="P54">
            <v>2031</v>
          </cell>
          <cell r="Q54">
            <v>2032</v>
          </cell>
          <cell r="R54">
            <v>2033</v>
          </cell>
          <cell r="S54">
            <v>2034</v>
          </cell>
          <cell r="T54">
            <v>2035</v>
          </cell>
          <cell r="U54">
            <v>2036</v>
          </cell>
          <cell r="V54">
            <v>2037</v>
          </cell>
          <cell r="W54">
            <v>2038</v>
          </cell>
          <cell r="X54">
            <v>2039</v>
          </cell>
          <cell r="Y54">
            <v>2040</v>
          </cell>
          <cell r="Z54">
            <v>2041</v>
          </cell>
          <cell r="AA54">
            <v>2042</v>
          </cell>
          <cell r="AB54">
            <v>2043</v>
          </cell>
          <cell r="AC54">
            <v>2044</v>
          </cell>
          <cell r="AD54">
            <v>2045</v>
          </cell>
          <cell r="AE54">
            <v>2046</v>
          </cell>
          <cell r="AF54">
            <v>2047</v>
          </cell>
          <cell r="AG54">
            <v>2048</v>
          </cell>
          <cell r="AH54">
            <v>2049</v>
          </cell>
          <cell r="AI54">
            <v>2050</v>
          </cell>
          <cell r="BD54"/>
        </row>
        <row r="55">
          <cell r="C55"/>
          <cell r="D55" t="str">
            <v>Single Family</v>
          </cell>
          <cell r="E55" t="str">
            <v>New</v>
          </cell>
          <cell r="F55">
            <v>53153.372677289</v>
          </cell>
          <cell r="G55">
            <v>51977.888203696508</v>
          </cell>
          <cell r="H55">
            <v>50641.752822309594</v>
          </cell>
          <cell r="I55">
            <v>49645.875348756417</v>
          </cell>
          <cell r="J55">
            <v>49063.981681068399</v>
          </cell>
          <cell r="K55">
            <v>47724.227123243618</v>
          </cell>
          <cell r="L55">
            <v>45855.859719229273</v>
          </cell>
          <cell r="M55">
            <v>44883.456972553773</v>
          </cell>
          <cell r="N55">
            <v>44287.370469927293</v>
          </cell>
          <cell r="O55">
            <v>44150.096031015091</v>
          </cell>
          <cell r="P55">
            <v>44083.94470664001</v>
          </cell>
          <cell r="Q55">
            <v>42738.501829516645</v>
          </cell>
          <cell r="R55">
            <v>42320.060337594201</v>
          </cell>
          <cell r="S55">
            <v>42198.254833838</v>
          </cell>
          <cell r="T55">
            <v>42017.426178312329</v>
          </cell>
          <cell r="U55">
            <v>40969.55547720458</v>
          </cell>
          <cell r="V55">
            <v>40442.529943001224</v>
          </cell>
          <cell r="W55">
            <v>39771.027849717997</v>
          </cell>
          <cell r="X55">
            <v>38840.085724995632</v>
          </cell>
          <cell r="Y55">
            <v>38263.771406764376</v>
          </cell>
          <cell r="Z55">
            <v>37555.423046325988</v>
          </cell>
          <cell r="AA55">
            <v>36632.194380953108</v>
          </cell>
          <cell r="AB55">
            <v>36391.440749965317</v>
          </cell>
          <cell r="AC55">
            <v>36394.174577520142</v>
          </cell>
          <cell r="AD55">
            <v>36509.120468190478</v>
          </cell>
          <cell r="AE55">
            <v>36459.772550419853</v>
          </cell>
          <cell r="AF55">
            <v>36215.922847623173</v>
          </cell>
          <cell r="AG55">
            <v>35943.573198870916</v>
          </cell>
          <cell r="AH55">
            <v>35675.562110776526</v>
          </cell>
          <cell r="AI55">
            <v>36056.159664291692</v>
          </cell>
          <cell r="AJ55"/>
          <cell r="AK55"/>
          <cell r="AL55"/>
          <cell r="AM55"/>
          <cell r="AN55"/>
          <cell r="AO55"/>
          <cell r="AP55"/>
          <cell r="AQ55"/>
          <cell r="AR55"/>
          <cell r="AS55"/>
          <cell r="AT55"/>
          <cell r="AU55"/>
          <cell r="AV55"/>
          <cell r="AW55"/>
          <cell r="AX55"/>
          <cell r="AY55"/>
          <cell r="AZ55"/>
          <cell r="BA55"/>
          <cell r="BB55"/>
          <cell r="BC55"/>
          <cell r="BD55"/>
        </row>
        <row r="56">
          <cell r="C56"/>
          <cell r="D56" t="str">
            <v>Multifamily - Low Rise</v>
          </cell>
          <cell r="E56" t="str">
            <v>New</v>
          </cell>
          <cell r="F56">
            <v>21511.619597739762</v>
          </cell>
          <cell r="G56">
            <v>21352.710275832167</v>
          </cell>
          <cell r="H56">
            <v>21122.816263441873</v>
          </cell>
          <cell r="I56">
            <v>21016.457336544412</v>
          </cell>
          <cell r="J56">
            <v>21074.078333606958</v>
          </cell>
          <cell r="K56">
            <v>20792.674739008842</v>
          </cell>
          <cell r="L56">
            <v>20290.042622162109</v>
          </cell>
          <cell r="M56">
            <v>20155.892662017319</v>
          </cell>
          <cell r="N56">
            <v>20164.082913360377</v>
          </cell>
          <cell r="O56">
            <v>20379.866437901146</v>
          </cell>
          <cell r="P56">
            <v>20645.501217978195</v>
          </cell>
          <cell r="Q56">
            <v>20328.096886088919</v>
          </cell>
          <cell r="R56">
            <v>20432.604775484964</v>
          </cell>
          <cell r="S56">
            <v>20670.966397040102</v>
          </cell>
          <cell r="T56">
            <v>20898.718632987941</v>
          </cell>
          <cell r="U56">
            <v>20692.310126477922</v>
          </cell>
          <cell r="V56">
            <v>20747.428690267843</v>
          </cell>
          <cell r="W56">
            <v>20709.434088054197</v>
          </cell>
          <cell r="X56">
            <v>20551.814341068362</v>
          </cell>
          <cell r="Y56">
            <v>20568.971660168376</v>
          </cell>
          <cell r="Z56">
            <v>20522.950024497826</v>
          </cell>
          <cell r="AA56">
            <v>20330.277928192172</v>
          </cell>
          <cell r="AB56">
            <v>20525.35459348742</v>
          </cell>
          <cell r="AC56">
            <v>20854.706590709175</v>
          </cell>
          <cell r="AD56">
            <v>21256.917971673094</v>
          </cell>
          <cell r="AE56">
            <v>21570.720120863145</v>
          </cell>
          <cell r="AF56">
            <v>21772.212321105402</v>
          </cell>
          <cell r="AG56">
            <v>21960.866909905726</v>
          </cell>
          <cell r="AH56">
            <v>22153.810982145344</v>
          </cell>
          <cell r="AI56">
            <v>22351.080398550635</v>
          </cell>
          <cell r="AJ56"/>
          <cell r="AK56"/>
          <cell r="AL56"/>
          <cell r="AM56"/>
          <cell r="AN56"/>
          <cell r="AO56"/>
          <cell r="AP56"/>
          <cell r="AQ56"/>
          <cell r="AR56"/>
          <cell r="AS56"/>
          <cell r="AT56"/>
          <cell r="AU56"/>
          <cell r="AV56"/>
          <cell r="AW56"/>
          <cell r="AX56"/>
          <cell r="AY56"/>
          <cell r="AZ56"/>
          <cell r="BA56"/>
          <cell r="BB56"/>
          <cell r="BC56"/>
          <cell r="BD56"/>
        </row>
        <row r="57">
          <cell r="D57" t="str">
            <v>Multifamily - High Rise</v>
          </cell>
          <cell r="E57" t="str">
            <v>New</v>
          </cell>
          <cell r="F57">
            <v>6293.7488773549831</v>
          </cell>
          <cell r="G57">
            <v>6218.7995799491309</v>
          </cell>
          <cell r="H57">
            <v>6115.4443227472548</v>
          </cell>
          <cell r="I57">
            <v>6097.1771526017301</v>
          </cell>
          <cell r="J57">
            <v>6138.4783244337832</v>
          </cell>
          <cell r="K57">
            <v>6090.9922882099982</v>
          </cell>
          <cell r="L57">
            <v>5959.4709480698157</v>
          </cell>
          <cell r="M57">
            <v>5941.4023402907569</v>
          </cell>
          <cell r="N57">
            <v>5978.3036157399902</v>
          </cell>
          <cell r="O57">
            <v>6063.3208545899979</v>
          </cell>
          <cell r="P57">
            <v>6153.129976292762</v>
          </cell>
          <cell r="Q57">
            <v>6046.1656483268507</v>
          </cell>
          <cell r="R57">
            <v>6067.0532391429933</v>
          </cell>
          <cell r="S57">
            <v>6139.8190441390307</v>
          </cell>
          <cell r="T57">
            <v>6200.0907112435179</v>
          </cell>
          <cell r="U57">
            <v>6129.1378898369976</v>
          </cell>
          <cell r="V57">
            <v>6138.0791552248211</v>
          </cell>
          <cell r="W57">
            <v>6121.9465722925261</v>
          </cell>
          <cell r="X57">
            <v>6052.0997368016779</v>
          </cell>
          <cell r="Y57">
            <v>6023.3714458878849</v>
          </cell>
          <cell r="Z57">
            <v>5985.5729640142272</v>
          </cell>
          <cell r="AA57">
            <v>5912.8286391792672</v>
          </cell>
          <cell r="AB57">
            <v>5948.4083394101026</v>
          </cell>
          <cell r="AC57">
            <v>6034.8999769114471</v>
          </cell>
          <cell r="AD57">
            <v>6142.5524828381331</v>
          </cell>
          <cell r="AE57">
            <v>6224.4194640134929</v>
          </cell>
          <cell r="AF57">
            <v>6273.3801286478019</v>
          </cell>
          <cell r="AG57">
            <v>6311.0339663720406</v>
          </cell>
          <cell r="AH57">
            <v>6349.1366811754124</v>
          </cell>
          <cell r="AI57">
            <v>6387.6762312382361</v>
          </cell>
          <cell r="AJ57"/>
          <cell r="AK57"/>
          <cell r="AL57"/>
          <cell r="AM57"/>
          <cell r="AN57"/>
          <cell r="AO57"/>
          <cell r="AP57"/>
          <cell r="AQ57"/>
          <cell r="AR57"/>
          <cell r="AS57"/>
          <cell r="AT57"/>
          <cell r="AU57"/>
          <cell r="AV57"/>
          <cell r="AW57"/>
          <cell r="AX57"/>
          <cell r="AY57"/>
          <cell r="AZ57"/>
          <cell r="BA57"/>
          <cell r="BB57"/>
          <cell r="BC57"/>
          <cell r="BD57"/>
        </row>
        <row r="58">
          <cell r="C58"/>
          <cell r="D58" t="str">
            <v>Manufactured</v>
          </cell>
          <cell r="E58" t="str">
            <v>New</v>
          </cell>
          <cell r="F58">
            <v>4008.3847306158732</v>
          </cell>
          <cell r="G58">
            <v>4099.153734329384</v>
          </cell>
          <cell r="H58">
            <v>4170.7990863314635</v>
          </cell>
          <cell r="I58">
            <v>4265.3349901690563</v>
          </cell>
          <cell r="J58">
            <v>4392.1432229144229</v>
          </cell>
          <cell r="K58">
            <v>4446.7929509333881</v>
          </cell>
          <cell r="L58">
            <v>4444.7143278069343</v>
          </cell>
          <cell r="M58">
            <v>4521.3726326473443</v>
          </cell>
          <cell r="N58">
            <v>4632.1702567867096</v>
          </cell>
          <cell r="O58">
            <v>4789.3597285756441</v>
          </cell>
          <cell r="P58">
            <v>4957.4200971424043</v>
          </cell>
          <cell r="Q58">
            <v>4979.5414223879607</v>
          </cell>
          <cell r="R58">
            <v>5104.2834750168422</v>
          </cell>
          <cell r="S58">
            <v>5264.5002049913228</v>
          </cell>
          <cell r="T58">
            <v>5418.9261606128994</v>
          </cell>
          <cell r="U58">
            <v>5459.3309839335243</v>
          </cell>
          <cell r="V58">
            <v>5565.9204123493746</v>
          </cell>
          <cell r="W58">
            <v>5651.0239141178781</v>
          </cell>
          <cell r="X58">
            <v>5695.4362405347119</v>
          </cell>
          <cell r="Y58">
            <v>5787.3648557418801</v>
          </cell>
          <cell r="Z58">
            <v>5858.6426366420983</v>
          </cell>
          <cell r="AA58">
            <v>5892.1011712989484</v>
          </cell>
          <cell r="AB58">
            <v>6029.4697758612238</v>
          </cell>
          <cell r="AC58">
            <v>6210.1607858162752</v>
          </cell>
          <cell r="AD58">
            <v>6413.195462055749</v>
          </cell>
          <cell r="AE58">
            <v>6590.9202869145256</v>
          </cell>
          <cell r="AF58">
            <v>6735.3019806910424</v>
          </cell>
          <cell r="AG58">
            <v>6876.0618838922637</v>
          </cell>
          <cell r="AH58">
            <v>7018.2906993152037</v>
          </cell>
          <cell r="AI58">
            <v>7162.0317236436294</v>
          </cell>
          <cell r="AJ58"/>
          <cell r="AK58"/>
          <cell r="AL58"/>
          <cell r="AM58"/>
          <cell r="AN58"/>
          <cell r="AO58"/>
          <cell r="AP58"/>
          <cell r="AQ58"/>
          <cell r="AR58"/>
          <cell r="AS58"/>
          <cell r="AT58"/>
          <cell r="AU58"/>
          <cell r="AV58"/>
          <cell r="AW58"/>
          <cell r="AX58"/>
          <cell r="AY58"/>
          <cell r="AZ58"/>
          <cell r="BA58"/>
          <cell r="BB58"/>
          <cell r="BC58"/>
          <cell r="BD58"/>
        </row>
        <row r="59">
          <cell r="C59"/>
          <cell r="D59" t="str">
            <v>Single Family</v>
          </cell>
          <cell r="E59" t="str">
            <v>Existing</v>
          </cell>
          <cell r="F59">
            <v>4428189.8049785206</v>
          </cell>
          <cell r="G59">
            <v>4418134.3543685544</v>
          </cell>
          <cell r="H59">
            <v>4408101.7374878153</v>
          </cell>
          <cell r="I59">
            <v>4398091.9024858968</v>
          </cell>
          <cell r="J59">
            <v>4388104.797630135</v>
          </cell>
          <cell r="K59">
            <v>4378140.3713053381</v>
          </cell>
          <cell r="L59">
            <v>4368198.5720135234</v>
          </cell>
          <cell r="M59">
            <v>4358279.3483736468</v>
          </cell>
          <cell r="N59">
            <v>4348382.6491213385</v>
          </cell>
          <cell r="O59">
            <v>4338508.4231086429</v>
          </cell>
          <cell r="P59">
            <v>4328656.619303748</v>
          </cell>
          <cell r="Q59">
            <v>4318827.1867907215</v>
          </cell>
          <cell r="R59">
            <v>4309020.074769252</v>
          </cell>
          <cell r="S59">
            <v>4299235.2325543854</v>
          </cell>
          <cell r="T59">
            <v>4289472.6095762625</v>
          </cell>
          <cell r="U59">
            <v>4279732.1553798541</v>
          </cell>
          <cell r="V59">
            <v>4270013.8196247062</v>
          </cell>
          <cell r="W59">
            <v>4260317.5520846751</v>
          </cell>
          <cell r="X59">
            <v>4250643.3026476726</v>
          </cell>
          <cell r="Y59">
            <v>4240991.0213153986</v>
          </cell>
          <cell r="Z59">
            <v>4231360.6582030952</v>
          </cell>
          <cell r="AA59">
            <v>4221752.1635392765</v>
          </cell>
          <cell r="AB59">
            <v>4212165.4876654791</v>
          </cell>
          <cell r="AC59">
            <v>4202600.5810360014</v>
          </cell>
          <cell r="AD59">
            <v>4193057.3942176527</v>
          </cell>
          <cell r="AE59">
            <v>4183535.8778894898</v>
          </cell>
          <cell r="AF59">
            <v>4174035.9828425697</v>
          </cell>
          <cell r="AG59">
            <v>4164557.6599796913</v>
          </cell>
          <cell r="AH59">
            <v>4155100.8603151422</v>
          </cell>
          <cell r="AI59">
            <v>4145665.5349744461</v>
          </cell>
          <cell r="AJ59"/>
          <cell r="AK59"/>
          <cell r="AL59"/>
          <cell r="AM59"/>
          <cell r="AN59"/>
          <cell r="AO59"/>
          <cell r="AP59"/>
          <cell r="AQ59"/>
          <cell r="AR59"/>
          <cell r="AS59"/>
          <cell r="AT59"/>
          <cell r="AU59"/>
          <cell r="AV59"/>
          <cell r="AW59"/>
          <cell r="AX59"/>
          <cell r="AY59"/>
          <cell r="AZ59"/>
          <cell r="BA59"/>
          <cell r="BB59"/>
          <cell r="BC59"/>
          <cell r="BD59"/>
        </row>
        <row r="60">
          <cell r="C60"/>
          <cell r="D60" t="str">
            <v>Multifamily - Low Rise</v>
          </cell>
          <cell r="E60" t="str">
            <v>Existing</v>
          </cell>
          <cell r="F60">
            <v>1000209.5008814464</v>
          </cell>
          <cell r="G60">
            <v>997938.20733232133</v>
          </cell>
          <cell r="H60">
            <v>995672.07147704111</v>
          </cell>
          <cell r="I60">
            <v>993411.08160342288</v>
          </cell>
          <cell r="J60">
            <v>991155.22602587962</v>
          </cell>
          <cell r="K60">
            <v>988904.49308536039</v>
          </cell>
          <cell r="L60">
            <v>986658.87114928989</v>
          </cell>
          <cell r="M60">
            <v>984418.34861150815</v>
          </cell>
          <cell r="N60">
            <v>982182.91389221046</v>
          </cell>
          <cell r="O60">
            <v>979952.55543788837</v>
          </cell>
          <cell r="P60">
            <v>977727.26172126888</v>
          </cell>
          <cell r="Q60">
            <v>975507.0212412551</v>
          </cell>
          <cell r="R60">
            <v>973291.82252286782</v>
          </cell>
          <cell r="S60">
            <v>971081.65411718469</v>
          </cell>
          <cell r="T60">
            <v>968876.50460128207</v>
          </cell>
          <cell r="U60">
            <v>966676.36257817538</v>
          </cell>
          <cell r="V60">
            <v>964481.21667676105</v>
          </cell>
          <cell r="W60">
            <v>962291.0555517571</v>
          </cell>
          <cell r="X60">
            <v>960105.86788364418</v>
          </cell>
          <cell r="Y60">
            <v>957925.64237860811</v>
          </cell>
          <cell r="Z60">
            <v>955750.36776848033</v>
          </cell>
          <cell r="AA60">
            <v>953580.03281068068</v>
          </cell>
          <cell r="AB60">
            <v>951414.62628815835</v>
          </cell>
          <cell r="AC60">
            <v>949254.13700933522</v>
          </cell>
          <cell r="AD60">
            <v>947098.55380804639</v>
          </cell>
          <cell r="AE60">
            <v>944947.86554348364</v>
          </cell>
          <cell r="AF60">
            <v>942802.06110013754</v>
          </cell>
          <cell r="AG60">
            <v>940661.12938773993</v>
          </cell>
          <cell r="AH60">
            <v>938525.05934120633</v>
          </cell>
          <cell r="AI60">
            <v>936393.83992057957</v>
          </cell>
          <cell r="AJ60"/>
          <cell r="AK60"/>
          <cell r="AL60"/>
          <cell r="AM60"/>
          <cell r="AN60"/>
          <cell r="AO60"/>
          <cell r="AP60"/>
          <cell r="AQ60"/>
          <cell r="AR60"/>
          <cell r="AS60"/>
          <cell r="AT60"/>
          <cell r="AU60"/>
          <cell r="AV60"/>
          <cell r="AW60"/>
          <cell r="AX60"/>
          <cell r="AY60"/>
          <cell r="AZ60"/>
          <cell r="BA60"/>
          <cell r="BB60"/>
          <cell r="BC60"/>
          <cell r="BD60"/>
        </row>
        <row r="61">
          <cell r="D61" t="str">
            <v>Multifamily - High Rise</v>
          </cell>
          <cell r="E61" t="str">
            <v>Existing</v>
          </cell>
          <cell r="F61">
            <v>295974.19722520368</v>
          </cell>
          <cell r="G61">
            <v>295302.09374660981</v>
          </cell>
          <cell r="H61">
            <v>294631.5164925658</v>
          </cell>
          <cell r="I61">
            <v>293962.46199729381</v>
          </cell>
          <cell r="J61">
            <v>293294.92680288607</v>
          </cell>
          <cell r="K61">
            <v>292628.90745928715</v>
          </cell>
          <cell r="L61">
            <v>291964.40052427596</v>
          </cell>
          <cell r="M61">
            <v>291301.40256344818</v>
          </cell>
          <cell r="N61">
            <v>290639.91015019838</v>
          </cell>
          <cell r="O61">
            <v>289979.91986570234</v>
          </cell>
          <cell r="P61">
            <v>289321.42829889921</v>
          </cell>
          <cell r="Q61">
            <v>288664.43204647431</v>
          </cell>
          <cell r="R61">
            <v>288008.92771284096</v>
          </cell>
          <cell r="S61">
            <v>287354.91191012348</v>
          </cell>
          <cell r="T61">
            <v>286702.38125813944</v>
          </cell>
          <cell r="U61">
            <v>286051.33238438197</v>
          </cell>
          <cell r="V61">
            <v>285401.76192400273</v>
          </cell>
          <cell r="W61">
            <v>284753.66651979421</v>
          </cell>
          <cell r="X61">
            <v>284107.04282217269</v>
          </cell>
          <cell r="Y61">
            <v>283461.88748916058</v>
          </cell>
          <cell r="Z61">
            <v>282818.19718636951</v>
          </cell>
          <cell r="AA61">
            <v>282175.96858698258</v>
          </cell>
          <cell r="AB61">
            <v>281535.19837173773</v>
          </cell>
          <cell r="AC61">
            <v>280895.88322891033</v>
          </cell>
          <cell r="AD61">
            <v>280258.01985429594</v>
          </cell>
          <cell r="AE61">
            <v>279621.60495119344</v>
          </cell>
          <cell r="AF61">
            <v>278986.63523038808</v>
          </cell>
          <cell r="AG61">
            <v>278353.10741013393</v>
          </cell>
          <cell r="AH61">
            <v>277721.01821613766</v>
          </cell>
          <cell r="AI61">
            <v>277090.36438154121</v>
          </cell>
          <cell r="AJ61"/>
          <cell r="AK61"/>
          <cell r="AL61"/>
          <cell r="AM61"/>
          <cell r="AN61"/>
          <cell r="AO61"/>
          <cell r="AP61"/>
          <cell r="AQ61"/>
          <cell r="AR61"/>
          <cell r="AS61"/>
          <cell r="AT61"/>
          <cell r="AU61"/>
          <cell r="AV61"/>
          <cell r="AW61"/>
          <cell r="AX61"/>
          <cell r="AY61"/>
          <cell r="AZ61"/>
          <cell r="BA61"/>
          <cell r="BB61"/>
          <cell r="BC61"/>
          <cell r="BD61"/>
        </row>
      </sheetData>
      <sheetData sheetId="5">
        <row r="21">
          <cell r="H21">
            <v>207300.75230659655</v>
          </cell>
        </row>
      </sheetData>
      <sheetData sheetId="6">
        <row r="21">
          <cell r="H21">
            <v>0.40814400000000001</v>
          </cell>
        </row>
      </sheetData>
      <sheetData sheetId="7">
        <row r="12">
          <cell r="AQ12">
            <v>2022</v>
          </cell>
        </row>
      </sheetData>
      <sheetData sheetId="8">
        <row r="21">
          <cell r="H21">
            <v>0.40814400000000001</v>
          </cell>
        </row>
      </sheetData>
      <sheetData sheetId="9">
        <row r="10">
          <cell r="G10">
            <v>977.60299999999995</v>
          </cell>
        </row>
      </sheetData>
      <sheetData sheetId="10">
        <row r="9">
          <cell r="G9">
            <v>2016</v>
          </cell>
        </row>
      </sheetData>
      <sheetData sheetId="11">
        <row r="10">
          <cell r="G10">
            <v>977.60299999999995</v>
          </cell>
        </row>
      </sheetData>
      <sheetData sheetId="12">
        <row r="21">
          <cell r="H21">
            <v>25.562876348592489</v>
          </cell>
        </row>
      </sheetData>
      <sheetData sheetId="13">
        <row r="20">
          <cell r="C20" t="str">
            <v>ID</v>
          </cell>
        </row>
      </sheetData>
      <sheetData sheetId="14">
        <row r="21">
          <cell r="H21">
            <v>25.562876348592493</v>
          </cell>
        </row>
      </sheetData>
      <sheetData sheetId="15"/>
      <sheetData sheetId="16">
        <row r="5">
          <cell r="B5" t="str">
            <v>Anchor</v>
          </cell>
        </row>
      </sheetData>
      <sheetData sheetId="17"/>
      <sheetData sheetId="18">
        <row r="21">
          <cell r="H21" t="str">
            <v>Pos_Rel</v>
          </cell>
        </row>
      </sheetData>
      <sheetData sheetId="19">
        <row r="3">
          <cell r="H3">
            <v>1996</v>
          </cell>
        </row>
      </sheetData>
      <sheetData sheetId="20">
        <row r="3">
          <cell r="H3">
            <v>2018</v>
          </cell>
        </row>
      </sheetData>
      <sheetData sheetId="21">
        <row r="3">
          <cell r="H3">
            <v>2018</v>
          </cell>
        </row>
      </sheetData>
      <sheetData sheetId="22">
        <row r="4">
          <cell r="H4">
            <v>2021</v>
          </cell>
        </row>
      </sheetData>
      <sheetData sheetId="23">
        <row r="4">
          <cell r="H4">
            <v>2021</v>
          </cell>
        </row>
      </sheetData>
      <sheetData sheetId="24">
        <row r="4">
          <cell r="H4">
            <v>2021</v>
          </cell>
        </row>
      </sheetData>
      <sheetData sheetId="25">
        <row r="21">
          <cell r="H21">
            <v>22551.94</v>
          </cell>
        </row>
      </sheetData>
      <sheetData sheetId="26"/>
      <sheetData sheetId="27"/>
      <sheetData sheetId="28">
        <row r="25">
          <cell r="G25">
            <v>2017</v>
          </cell>
        </row>
      </sheetData>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P Draft - ReadMe"/>
      <sheetName val="2021PSourceSummary"/>
      <sheetName val="forRPM"/>
      <sheetName val="SC-New"/>
      <sheetName val="SC-Retro"/>
      <sheetName val="Segmentation"/>
      <sheetName val="M_Input_Out"/>
      <sheetName val="Measure_InputOutput"/>
      <sheetName val="SavingsData&amp;Analysis"/>
      <sheetName val="CostData&amp;Analysis"/>
      <sheetName val="update log"/>
    </sheetNames>
    <sheetDataSet>
      <sheetData sheetId="0"/>
      <sheetData sheetId="1"/>
      <sheetData sheetId="2"/>
      <sheetData sheetId="3"/>
      <sheetData sheetId="4"/>
      <sheetData sheetId="5">
        <row r="10">
          <cell r="C10">
            <v>2.1813958637472292E-2</v>
          </cell>
        </row>
        <row r="23">
          <cell r="B23">
            <v>0.88347161036721844</v>
          </cell>
        </row>
      </sheetData>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P Draft - ReadMe"/>
      <sheetName val="2021PSourceSumm"/>
      <sheetName val="forRPM"/>
      <sheetName val="SC-New"/>
      <sheetName val="SC-NR"/>
      <sheetName val="EV Saturation"/>
      <sheetName val="M_Input_Out"/>
      <sheetName val="Measure_InputOutput"/>
      <sheetName val="&gt;&gt;&gt; UES &gt;&gt;&gt;"/>
      <sheetName val="Savings Summary"/>
      <sheetName val="Measure UES Analysis"/>
      <sheetName val="Workplace vs Home Charging"/>
      <sheetName val="ESTAR EVSE QPL"/>
      <sheetName val="EPA Charger Efficiency"/>
      <sheetName val="&gt;&gt;&gt; Annual VMT &gt;&gt;&gt;"/>
      <sheetName val="2017 NHTS Summary"/>
      <sheetName val="VMT by State"/>
      <sheetName val="VMT by 2010 Census Division"/>
      <sheetName val="VMT by Census Region"/>
      <sheetName val="WA Regs"/>
      <sheetName val="OR Regs"/>
      <sheetName val="EV Regs by State"/>
      <sheetName val="&gt;&gt;&gt; Load Shape &gt;&gt;&gt;"/>
      <sheetName val="Average Weekly"/>
      <sheetName val="8760 Annualized"/>
      <sheetName val="&gt;&gt;&gt; DR Potential &gt;&gt;&gt;"/>
      <sheetName val="Maximum Power Acceptance"/>
      <sheetName val="&gt;&gt;&gt; Costs &gt;&gt;&gt;"/>
      <sheetName val="Cost Summary"/>
      <sheetName val="Cost Presentation Tables"/>
      <sheetName val="Avista Costs"/>
      <sheetName val="&gt;&gt;&gt; EUL &gt;&gt;&gt;"/>
      <sheetName val="Literature Review"/>
      <sheetName val="Update Log"/>
    </sheetNames>
    <sheetDataSet>
      <sheetData sheetId="0"/>
      <sheetData sheetId="1"/>
      <sheetData sheetId="2"/>
      <sheetData sheetId="3"/>
      <sheetData sheetId="4"/>
      <sheetData sheetId="5">
        <row r="24">
          <cell r="A24">
            <v>0.8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P Draft - ReadMe"/>
      <sheetName val="2021PSourceSumm"/>
      <sheetName val="forRPM"/>
      <sheetName val="SC-New"/>
      <sheetName val="SC-NR Fixture"/>
      <sheetName val="Fixture Turnovers"/>
      <sheetName val="SC-NR Lamp"/>
      <sheetName val="SC-New Pin"/>
      <sheetName val="SC-NR Pin"/>
      <sheetName val="Lamp Applicability"/>
      <sheetName val="Fixture Applicability"/>
      <sheetName val="M_Input_Out"/>
      <sheetName val="Measure_InOut_All"/>
      <sheetName val="Measure_InOut_Fixture"/>
      <sheetName val="Measure_InOut_Pin"/>
      <sheetName val="Measure_InOut_lamps"/>
      <sheetName val="Lamps_MeasureAssembly"/>
      <sheetName val="Lamps_BaselineReplacement"/>
      <sheetName val="Lamps_EISA"/>
      <sheetName val="PreIncentiveCosts"/>
      <sheetName val="Lamps_Lifetime"/>
      <sheetName val="LumenAdjustments"/>
      <sheetName val="Lamps_MarketData_PriceWattLumen"/>
      <sheetName val="Lamps_HOUandConditionedPcnt"/>
      <sheetName val="Lamps_MarketData_Shares"/>
      <sheetName val="Lamps_ENERGY STAR QPL"/>
      <sheetName val="PinBaseLamps_MeasureAssembly"/>
      <sheetName val="PinBaseLamps_HOUandCondPercent"/>
      <sheetName val="PinBaseLamps_LampSpecsAndMktShr"/>
      <sheetName val="Fixtures_MeasureAssembly"/>
      <sheetName val="Fixtures_TypicalChoices"/>
      <sheetName val="Fixtures_LampTypes"/>
      <sheetName val="Fixtures_HOU"/>
      <sheetName val="Fixtures_ReplacementModelInputs"/>
      <sheetName val="Fixtures_BaselineReplacement"/>
      <sheetName val="Fixtures_Costs"/>
      <sheetName val="Fixture_EfficacyAndLumens"/>
      <sheetName val="Fixtures_ENERGYSTAR_v2_2"/>
      <sheetName val="Parameters"/>
      <sheetName val="Update Log"/>
    </sheetNames>
    <sheetDataSet>
      <sheetData sheetId="0"/>
      <sheetData sheetId="1"/>
      <sheetData sheetId="2"/>
      <sheetData sheetId="3"/>
      <sheetData sheetId="4"/>
      <sheetData sheetId="5">
        <row r="100">
          <cell r="M100">
            <v>0.39392539290337059</v>
          </cell>
        </row>
      </sheetData>
      <sheetData sheetId="6"/>
      <sheetData sheetId="7"/>
      <sheetData sheetId="8"/>
      <sheetData sheetId="9"/>
      <sheetData sheetId="10"/>
      <sheetData sheetId="11"/>
      <sheetData sheetId="12"/>
      <sheetData sheetId="13"/>
      <sheetData sheetId="14"/>
      <sheetData sheetId="15"/>
      <sheetData sheetId="16">
        <row r="12">
          <cell r="BW12">
            <v>1.24</v>
          </cell>
        </row>
      </sheetData>
      <sheetData sheetId="17"/>
      <sheetData sheetId="18">
        <row r="5">
          <cell r="D5" t="str">
            <v>Decorative and Mini-Base250 to 1049 lumens</v>
          </cell>
        </row>
      </sheetData>
      <sheetData sheetId="19">
        <row r="57">
          <cell r="H57">
            <v>4.2065808906283841</v>
          </cell>
        </row>
      </sheetData>
      <sheetData sheetId="20">
        <row r="3">
          <cell r="A3" t="str">
            <v>INC</v>
          </cell>
        </row>
      </sheetData>
      <sheetData sheetId="21">
        <row r="6">
          <cell r="N6" t="str">
            <v>Decorative and Mini-Base</v>
          </cell>
        </row>
      </sheetData>
      <sheetData sheetId="22">
        <row r="1">
          <cell r="AC1"/>
        </row>
      </sheetData>
      <sheetData sheetId="23">
        <row r="6">
          <cell r="D6" t="str">
            <v>AnyDecorative and Mini-Base250 to 1049 lumens</v>
          </cell>
        </row>
      </sheetData>
      <sheetData sheetId="24">
        <row r="1">
          <cell r="Q1"/>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5">
          <cell r="D5">
            <v>12</v>
          </cell>
        </row>
      </sheetData>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P Draft - ReadMe"/>
      <sheetName val="2021PSourceSummary"/>
      <sheetName val="forRPM"/>
      <sheetName val="SC-New"/>
      <sheetName val="SC-Retro"/>
      <sheetName val="M_Input_Out"/>
      <sheetName val="Measure_InputOutput"/>
      <sheetName val="Applicability"/>
      <sheetName val="SavingsData&amp;Analysis"/>
      <sheetName val="Adjustment Factor"/>
      <sheetName val="BaselineAnalysis"/>
      <sheetName val="CECApplianceDatabase"/>
      <sheetName val="TMY3_Summary"/>
      <sheetName val="Corvallis_Bin"/>
      <sheetName val="Seattle_Bin"/>
      <sheetName val="Boise_Bin"/>
      <sheetName val="TMY3_Temps_in_C"/>
      <sheetName val="EUL"/>
      <sheetName val="CostData&amp;Analysis"/>
      <sheetName val="Constants"/>
      <sheetName val="Info"/>
      <sheetName val="BackgroundResearch"/>
      <sheetName val="Summary of data sources"/>
      <sheetName val="Mechanical_WholeHouseFan"/>
      <sheetName val="Alt_weights"/>
      <sheetName val="ToDo8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
          <cell r="L3">
            <v>2.8689745987573945E-2</v>
          </cell>
          <cell r="M3">
            <v>3.7132325292567117E-2</v>
          </cell>
        </row>
      </sheetData>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P Draft - ReadMe"/>
      <sheetName val="2021PSourceSummary"/>
      <sheetName val="forRPM"/>
      <sheetName val="SC-New"/>
      <sheetName val="SC-NR"/>
      <sheetName val="Units per home"/>
      <sheetName val="M_Input_Out"/>
      <sheetName val="M_Input"/>
      <sheetName val="RBSA Appliance_Computer"/>
      <sheetName val="RBSA Alt Weights"/>
      <sheetName val="Analysis"/>
      <sheetName val="ENERGY STAR Data Set"/>
      <sheetName val="Specification Tables"/>
      <sheetName val="Residential HOU"/>
      <sheetName val="Shipment Data"/>
      <sheetName val="ENERGY STAR Emails"/>
      <sheetName val="Read Me"/>
    </sheetNames>
    <sheetDataSet>
      <sheetData sheetId="0"/>
      <sheetData sheetId="1"/>
      <sheetData sheetId="2"/>
      <sheetData sheetId="3"/>
      <sheetData sheetId="4"/>
      <sheetData sheetId="5"/>
      <sheetData sheetId="6"/>
      <sheetData sheetId="7">
        <row r="8">
          <cell r="D8">
            <v>5</v>
          </cell>
        </row>
      </sheetData>
      <sheetData sheetId="8">
        <row r="20">
          <cell r="AR20">
            <v>1.3708807892507278</v>
          </cell>
          <cell r="AS20">
            <v>0.77888559710145489</v>
          </cell>
          <cell r="AT20">
            <v>1.1120089592359239</v>
          </cell>
        </row>
      </sheetData>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P Draft - ReadMe"/>
      <sheetName val="2021PSourceSumm"/>
      <sheetName val="forRPM"/>
      <sheetName val="SC-New"/>
      <sheetName val="SC-NR"/>
      <sheetName val="M_Input_Out"/>
      <sheetName val="Measure_InputOutput"/>
      <sheetName val="Measure Dev"/>
      <sheetName val="CEC dbase"/>
      <sheetName val="CEE Qualifying Dishwashers"/>
      <sheetName val="Cost Model "/>
      <sheetName val="Standards"/>
      <sheetName val="RBSA II sat"/>
      <sheetName val="RBSA alt weights"/>
      <sheetName val="Updat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S2">
            <v>0.83740657458415768</v>
          </cell>
        </row>
        <row r="3">
          <cell r="S3">
            <v>0.83966265858877454</v>
          </cell>
        </row>
        <row r="4">
          <cell r="S4">
            <v>0.68468881874245047</v>
          </cell>
        </row>
      </sheetData>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P Draft - ReadMe"/>
      <sheetName val="2021PSourceSummary"/>
      <sheetName val="forRPM"/>
      <sheetName val="SC-New Desktop"/>
      <sheetName val="SC-New Laptop"/>
      <sheetName val="SC-NR Desktop"/>
      <sheetName val="SC-NR Laptop"/>
      <sheetName val="Sales Data"/>
      <sheetName val="Units per home"/>
      <sheetName val="M_Input_Out"/>
      <sheetName val="M_Input"/>
      <sheetName val="Summary"/>
      <sheetName val="Costs"/>
      <sheetName val="Storage Costs"/>
      <sheetName val="Residential Desktop HOU"/>
      <sheetName val="Residential Laptop HOU"/>
      <sheetName val="Spec Comparison"/>
      <sheetName val="Washington State Code"/>
      <sheetName val="ESTAR V8.0"/>
      <sheetName val="ESTAR V7.1"/>
      <sheetName val="ESTAR Desktop Data Set"/>
      <sheetName val="ESTAR Laptop Data Set"/>
      <sheetName val="ESTAR QPL"/>
      <sheetName val="Best Buy"/>
      <sheetName val="New Egg"/>
      <sheetName val="Best Buy - All Laptops"/>
      <sheetName val="RBSA Appliance_Computer"/>
      <sheetName val="RBSA Alt Weights"/>
      <sheetName val="ENERGY STAR Emails"/>
      <sheetName val="Read Me"/>
    </sheetNames>
    <sheetDataSet>
      <sheetData sheetId="0"/>
      <sheetData sheetId="1"/>
      <sheetData sheetId="2"/>
      <sheetData sheetId="3"/>
      <sheetData sheetId="4"/>
      <sheetData sheetId="5"/>
      <sheetData sheetId="6"/>
      <sheetData sheetId="7"/>
      <sheetData sheetId="8">
        <row r="4">
          <cell r="B4">
            <v>1.2540881924362293</v>
          </cell>
          <cell r="C4">
            <v>0.74267537001703376</v>
          </cell>
          <cell r="E4">
            <v>1.0373412604087846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e3tnw.org/ItemDetail.aspx?id=156" TargetMode="External"/><Relationship Id="rId1" Type="http://schemas.openxmlformats.org/officeDocument/2006/relationships/hyperlink" Target="http://e3tnw.org/ItemDetail.aspx?id=240"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nergystar.gov/sites/default/files/Draft%202%20Version%208.0%20Displays%20Webinar%20Slides_952018.pdf" TargetMode="External"/><Relationship Id="rId1" Type="http://schemas.openxmlformats.org/officeDocument/2006/relationships/hyperlink" Target="https://www.energystar.gov/sites/default/files/Draft%202%20Version%208.0%20Displays%20Webinar%20Slides_952018.pdf"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BD831-E963-4416-BB68-072CE0F1DA6D}">
  <sheetPr codeName="Sheet2"/>
  <dimension ref="A1:L37"/>
  <sheetViews>
    <sheetView zoomScaleNormal="100" workbookViewId="0">
      <selection activeCell="N14" sqref="N14"/>
    </sheetView>
  </sheetViews>
  <sheetFormatPr defaultColWidth="8.85546875" defaultRowHeight="13.15" customHeight="1"/>
  <cols>
    <col min="1" max="16384" width="8.85546875" style="157"/>
  </cols>
  <sheetData>
    <row r="1" spans="1:12" ht="13.15" customHeight="1">
      <c r="A1" s="156"/>
      <c r="B1" s="156"/>
      <c r="C1" s="156"/>
      <c r="D1" s="156"/>
      <c r="E1" s="156"/>
      <c r="F1" s="156"/>
      <c r="G1" s="156"/>
      <c r="H1" s="156"/>
      <c r="I1" s="156"/>
      <c r="J1" s="156"/>
      <c r="K1" s="156"/>
      <c r="L1" s="156"/>
    </row>
    <row r="2" spans="1:12" ht="13.15" customHeight="1">
      <c r="A2" s="156"/>
      <c r="B2" s="156"/>
      <c r="C2" s="156"/>
      <c r="D2" s="156"/>
      <c r="E2" s="156"/>
      <c r="F2" s="156"/>
      <c r="G2" s="156"/>
      <c r="H2" s="156"/>
      <c r="I2" s="156"/>
      <c r="J2" s="156"/>
      <c r="K2" s="156"/>
      <c r="L2" s="156"/>
    </row>
    <row r="3" spans="1:12" ht="13.15" customHeight="1">
      <c r="A3" s="156"/>
      <c r="B3" s="156"/>
      <c r="C3" s="156"/>
      <c r="D3" s="156"/>
      <c r="E3" s="156"/>
      <c r="F3" s="156"/>
      <c r="G3" s="156"/>
      <c r="H3" s="156"/>
      <c r="I3" s="156"/>
      <c r="J3" s="156"/>
      <c r="K3" s="156"/>
      <c r="L3" s="156"/>
    </row>
    <row r="4" spans="1:12" ht="13.15" customHeight="1">
      <c r="A4" s="156"/>
      <c r="B4" s="156"/>
      <c r="C4" s="156"/>
      <c r="D4" s="156"/>
      <c r="E4" s="156"/>
      <c r="F4" s="156"/>
      <c r="G4" s="156"/>
      <c r="H4" s="156"/>
      <c r="I4" s="156"/>
      <c r="J4" s="156"/>
      <c r="K4" s="156"/>
      <c r="L4" s="156"/>
    </row>
    <row r="5" spans="1:12" ht="13.15" customHeight="1">
      <c r="A5" s="156"/>
      <c r="B5" s="156"/>
      <c r="C5" s="156"/>
      <c r="D5" s="156"/>
      <c r="E5" s="156"/>
      <c r="F5" s="156"/>
      <c r="G5" s="156"/>
      <c r="H5" s="156"/>
      <c r="I5" s="156"/>
      <c r="J5" s="156"/>
      <c r="K5" s="156"/>
      <c r="L5" s="156"/>
    </row>
    <row r="6" spans="1:12" ht="13.15" customHeight="1">
      <c r="A6" s="156"/>
      <c r="B6" s="156"/>
      <c r="C6" s="156"/>
      <c r="D6" s="156"/>
      <c r="E6" s="156"/>
      <c r="F6" s="156"/>
      <c r="G6" s="156"/>
      <c r="H6" s="156"/>
      <c r="I6" s="156"/>
      <c r="J6" s="156"/>
      <c r="K6" s="156"/>
      <c r="L6" s="156"/>
    </row>
    <row r="7" spans="1:12" ht="13.15" customHeight="1">
      <c r="A7" s="156"/>
      <c r="B7" s="156"/>
      <c r="C7" s="156"/>
      <c r="D7" s="156"/>
      <c r="E7" s="156"/>
      <c r="F7" s="156"/>
      <c r="G7" s="156"/>
      <c r="H7" s="156"/>
      <c r="I7" s="156"/>
      <c r="J7" s="156"/>
      <c r="K7" s="156"/>
      <c r="L7" s="156"/>
    </row>
    <row r="8" spans="1:12" ht="13.15" customHeight="1">
      <c r="A8" s="156"/>
      <c r="B8" s="156"/>
      <c r="C8" s="156"/>
      <c r="D8" s="156"/>
      <c r="E8" s="156"/>
      <c r="F8" s="156"/>
      <c r="G8" s="156"/>
      <c r="H8" s="156"/>
      <c r="I8" s="156"/>
      <c r="J8" s="156"/>
      <c r="K8" s="156"/>
      <c r="L8" s="156"/>
    </row>
    <row r="9" spans="1:12" ht="13.15" customHeight="1">
      <c r="A9" s="156"/>
      <c r="B9" s="156"/>
      <c r="C9" s="156"/>
      <c r="D9" s="156"/>
      <c r="E9" s="156"/>
      <c r="F9" s="156"/>
      <c r="G9" s="156"/>
      <c r="H9" s="156"/>
      <c r="I9" s="156"/>
      <c r="J9" s="156"/>
      <c r="K9" s="156"/>
      <c r="L9" s="156"/>
    </row>
    <row r="10" spans="1:12" ht="13.15" customHeight="1">
      <c r="A10" s="156"/>
      <c r="B10" s="156"/>
      <c r="C10" s="156"/>
      <c r="D10" s="156"/>
      <c r="E10" s="156"/>
      <c r="F10" s="156"/>
      <c r="G10" s="156"/>
      <c r="H10" s="156"/>
      <c r="I10" s="156"/>
      <c r="J10" s="156"/>
      <c r="K10" s="156"/>
      <c r="L10" s="156"/>
    </row>
    <row r="11" spans="1:12" ht="13.15" customHeight="1">
      <c r="A11" s="156"/>
      <c r="B11" s="156"/>
      <c r="C11" s="156"/>
      <c r="D11" s="156"/>
      <c r="E11" s="156"/>
      <c r="F11" s="156"/>
      <c r="G11" s="156"/>
      <c r="H11" s="156"/>
      <c r="I11" s="156"/>
      <c r="J11" s="156"/>
      <c r="K11" s="156"/>
      <c r="L11" s="156"/>
    </row>
    <row r="12" spans="1:12" ht="13.15" customHeight="1">
      <c r="A12" s="156"/>
      <c r="B12" s="156"/>
      <c r="C12" s="156"/>
      <c r="D12" s="156"/>
      <c r="E12" s="156"/>
      <c r="F12" s="156"/>
      <c r="G12" s="156"/>
      <c r="H12" s="156"/>
      <c r="I12" s="156"/>
      <c r="J12" s="156"/>
      <c r="K12" s="156"/>
      <c r="L12" s="156"/>
    </row>
    <row r="13" spans="1:12" ht="13.15" customHeight="1">
      <c r="A13" s="156"/>
      <c r="B13" s="156"/>
      <c r="C13" s="156"/>
      <c r="D13" s="156"/>
      <c r="E13" s="156"/>
      <c r="F13" s="156"/>
      <c r="G13" s="156"/>
      <c r="H13" s="156"/>
      <c r="I13" s="156"/>
      <c r="J13" s="156"/>
      <c r="K13" s="156"/>
      <c r="L13" s="156"/>
    </row>
    <row r="14" spans="1:12" ht="13.15" customHeight="1">
      <c r="A14" s="156"/>
      <c r="B14" s="156"/>
      <c r="C14" s="156"/>
      <c r="D14" s="156"/>
      <c r="E14" s="156"/>
      <c r="F14" s="156"/>
      <c r="G14" s="156"/>
      <c r="H14" s="156"/>
      <c r="I14" s="156"/>
      <c r="J14" s="156"/>
      <c r="K14" s="156"/>
      <c r="L14" s="156"/>
    </row>
    <row r="15" spans="1:12" ht="13.15" customHeight="1">
      <c r="A15" s="156"/>
      <c r="B15" s="156"/>
      <c r="C15" s="156"/>
      <c r="D15" s="156"/>
      <c r="E15" s="156"/>
      <c r="F15" s="156"/>
      <c r="G15" s="156"/>
      <c r="H15" s="156"/>
      <c r="I15" s="156"/>
      <c r="J15" s="156"/>
      <c r="K15" s="156"/>
      <c r="L15" s="156"/>
    </row>
    <row r="16" spans="1:12" ht="13.15" customHeight="1">
      <c r="A16" s="156"/>
      <c r="B16" s="156"/>
      <c r="C16" s="156"/>
      <c r="D16" s="156"/>
      <c r="E16" s="156"/>
      <c r="F16" s="156"/>
      <c r="G16" s="156"/>
      <c r="H16" s="156"/>
      <c r="I16" s="156"/>
      <c r="J16" s="156"/>
      <c r="K16" s="156"/>
      <c r="L16" s="156"/>
    </row>
    <row r="17" spans="1:12" ht="13.15" customHeight="1">
      <c r="A17" s="156"/>
      <c r="B17" s="156"/>
      <c r="C17" s="156"/>
      <c r="D17" s="156"/>
      <c r="E17" s="156"/>
      <c r="F17" s="156"/>
      <c r="G17" s="156"/>
      <c r="H17" s="156"/>
      <c r="I17" s="156"/>
      <c r="J17" s="156"/>
      <c r="K17" s="156"/>
      <c r="L17" s="156"/>
    </row>
    <row r="18" spans="1:12" ht="13.15" customHeight="1">
      <c r="A18" s="156"/>
      <c r="B18" s="156"/>
      <c r="C18" s="156"/>
      <c r="D18" s="156"/>
      <c r="E18" s="156"/>
      <c r="F18" s="156"/>
      <c r="G18" s="156"/>
      <c r="H18" s="156"/>
      <c r="I18" s="156"/>
      <c r="J18" s="156"/>
      <c r="K18" s="156"/>
      <c r="L18" s="156"/>
    </row>
    <row r="19" spans="1:12" ht="13.15" customHeight="1">
      <c r="A19" s="156"/>
      <c r="B19" s="156"/>
      <c r="C19" s="156"/>
      <c r="D19" s="156"/>
      <c r="E19" s="156"/>
      <c r="F19" s="156"/>
      <c r="G19" s="156"/>
      <c r="H19" s="156"/>
      <c r="I19" s="156"/>
      <c r="J19" s="156"/>
      <c r="K19" s="156"/>
      <c r="L19" s="156"/>
    </row>
    <row r="20" spans="1:12" ht="13.15" customHeight="1">
      <c r="A20" s="156"/>
      <c r="B20" s="156"/>
      <c r="C20" s="156"/>
      <c r="D20" s="156"/>
      <c r="E20" s="156"/>
      <c r="F20" s="156"/>
      <c r="G20" s="156"/>
      <c r="H20" s="156"/>
      <c r="I20" s="156"/>
      <c r="J20" s="156"/>
      <c r="K20" s="156"/>
      <c r="L20" s="156"/>
    </row>
    <row r="21" spans="1:12" ht="13.15" customHeight="1">
      <c r="A21" s="156"/>
      <c r="B21" s="156"/>
      <c r="C21" s="156"/>
      <c r="D21" s="156"/>
      <c r="E21" s="156"/>
      <c r="F21" s="156"/>
      <c r="G21" s="156"/>
      <c r="H21" s="156"/>
      <c r="I21" s="156"/>
      <c r="J21" s="156"/>
      <c r="K21" s="156"/>
      <c r="L21" s="156"/>
    </row>
    <row r="22" spans="1:12" ht="13.15" customHeight="1">
      <c r="A22" s="156"/>
      <c r="B22" s="156"/>
      <c r="C22" s="156"/>
      <c r="D22" s="156"/>
      <c r="E22" s="156"/>
      <c r="F22" s="156"/>
      <c r="G22" s="156"/>
      <c r="H22" s="156"/>
      <c r="I22" s="156"/>
      <c r="J22" s="156"/>
      <c r="K22" s="156"/>
      <c r="L22" s="156"/>
    </row>
    <row r="23" spans="1:12" ht="13.15" customHeight="1">
      <c r="A23" s="156"/>
      <c r="B23" s="156"/>
      <c r="C23" s="156"/>
      <c r="D23" s="156"/>
      <c r="E23" s="156"/>
      <c r="F23" s="156"/>
      <c r="G23" s="156"/>
      <c r="H23" s="156"/>
      <c r="I23" s="156"/>
      <c r="J23" s="156"/>
      <c r="K23" s="156"/>
      <c r="L23" s="156"/>
    </row>
    <row r="24" spans="1:12" ht="13.15" customHeight="1">
      <c r="A24" s="156"/>
      <c r="B24" s="156"/>
      <c r="C24" s="156"/>
      <c r="D24" s="156"/>
      <c r="E24" s="156"/>
      <c r="F24" s="156"/>
      <c r="G24" s="156"/>
      <c r="H24" s="156"/>
      <c r="I24" s="156"/>
      <c r="J24" s="156"/>
      <c r="K24" s="156"/>
      <c r="L24" s="156"/>
    </row>
    <row r="25" spans="1:12" ht="13.15" customHeight="1">
      <c r="A25" s="156"/>
      <c r="B25" s="156"/>
      <c r="C25" s="156"/>
      <c r="D25" s="156"/>
      <c r="E25" s="156"/>
      <c r="F25" s="156"/>
      <c r="G25" s="156"/>
      <c r="H25" s="156"/>
      <c r="I25" s="156"/>
      <c r="J25" s="156"/>
      <c r="K25" s="156"/>
      <c r="L25" s="156"/>
    </row>
    <row r="26" spans="1:12" ht="13.15" customHeight="1">
      <c r="A26" s="156"/>
      <c r="B26" s="156"/>
      <c r="C26" s="156"/>
      <c r="D26" s="156"/>
      <c r="E26" s="156"/>
      <c r="F26" s="156"/>
      <c r="G26" s="156"/>
      <c r="H26" s="156"/>
      <c r="I26" s="156"/>
      <c r="J26" s="156"/>
      <c r="K26" s="156"/>
      <c r="L26" s="156"/>
    </row>
    <row r="27" spans="1:12" ht="13.15" customHeight="1">
      <c r="A27" s="156"/>
      <c r="B27" s="156"/>
      <c r="C27" s="156"/>
      <c r="D27" s="156"/>
      <c r="E27" s="156"/>
      <c r="F27" s="156"/>
      <c r="G27" s="156"/>
      <c r="H27" s="156"/>
      <c r="I27" s="156"/>
      <c r="J27" s="156"/>
      <c r="K27" s="156"/>
      <c r="L27" s="156"/>
    </row>
    <row r="28" spans="1:12" ht="13.15" customHeight="1">
      <c r="A28" s="156"/>
      <c r="B28" s="156"/>
      <c r="C28" s="156"/>
      <c r="D28" s="156"/>
      <c r="E28" s="156"/>
      <c r="F28" s="156"/>
      <c r="G28" s="156"/>
      <c r="H28" s="156"/>
      <c r="I28" s="156"/>
      <c r="J28" s="156"/>
      <c r="K28" s="156"/>
      <c r="L28" s="156"/>
    </row>
    <row r="29" spans="1:12" ht="13.15" customHeight="1">
      <c r="A29" s="156"/>
      <c r="B29" s="156"/>
      <c r="C29" s="156"/>
      <c r="D29" s="156"/>
      <c r="E29" s="156"/>
      <c r="F29" s="156"/>
      <c r="G29" s="156"/>
      <c r="H29" s="156"/>
      <c r="I29" s="156"/>
      <c r="J29" s="156"/>
      <c r="K29" s="156"/>
      <c r="L29" s="156"/>
    </row>
    <row r="30" spans="1:12" ht="13.15" customHeight="1">
      <c r="A30" s="156"/>
      <c r="B30" s="156"/>
      <c r="C30" s="156"/>
      <c r="D30" s="156"/>
      <c r="E30" s="156"/>
      <c r="F30" s="156"/>
      <c r="G30" s="156"/>
      <c r="H30" s="156"/>
      <c r="I30" s="156"/>
      <c r="J30" s="156"/>
      <c r="K30" s="156"/>
      <c r="L30" s="156"/>
    </row>
    <row r="31" spans="1:12" ht="13.15" customHeight="1">
      <c r="A31" s="156"/>
      <c r="B31" s="156"/>
      <c r="C31" s="156"/>
      <c r="D31" s="156"/>
      <c r="E31" s="156"/>
      <c r="F31" s="156"/>
      <c r="G31" s="156"/>
      <c r="H31" s="156"/>
      <c r="I31" s="156"/>
      <c r="J31" s="156"/>
      <c r="K31" s="156"/>
      <c r="L31" s="156"/>
    </row>
    <row r="32" spans="1:12" ht="13.15" customHeight="1">
      <c r="A32" s="156"/>
      <c r="B32" s="156"/>
      <c r="C32" s="156"/>
      <c r="D32" s="156"/>
      <c r="E32" s="156"/>
      <c r="F32" s="156"/>
      <c r="G32" s="156"/>
      <c r="H32" s="156"/>
      <c r="I32" s="156"/>
      <c r="J32" s="156"/>
      <c r="K32" s="156"/>
      <c r="L32" s="156"/>
    </row>
    <row r="33" spans="1:12" ht="13.15" customHeight="1">
      <c r="A33" s="156"/>
      <c r="B33" s="156"/>
      <c r="C33" s="156"/>
      <c r="D33" s="156"/>
      <c r="E33" s="156"/>
      <c r="F33" s="156"/>
      <c r="G33" s="156"/>
      <c r="H33" s="156"/>
      <c r="I33" s="156"/>
      <c r="J33" s="156"/>
      <c r="K33" s="156"/>
      <c r="L33" s="156"/>
    </row>
    <row r="34" spans="1:12" ht="13.15" customHeight="1">
      <c r="A34" s="156"/>
      <c r="B34" s="156"/>
      <c r="C34" s="156"/>
      <c r="D34" s="156"/>
      <c r="E34" s="156"/>
      <c r="F34" s="156"/>
      <c r="G34" s="156"/>
      <c r="H34" s="156"/>
      <c r="I34" s="156"/>
      <c r="J34" s="156"/>
      <c r="K34" s="156"/>
      <c r="L34" s="156"/>
    </row>
    <row r="35" spans="1:12" ht="13.15" customHeight="1">
      <c r="A35" s="156"/>
      <c r="B35" s="156"/>
      <c r="C35" s="156"/>
      <c r="D35" s="156"/>
      <c r="E35" s="156"/>
      <c r="F35" s="156"/>
      <c r="G35" s="156"/>
      <c r="H35" s="156"/>
      <c r="I35" s="156"/>
      <c r="J35" s="156"/>
      <c r="K35" s="156"/>
      <c r="L35" s="156"/>
    </row>
    <row r="36" spans="1:12" ht="13.15" customHeight="1">
      <c r="A36" s="156"/>
      <c r="B36" s="156"/>
      <c r="C36" s="156"/>
      <c r="D36" s="156"/>
      <c r="E36" s="156"/>
      <c r="F36" s="156"/>
      <c r="G36" s="156"/>
      <c r="H36" s="156"/>
      <c r="I36" s="156"/>
      <c r="J36" s="156"/>
      <c r="K36" s="156"/>
      <c r="L36" s="156"/>
    </row>
    <row r="37" spans="1:12" ht="13.15" customHeight="1">
      <c r="A37" s="156"/>
      <c r="B37" s="156"/>
      <c r="C37" s="156"/>
      <c r="D37" s="156"/>
      <c r="E37" s="156"/>
      <c r="F37" s="156"/>
      <c r="G37" s="156"/>
      <c r="H37" s="156"/>
      <c r="I37" s="156"/>
      <c r="J37" s="156"/>
      <c r="K37" s="156"/>
      <c r="L37" s="156"/>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F0000"/>
    <pageSetUpPr fitToPage="1"/>
  </sheetPr>
  <dimension ref="A1:S372"/>
  <sheetViews>
    <sheetView zoomScale="88" zoomScaleNormal="58" zoomScaleSheetLayoutView="55" workbookViewId="0">
      <pane xSplit="2" ySplit="7" topLeftCell="C41" activePane="bottomRight" state="frozen"/>
      <selection pane="topRight" activeCell="C1" sqref="C1"/>
      <selection pane="bottomLeft" activeCell="A10" sqref="A10"/>
      <selection pane="bottomRight" activeCell="C57" sqref="C57:F57"/>
    </sheetView>
  </sheetViews>
  <sheetFormatPr defaultRowHeight="12.75"/>
  <cols>
    <col min="1" max="1" width="14" customWidth="1"/>
    <col min="2" max="2" width="28.5703125" customWidth="1"/>
    <col min="3" max="3" width="13.140625" bestFit="1" customWidth="1"/>
    <col min="4" max="4" width="20.7109375" bestFit="1" customWidth="1"/>
    <col min="5" max="5" width="21.28515625" bestFit="1" customWidth="1"/>
    <col min="6" max="6" width="15.5703125" customWidth="1"/>
    <col min="7" max="7" width="13" style="10" customWidth="1"/>
  </cols>
  <sheetData>
    <row r="1" spans="1:19">
      <c r="A1" s="20"/>
    </row>
    <row r="2" spans="1:19">
      <c r="A2" s="20"/>
    </row>
    <row r="3" spans="1:19">
      <c r="A3" s="20"/>
    </row>
    <row r="4" spans="1:19">
      <c r="A4" s="20"/>
    </row>
    <row r="5" spans="1:19">
      <c r="A5" t="s">
        <v>137</v>
      </c>
    </row>
    <row r="6" spans="1:19">
      <c r="A6" s="22" t="s">
        <v>0</v>
      </c>
      <c r="B6" s="22"/>
    </row>
    <row r="7" spans="1:19">
      <c r="B7" s="22"/>
    </row>
    <row r="8" spans="1:19">
      <c r="A8" s="26"/>
      <c r="C8" s="31"/>
      <c r="F8" s="25"/>
    </row>
    <row r="9" spans="1:19">
      <c r="A9" s="16" t="s">
        <v>272</v>
      </c>
      <c r="B9" s="11" t="s">
        <v>473</v>
      </c>
      <c r="C9" s="3" t="s">
        <v>66</v>
      </c>
    </row>
    <row r="10" spans="1:19" ht="27" customHeight="1">
      <c r="B10" s="3" t="s">
        <v>130</v>
      </c>
      <c r="C10" s="3" t="s">
        <v>110</v>
      </c>
      <c r="D10" s="3" t="s">
        <v>111</v>
      </c>
      <c r="E10" s="3" t="s">
        <v>112</v>
      </c>
      <c r="F10" s="3" t="s">
        <v>113</v>
      </c>
      <c r="G10" s="4" t="s">
        <v>215</v>
      </c>
      <c r="P10" s="3" t="s">
        <v>110</v>
      </c>
      <c r="Q10" s="3" t="s">
        <v>111</v>
      </c>
      <c r="R10" s="3" t="s">
        <v>112</v>
      </c>
      <c r="S10" s="3" t="s">
        <v>113</v>
      </c>
    </row>
    <row r="11" spans="1:19" ht="27" customHeight="1">
      <c r="B11" s="11" t="str">
        <f>Vars!A6</f>
        <v>Electric FAF - HZ1CZ1</v>
      </c>
      <c r="C11" s="36"/>
      <c r="D11" s="36"/>
      <c r="E11" s="36"/>
      <c r="F11" s="36"/>
      <c r="G11" s="79">
        <f>SUMPRODUCT($C11:$F11,$P$11:$S$11)</f>
        <v>0</v>
      </c>
      <c r="O11" t="s">
        <v>216</v>
      </c>
      <c r="P11" s="105">
        <f>R16/SUM($R$16:$R$19)</f>
        <v>0.70156102450672153</v>
      </c>
      <c r="Q11" s="105">
        <f>R17/SUM($R$16:$R$19)</f>
        <v>0.15846384355383092</v>
      </c>
      <c r="R11" s="105">
        <f>R18/SUM($R$16:$R$19)</f>
        <v>4.6891385098554984E-2</v>
      </c>
      <c r="S11" s="105">
        <f>R19/SUM($R$16:$R$19)</f>
        <v>9.3083746840892517E-2</v>
      </c>
    </row>
    <row r="12" spans="1:19">
      <c r="B12" s="11" t="str">
        <f>Vars!A7</f>
        <v>Electric FAF - HZ1CZ23</v>
      </c>
      <c r="C12" s="36"/>
      <c r="D12" s="36"/>
      <c r="E12" s="36"/>
      <c r="F12" s="36"/>
      <c r="G12" s="79">
        <f t="shared" ref="G12:G65" si="0">SUMPRODUCT($C12:$F12,$P$11:$S$11)</f>
        <v>0</v>
      </c>
    </row>
    <row r="13" spans="1:19">
      <c r="B13" s="11" t="str">
        <f>Vars!A8</f>
        <v>Electric FAF - HZ23CZ1</v>
      </c>
      <c r="C13" s="38"/>
      <c r="D13" s="38"/>
      <c r="E13" s="36"/>
      <c r="F13" s="38"/>
      <c r="G13" s="79">
        <f t="shared" si="0"/>
        <v>0</v>
      </c>
    </row>
    <row r="14" spans="1:19">
      <c r="A14" s="34"/>
      <c r="B14" s="11" t="str">
        <f>Vars!A9</f>
        <v>Electric FAF - HZ23CZ23</v>
      </c>
      <c r="C14" s="36"/>
      <c r="D14" s="36"/>
      <c r="E14" s="36"/>
      <c r="F14" s="39"/>
      <c r="G14" s="79">
        <f t="shared" si="0"/>
        <v>0</v>
      </c>
    </row>
    <row r="15" spans="1:19">
      <c r="A15" s="34"/>
      <c r="B15" s="11" t="str">
        <f>Vars!A10</f>
        <v>Electric FAF - HZ1</v>
      </c>
      <c r="C15" s="39"/>
      <c r="D15" s="38"/>
      <c r="E15" s="36"/>
      <c r="F15" s="39"/>
      <c r="G15" s="79">
        <f t="shared" si="0"/>
        <v>0</v>
      </c>
    </row>
    <row r="16" spans="1:19">
      <c r="A16" s="34"/>
      <c r="B16" s="11" t="str">
        <f>Vars!A11</f>
        <v>Electric FAF - HZ23</v>
      </c>
      <c r="C16" s="39"/>
      <c r="D16" s="36"/>
      <c r="E16" s="36"/>
      <c r="F16" s="39"/>
      <c r="G16" s="79">
        <f t="shared" si="0"/>
        <v>0</v>
      </c>
      <c r="Q16" s="128" t="s">
        <v>110</v>
      </c>
      <c r="R16">
        <v>4418134.3543685544</v>
      </c>
    </row>
    <row r="17" spans="1:18">
      <c r="A17" s="34"/>
      <c r="B17" s="11" t="str">
        <f>Vars!A12</f>
        <v>Electric FAF - Region</v>
      </c>
      <c r="C17" s="39"/>
      <c r="D17" s="38"/>
      <c r="E17" s="36"/>
      <c r="F17" s="39"/>
      <c r="G17" s="79">
        <f t="shared" si="0"/>
        <v>0</v>
      </c>
      <c r="Q17" s="129" t="s">
        <v>111</v>
      </c>
      <c r="R17">
        <v>997938.20733232133</v>
      </c>
    </row>
    <row r="18" spans="1:18">
      <c r="A18" s="34"/>
      <c r="B18" s="11" t="str">
        <f>Vars!A13</f>
        <v>Electric FAF w/ CAC - HZ1CZ1</v>
      </c>
      <c r="C18" s="39"/>
      <c r="D18" s="39"/>
      <c r="E18" s="36"/>
      <c r="F18" s="39"/>
      <c r="G18" s="79">
        <f t="shared" si="0"/>
        <v>0</v>
      </c>
      <c r="Q18" s="129" t="s">
        <v>112</v>
      </c>
      <c r="R18">
        <v>295302.09374660981</v>
      </c>
    </row>
    <row r="19" spans="1:18" ht="13.5" thickBot="1">
      <c r="A19" s="34"/>
      <c r="B19" s="11" t="str">
        <f>Vars!A14</f>
        <v>Electric FAF w/ CAC - HZ1CZ23</v>
      </c>
      <c r="C19" s="39"/>
      <c r="D19" s="39"/>
      <c r="E19" s="36"/>
      <c r="F19" s="39"/>
      <c r="G19" s="79">
        <f t="shared" si="0"/>
        <v>0</v>
      </c>
      <c r="Q19" s="130" t="s">
        <v>113</v>
      </c>
      <c r="R19">
        <v>586202.03429951589</v>
      </c>
    </row>
    <row r="20" spans="1:18">
      <c r="A20" s="34"/>
      <c r="B20" s="11" t="str">
        <f>Vars!A15</f>
        <v>Electric FAF w/ CAC - HZ23CZ1</v>
      </c>
      <c r="C20" s="39"/>
      <c r="D20" s="39"/>
      <c r="E20" s="36"/>
      <c r="F20" s="39"/>
      <c r="G20" s="79">
        <f t="shared" si="0"/>
        <v>0</v>
      </c>
    </row>
    <row r="21" spans="1:18">
      <c r="A21" s="34"/>
      <c r="B21" s="11" t="str">
        <f>Vars!A16</f>
        <v>Electric FAF w/ CAC - HZ23CZ23</v>
      </c>
      <c r="C21" s="39"/>
      <c r="D21" s="39"/>
      <c r="E21" s="36"/>
      <c r="F21" s="39"/>
      <c r="G21" s="79">
        <f t="shared" si="0"/>
        <v>0</v>
      </c>
    </row>
    <row r="22" spans="1:18">
      <c r="A22" s="34"/>
      <c r="B22" s="11" t="str">
        <f>Vars!A17</f>
        <v>Heat Pump - HZ1CZ1</v>
      </c>
      <c r="C22" s="39"/>
      <c r="D22" s="39"/>
      <c r="E22" s="36"/>
      <c r="F22" s="39"/>
      <c r="G22" s="79">
        <f t="shared" si="0"/>
        <v>0</v>
      </c>
    </row>
    <row r="23" spans="1:18">
      <c r="A23" s="34"/>
      <c r="B23" s="11" t="str">
        <f>Vars!A18</f>
        <v>Heat Pump - HZ1CZ23</v>
      </c>
      <c r="C23" s="38"/>
      <c r="D23" s="39"/>
      <c r="E23" s="36"/>
      <c r="F23" s="39"/>
      <c r="G23" s="79">
        <f t="shared" si="0"/>
        <v>0</v>
      </c>
    </row>
    <row r="24" spans="1:18">
      <c r="A24" s="34"/>
      <c r="B24" s="11" t="str">
        <f>Vars!A19</f>
        <v>Heat Pump - HZ23CZ1</v>
      </c>
      <c r="C24" s="36"/>
      <c r="D24" s="39"/>
      <c r="E24" s="36"/>
      <c r="F24" s="39"/>
      <c r="G24" s="79">
        <f t="shared" si="0"/>
        <v>0</v>
      </c>
    </row>
    <row r="25" spans="1:18" s="8" customFormat="1">
      <c r="A25" s="34"/>
      <c r="B25" s="11" t="str">
        <f>Vars!A20</f>
        <v>Heat Pump - HZ23CZ23</v>
      </c>
      <c r="C25" s="38"/>
      <c r="D25" s="39"/>
      <c r="E25" s="36"/>
      <c r="F25" s="39"/>
      <c r="G25" s="79">
        <f t="shared" si="0"/>
        <v>0</v>
      </c>
    </row>
    <row r="26" spans="1:18" s="8" customFormat="1">
      <c r="A26" s="34"/>
      <c r="B26" s="11" t="str">
        <f>Vars!A21</f>
        <v>Heat Pump - HZ1</v>
      </c>
      <c r="C26" s="39"/>
      <c r="D26" s="36"/>
      <c r="E26" s="36"/>
      <c r="F26" s="36"/>
      <c r="G26" s="79">
        <f t="shared" si="0"/>
        <v>0</v>
      </c>
    </row>
    <row r="27" spans="1:18" s="8" customFormat="1">
      <c r="A27" s="34"/>
      <c r="B27" s="11" t="str">
        <f>Vars!A22</f>
        <v>Heat Pump - HZ23</v>
      </c>
      <c r="C27" s="39"/>
      <c r="D27" s="36"/>
      <c r="E27" s="36"/>
      <c r="F27" s="36"/>
      <c r="G27" s="79">
        <f t="shared" si="0"/>
        <v>0</v>
      </c>
    </row>
    <row r="28" spans="1:18" s="8" customFormat="1">
      <c r="A28" s="34"/>
      <c r="B28" s="11" t="str">
        <f>Vars!A23</f>
        <v>Heat Pump - Region</v>
      </c>
      <c r="C28" s="39"/>
      <c r="D28" s="36"/>
      <c r="E28" s="36"/>
      <c r="F28" s="36"/>
      <c r="G28" s="79">
        <f t="shared" si="0"/>
        <v>0</v>
      </c>
    </row>
    <row r="29" spans="1:18" s="8" customFormat="1">
      <c r="A29" s="34"/>
      <c r="B29" s="11" t="str">
        <f>Vars!A24</f>
        <v>Electric Zonal - HZ1CZ1</v>
      </c>
      <c r="C29" s="36"/>
      <c r="D29" s="36"/>
      <c r="E29" s="36"/>
      <c r="F29" s="36"/>
      <c r="G29" s="79">
        <f t="shared" si="0"/>
        <v>0</v>
      </c>
    </row>
    <row r="30" spans="1:18" s="8" customFormat="1">
      <c r="A30" s="34"/>
      <c r="B30" s="11" t="str">
        <f>Vars!A25</f>
        <v>Electric Zonal - HZ1CZ23</v>
      </c>
      <c r="C30" s="36"/>
      <c r="D30" s="36"/>
      <c r="E30" s="36"/>
      <c r="F30" s="36"/>
      <c r="G30" s="79">
        <f t="shared" si="0"/>
        <v>0</v>
      </c>
    </row>
    <row r="31" spans="1:18" s="8" customFormat="1">
      <c r="A31" s="34"/>
      <c r="B31" s="11" t="str">
        <f>Vars!A26</f>
        <v>Electric Zonal - HZ23CZ1</v>
      </c>
      <c r="C31" s="36"/>
      <c r="D31" s="36"/>
      <c r="E31" s="36"/>
      <c r="F31" s="36"/>
      <c r="G31" s="79">
        <f t="shared" si="0"/>
        <v>0</v>
      </c>
    </row>
    <row r="32" spans="1:18" s="8" customFormat="1">
      <c r="A32" s="34"/>
      <c r="B32" s="11" t="str">
        <f>Vars!A27</f>
        <v>Electric Zonal - HZ23CZ23</v>
      </c>
      <c r="C32" s="36"/>
      <c r="D32" s="36"/>
      <c r="E32" s="36"/>
      <c r="F32" s="36"/>
      <c r="G32" s="79">
        <f t="shared" si="0"/>
        <v>0</v>
      </c>
    </row>
    <row r="33" spans="1:17" s="8" customFormat="1">
      <c r="A33" s="34"/>
      <c r="B33" s="11" t="str">
        <f>Vars!A28</f>
        <v>Electric Zonal - HZ1</v>
      </c>
      <c r="C33" s="39"/>
      <c r="D33" s="36"/>
      <c r="E33" s="36"/>
      <c r="F33" s="36"/>
      <c r="G33" s="79">
        <f t="shared" si="0"/>
        <v>0</v>
      </c>
    </row>
    <row r="34" spans="1:17" s="8" customFormat="1">
      <c r="A34" s="34"/>
      <c r="B34" s="11" t="str">
        <f>Vars!A29</f>
        <v>Electric Zonal - HZ23</v>
      </c>
      <c r="C34" s="36"/>
      <c r="D34" s="36"/>
      <c r="E34" s="36"/>
      <c r="F34" s="36"/>
      <c r="G34" s="79">
        <f t="shared" si="0"/>
        <v>0</v>
      </c>
    </row>
    <row r="35" spans="1:17">
      <c r="A35" s="34"/>
      <c r="B35" s="11" t="str">
        <f>Vars!A30</f>
        <v>Electric Zonal - Region</v>
      </c>
      <c r="C35" s="36"/>
      <c r="D35" s="40"/>
      <c r="E35" s="36"/>
      <c r="F35" s="36"/>
      <c r="G35" s="79">
        <f t="shared" si="0"/>
        <v>0</v>
      </c>
    </row>
    <row r="36" spans="1:17">
      <c r="A36" s="34"/>
      <c r="B36" s="11" t="str">
        <f>Vars!A31</f>
        <v>DHP - HZ1CZ1</v>
      </c>
      <c r="C36" s="36"/>
      <c r="D36" s="40"/>
      <c r="E36" s="36"/>
      <c r="F36" s="36"/>
      <c r="G36" s="79">
        <f t="shared" si="0"/>
        <v>0</v>
      </c>
    </row>
    <row r="37" spans="1:17">
      <c r="B37" s="11" t="str">
        <f>Vars!A32</f>
        <v>DHP - HZ1CZ23</v>
      </c>
      <c r="C37" s="39"/>
      <c r="D37" s="40"/>
      <c r="E37" s="36"/>
      <c r="F37" s="40"/>
      <c r="G37" s="79">
        <f t="shared" si="0"/>
        <v>0</v>
      </c>
    </row>
    <row r="38" spans="1:17">
      <c r="B38" s="11" t="str">
        <f>Vars!A33</f>
        <v>DHP - HZ23CZ1</v>
      </c>
      <c r="C38" s="36"/>
      <c r="D38" s="40"/>
      <c r="E38" s="36"/>
      <c r="F38" s="40"/>
      <c r="G38" s="79">
        <f t="shared" si="0"/>
        <v>0</v>
      </c>
    </row>
    <row r="39" spans="1:17">
      <c r="B39" s="11" t="str">
        <f>Vars!A34</f>
        <v>DHP - HZ23CZ23</v>
      </c>
      <c r="C39" s="36"/>
      <c r="D39" s="40"/>
      <c r="E39" s="36"/>
      <c r="F39" s="40"/>
      <c r="G39" s="79">
        <f t="shared" si="0"/>
        <v>0</v>
      </c>
    </row>
    <row r="40" spans="1:17">
      <c r="B40" s="11" t="str">
        <f>Vars!A35</f>
        <v>DHP - HZ1</v>
      </c>
      <c r="C40" s="116"/>
      <c r="D40" s="40"/>
      <c r="E40" s="36"/>
      <c r="F40" s="40"/>
      <c r="G40" s="79">
        <f t="shared" si="0"/>
        <v>0</v>
      </c>
    </row>
    <row r="41" spans="1:17">
      <c r="B41" s="11" t="str">
        <f>Vars!A36</f>
        <v>DHP - HZ23</v>
      </c>
      <c r="C41" s="116"/>
      <c r="D41" s="40"/>
      <c r="E41" s="36"/>
      <c r="F41" s="40"/>
      <c r="G41" s="79">
        <f t="shared" si="0"/>
        <v>0</v>
      </c>
    </row>
    <row r="42" spans="1:17">
      <c r="B42" s="11" t="str">
        <f>Vars!A37</f>
        <v>DHP - Region</v>
      </c>
      <c r="C42" s="116"/>
      <c r="D42" s="40"/>
      <c r="E42" s="36"/>
      <c r="F42" s="40"/>
      <c r="G42" s="79">
        <f t="shared" si="0"/>
        <v>0</v>
      </c>
    </row>
    <row r="43" spans="1:17">
      <c r="B43" s="11" t="str">
        <f>Vars!A38</f>
        <v>Central AC - CZ1</v>
      </c>
      <c r="C43" s="40"/>
      <c r="D43" s="40"/>
      <c r="E43" s="36"/>
      <c r="F43" s="40"/>
      <c r="G43" s="79">
        <f t="shared" si="0"/>
        <v>0</v>
      </c>
      <c r="M43" s="78"/>
      <c r="N43" s="78"/>
      <c r="O43" s="78"/>
      <c r="P43" s="78"/>
      <c r="Q43" s="25"/>
    </row>
    <row r="44" spans="1:17">
      <c r="B44" s="11" t="str">
        <f>Vars!A39</f>
        <v>Central AC - CZ23</v>
      </c>
      <c r="C44" s="40"/>
      <c r="D44" s="40"/>
      <c r="E44" s="36"/>
      <c r="F44" s="40"/>
      <c r="G44" s="79">
        <f t="shared" si="0"/>
        <v>0</v>
      </c>
    </row>
    <row r="45" spans="1:17">
      <c r="B45" s="11" t="str">
        <f>Vars!A40</f>
        <v>Room A/C - CZ1</v>
      </c>
      <c r="C45" s="40"/>
      <c r="D45" s="40"/>
      <c r="E45" s="36"/>
      <c r="F45" s="40"/>
      <c r="G45" s="79">
        <f t="shared" si="0"/>
        <v>0</v>
      </c>
    </row>
    <row r="46" spans="1:17">
      <c r="B46" s="11" t="str">
        <f>Vars!A41</f>
        <v>Room A/C - CZ23</v>
      </c>
      <c r="C46" s="40"/>
      <c r="D46" s="40"/>
      <c r="E46" s="36"/>
      <c r="F46" s="40"/>
      <c r="G46" s="79">
        <f t="shared" si="0"/>
        <v>0</v>
      </c>
    </row>
    <row r="47" spans="1:17">
      <c r="B47" s="11" t="str">
        <f>Vars!A42</f>
        <v>Electric WH</v>
      </c>
      <c r="C47" s="40">
        <v>0.49</v>
      </c>
      <c r="D47" s="40">
        <f>88.5%*70.3%</f>
        <v>0.62215500000000001</v>
      </c>
      <c r="E47" s="36">
        <f>88.5%*(2%*4.3%+11%*27.5%)/(2%+27.5%)</f>
        <v>9.3329999999999982E-2</v>
      </c>
      <c r="F47" s="40">
        <v>0.82</v>
      </c>
      <c r="G47" s="79">
        <f t="shared" si="0"/>
        <v>0.52305901997530724</v>
      </c>
      <c r="H47" t="s">
        <v>493</v>
      </c>
    </row>
    <row r="48" spans="1:17">
      <c r="B48" s="11" t="str">
        <f>Vars!A43</f>
        <v>DHW inside</v>
      </c>
      <c r="C48" s="40">
        <f>31%*C47</f>
        <v>0.15190000000000001</v>
      </c>
      <c r="D48" s="40">
        <f>85%*D$47</f>
        <v>0.52883175000000004</v>
      </c>
      <c r="E48" s="40">
        <f>85%*E$47</f>
        <v>7.9330499999999984E-2</v>
      </c>
      <c r="F48" s="40">
        <f>78%*$F$47</f>
        <v>0.63959999999999995</v>
      </c>
      <c r="G48" s="79">
        <f t="shared" si="0"/>
        <v>0.25362411282586539</v>
      </c>
      <c r="H48" t="s">
        <v>498</v>
      </c>
    </row>
    <row r="49" spans="1:19">
      <c r="B49" s="11" t="str">
        <f>Vars!A44</f>
        <v>DHW buffer</v>
      </c>
      <c r="C49" s="40">
        <f>(36%+27%+4%+0.4%+2%)*C47</f>
        <v>0.34006000000000003</v>
      </c>
      <c r="D49" s="40">
        <f>(3+3+1+0.4+8)/100*D47</f>
        <v>9.5811870000000007E-2</v>
      </c>
      <c r="E49" s="40">
        <f>(3+3+1+0.2+8)/100*E47</f>
        <v>1.4186159999999996E-2</v>
      </c>
      <c r="F49" s="40">
        <f>(1+0.2+6+1+14)/100*F47</f>
        <v>0.18203999999999998</v>
      </c>
      <c r="G49" s="79">
        <f t="shared" si="0"/>
        <v>0.27136573313858153</v>
      </c>
      <c r="H49" t="s">
        <v>498</v>
      </c>
    </row>
    <row r="50" spans="1:19">
      <c r="B50" s="11">
        <f>Vars!A45</f>
        <v>0</v>
      </c>
      <c r="C50" s="40"/>
      <c r="D50" s="40"/>
      <c r="E50" s="36"/>
      <c r="F50" s="40"/>
      <c r="G50" s="79">
        <f t="shared" si="0"/>
        <v>0</v>
      </c>
    </row>
    <row r="51" spans="1:19">
      <c r="B51" s="11"/>
      <c r="C51" s="40"/>
      <c r="D51" s="40"/>
      <c r="E51" s="36"/>
      <c r="F51" s="40"/>
      <c r="G51" s="79">
        <f t="shared" si="0"/>
        <v>0</v>
      </c>
    </row>
    <row r="52" spans="1:19">
      <c r="B52" s="11"/>
      <c r="C52" s="40"/>
      <c r="D52" s="40"/>
      <c r="E52" s="36"/>
      <c r="F52" s="40"/>
      <c r="G52" s="79">
        <f t="shared" si="0"/>
        <v>0</v>
      </c>
    </row>
    <row r="53" spans="1:19">
      <c r="B53" s="11"/>
      <c r="C53" s="40"/>
      <c r="D53" s="40"/>
      <c r="E53" s="36"/>
      <c r="F53" s="40"/>
      <c r="G53" s="79">
        <f t="shared" si="0"/>
        <v>0</v>
      </c>
    </row>
    <row r="54" spans="1:19">
      <c r="B54" s="11" t="str">
        <f>Vars!A49</f>
        <v>Refrigerator</v>
      </c>
      <c r="C54" s="40">
        <v>1.375</v>
      </c>
      <c r="D54" s="40">
        <v>1.04</v>
      </c>
      <c r="E54" s="36">
        <v>1.04</v>
      </c>
      <c r="F54" s="40">
        <v>1.17</v>
      </c>
      <c r="G54" s="79">
        <f t="shared" si="0"/>
        <v>1.2871238302990677</v>
      </c>
      <c r="H54" t="s">
        <v>604</v>
      </c>
    </row>
    <row r="55" spans="1:19">
      <c r="B55" s="11" t="str">
        <f>Vars!A50</f>
        <v>Freezer</v>
      </c>
      <c r="C55" s="40">
        <v>0.39</v>
      </c>
      <c r="D55" s="40">
        <v>5.0000000000000001E-4</v>
      </c>
      <c r="E55" s="36">
        <v>5.0000000000000001E-4</v>
      </c>
      <c r="F55" s="40">
        <v>0.43</v>
      </c>
      <c r="G55" s="79">
        <f t="shared" si="0"/>
        <v>0.31373748831353132</v>
      </c>
    </row>
    <row r="56" spans="1:19" ht="13.5" thickBot="1">
      <c r="B56" s="11" t="str">
        <f>Vars!A51</f>
        <v>Clothes Washer</v>
      </c>
      <c r="C56" s="40">
        <v>0.96</v>
      </c>
      <c r="D56" s="40">
        <f>46%+6%</f>
        <v>0.52</v>
      </c>
      <c r="E56" s="40">
        <f>46%+5.6%</f>
        <v>0.51600000000000001</v>
      </c>
      <c r="F56" s="40">
        <v>0.96</v>
      </c>
      <c r="G56" s="79">
        <f t="shared" si="0"/>
        <v>0.86945613385255593</v>
      </c>
      <c r="H56" t="s">
        <v>672</v>
      </c>
      <c r="P56" s="135" t="s">
        <v>614</v>
      </c>
    </row>
    <row r="57" spans="1:19" ht="13.5" thickTop="1">
      <c r="B57" s="11" t="str">
        <f>Vars!A52</f>
        <v>Clothes Dryer</v>
      </c>
      <c r="C57" s="40">
        <f>94%*92%</f>
        <v>0.86480000000000001</v>
      </c>
      <c r="D57" s="40">
        <f>(45%+6%)*97%</f>
        <v>0.49469999999999997</v>
      </c>
      <c r="E57" s="40">
        <f>(45%+5.6%)*100%</f>
        <v>0.50600000000000001</v>
      </c>
      <c r="F57" s="40">
        <f>94%*96.5%</f>
        <v>0.90709999999999991</v>
      </c>
      <c r="G57" s="79">
        <f t="shared" si="0"/>
        <v>0.79326534501873536</v>
      </c>
      <c r="H57" t="s">
        <v>501</v>
      </c>
      <c r="P57" s="159" t="s">
        <v>615</v>
      </c>
      <c r="Q57" s="161" t="s">
        <v>616</v>
      </c>
      <c r="R57" s="162">
        <v>0</v>
      </c>
      <c r="S57" s="163">
        <v>0</v>
      </c>
    </row>
    <row r="58" spans="1:19" ht="13.9" customHeight="1" thickBot="1">
      <c r="B58" s="11" t="str">
        <f>Vars!A53</f>
        <v>Dishwasher</v>
      </c>
      <c r="C58" s="40">
        <f>'[8]RBSA II sat'!$S$2</f>
        <v>0.83740657458415768</v>
      </c>
      <c r="D58" s="40">
        <f>'[8]RBSA II sat'!$S$4</f>
        <v>0.68468881874245047</v>
      </c>
      <c r="E58" s="40">
        <f>D58</f>
        <v>0.68468881874245047</v>
      </c>
      <c r="F58" s="40">
        <f>'[8]RBSA II sat'!$S$3</f>
        <v>0.83966265858877454</v>
      </c>
      <c r="G58" s="79">
        <f>SUMPRODUCT($C58:$F58,$P$11:$S$11)</f>
        <v>0.80625518966634202</v>
      </c>
      <c r="P58" s="160">
        <v>0</v>
      </c>
      <c r="Q58" s="136" t="s">
        <v>617</v>
      </c>
      <c r="R58" s="137" t="s">
        <v>618</v>
      </c>
      <c r="S58" s="138" t="s">
        <v>619</v>
      </c>
    </row>
    <row r="59" spans="1:19" ht="13.5" thickTop="1">
      <c r="B59" s="11" t="str">
        <f>Vars!A54</f>
        <v>Microwave</v>
      </c>
      <c r="C59" s="40">
        <f>17.1/17.9</f>
        <v>0.95530726256983256</v>
      </c>
      <c r="D59" s="40">
        <f>C59</f>
        <v>0.95530726256983256</v>
      </c>
      <c r="E59" s="36">
        <f>C59</f>
        <v>0.95530726256983256</v>
      </c>
      <c r="F59" s="40">
        <f>C59</f>
        <v>0.95530726256983256</v>
      </c>
      <c r="G59" s="79">
        <f t="shared" si="0"/>
        <v>0.95530726256983267</v>
      </c>
      <c r="H59" t="s">
        <v>487</v>
      </c>
      <c r="P59" s="139" t="s">
        <v>620</v>
      </c>
      <c r="Q59" s="140">
        <v>6.1114351590697197E-2</v>
      </c>
      <c r="R59" s="141">
        <v>1.12267767789146E-2</v>
      </c>
      <c r="S59" s="142">
        <v>151</v>
      </c>
    </row>
    <row r="60" spans="1:19">
      <c r="A60" s="10"/>
      <c r="B60" s="11" t="str">
        <f>Vars!A55</f>
        <v>Electric Oven</v>
      </c>
      <c r="C60" s="40">
        <v>0.79300000000000004</v>
      </c>
      <c r="D60" s="40">
        <v>0.96699999999999997</v>
      </c>
      <c r="E60" s="36">
        <v>0.96699999999999997</v>
      </c>
      <c r="F60" s="40">
        <v>0.90600000000000003</v>
      </c>
      <c r="G60" s="79">
        <f t="shared" si="0"/>
        <v>0.83925027317853607</v>
      </c>
      <c r="P60" s="143" t="s">
        <v>621</v>
      </c>
      <c r="Q60" s="144">
        <v>2.8767061996774899E-2</v>
      </c>
      <c r="R60" s="145">
        <v>6.64184716921991E-3</v>
      </c>
      <c r="S60" s="146">
        <v>55</v>
      </c>
    </row>
    <row r="61" spans="1:19" ht="13.5" thickBot="1">
      <c r="A61" s="10"/>
      <c r="B61" s="11" t="str">
        <f>Vars!A56</f>
        <v>UHD TV</v>
      </c>
      <c r="C61" s="40">
        <f>210%*0.75</f>
        <v>1.5750000000000002</v>
      </c>
      <c r="D61" s="40">
        <f>140%*0.75</f>
        <v>1.0499999999999998</v>
      </c>
      <c r="E61" s="36">
        <f>140%*0.75</f>
        <v>1.0499999999999998</v>
      </c>
      <c r="F61" s="40">
        <f>193%*0.75</f>
        <v>1.4475</v>
      </c>
      <c r="G61" s="79">
        <f t="shared" si="0"/>
        <v>1.4553203272352837</v>
      </c>
      <c r="H61" t="s">
        <v>624</v>
      </c>
      <c r="P61" s="147" t="s">
        <v>622</v>
      </c>
      <c r="Q61" s="148">
        <v>4.1105193392999E-2</v>
      </c>
      <c r="R61" s="149">
        <v>1.31750473195554E-2</v>
      </c>
      <c r="S61" s="150">
        <v>24</v>
      </c>
    </row>
    <row r="62" spans="1:19" ht="14.25" thickTop="1" thickBot="1">
      <c r="A62" s="10"/>
      <c r="B62" s="11" t="str">
        <f>Vars!A57</f>
        <v>Set top box</v>
      </c>
      <c r="C62" s="40"/>
      <c r="D62" s="40"/>
      <c r="E62" s="36"/>
      <c r="F62" s="40"/>
      <c r="G62" s="79">
        <f t="shared" si="0"/>
        <v>0</v>
      </c>
      <c r="P62" s="151" t="s">
        <v>623</v>
      </c>
      <c r="Q62" s="152">
        <v>5.59750509351283E-2</v>
      </c>
      <c r="R62" s="153">
        <v>9.31860711108215E-3</v>
      </c>
      <c r="S62" s="154">
        <v>230</v>
      </c>
    </row>
    <row r="63" spans="1:19" ht="13.5" thickTop="1">
      <c r="A63" s="10"/>
      <c r="B63" s="11" t="str">
        <f>Vars!A58</f>
        <v>Computer</v>
      </c>
      <c r="C63" s="40">
        <f>'[9]Units per home'!B4</f>
        <v>1.2540881924362293</v>
      </c>
      <c r="D63" s="40">
        <f>'[9]Units per home'!C4</f>
        <v>0.74267537001703376</v>
      </c>
      <c r="E63" s="36">
        <f>D63</f>
        <v>0.74267537001703376</v>
      </c>
      <c r="F63" s="40">
        <f>'[9]Units per home'!$E$4</f>
        <v>1.0373412604087846</v>
      </c>
      <c r="G63" s="79">
        <f t="shared" si="0"/>
        <v>1.1288912788031906</v>
      </c>
    </row>
    <row r="64" spans="1:19">
      <c r="A64" s="10"/>
      <c r="B64" s="11" t="str">
        <f>Vars!A59</f>
        <v>Monitor</v>
      </c>
      <c r="C64" s="40">
        <f>'[7]RBSA Appliance_Computer'!$AR$20</f>
        <v>1.3708807892507278</v>
      </c>
      <c r="D64" s="40">
        <f>'[7]RBSA Appliance_Computer'!$AS$20</f>
        <v>0.77888559710145489</v>
      </c>
      <c r="E64" s="36">
        <f>D64</f>
        <v>0.77888559710145489</v>
      </c>
      <c r="F64" s="40">
        <f>'[7]RBSA Appliance_Computer'!$AT$20</f>
        <v>1.1120089592359239</v>
      </c>
      <c r="G64" s="79">
        <f>SUMPRODUCT($C64:$F64,$P$11:$S$11)</f>
        <v>1.2252147213164641</v>
      </c>
    </row>
    <row r="65" spans="1:8">
      <c r="A65" s="10"/>
      <c r="B65" s="11">
        <f>Vars!A60</f>
        <v>0</v>
      </c>
      <c r="C65" s="40"/>
      <c r="D65" s="40"/>
      <c r="E65" s="36"/>
      <c r="F65" s="40"/>
      <c r="G65" s="79">
        <f t="shared" si="0"/>
        <v>0</v>
      </c>
    </row>
    <row r="66" spans="1:8">
      <c r="A66" s="10"/>
      <c r="B66" s="11" t="str">
        <f>Vars!A61</f>
        <v>Duct</v>
      </c>
      <c r="C66" s="41">
        <f>'[10]Cost - Avg. Units per Household'!$I$13</f>
        <v>431.27147732303678</v>
      </c>
      <c r="D66" s="40"/>
      <c r="E66" s="36"/>
      <c r="F66" s="40"/>
      <c r="G66" s="79"/>
    </row>
    <row r="67" spans="1:8">
      <c r="A67" s="10"/>
      <c r="B67" s="11" t="s">
        <v>544</v>
      </c>
      <c r="C67" s="41">
        <f>'[10]Cost - Avg. Units per Household'!$E$13</f>
        <v>1284.2375561642939</v>
      </c>
      <c r="D67" s="41">
        <v>505</v>
      </c>
      <c r="E67" s="118">
        <f>D67</f>
        <v>505</v>
      </c>
      <c r="F67" s="41">
        <f>'[11]Cost - Avg. Units per Household'!$E$10</f>
        <v>1233.3804551677226</v>
      </c>
      <c r="H67" s="79" t="s">
        <v>549</v>
      </c>
    </row>
    <row r="68" spans="1:8">
      <c r="A68" s="10"/>
      <c r="B68" s="11" t="s">
        <v>545</v>
      </c>
      <c r="C68" s="41">
        <f>'[10]Cost - Avg. Units per Household'!$D$13</f>
        <v>1215.2598734927806</v>
      </c>
      <c r="D68" s="41">
        <v>324</v>
      </c>
      <c r="E68" s="118">
        <f t="shared" ref="E68:E70" si="1">D68</f>
        <v>324</v>
      </c>
      <c r="F68" s="41">
        <f>'[11]Cost - Avg. Units per Household'!$D$10</f>
        <v>1283.6447931566927</v>
      </c>
      <c r="G68" s="79"/>
      <c r="H68" s="79" t="s">
        <v>549</v>
      </c>
    </row>
    <row r="69" spans="1:8">
      <c r="A69" s="10"/>
      <c r="B69" s="11" t="s">
        <v>546</v>
      </c>
      <c r="C69" s="41">
        <f>'[10]Cost - Avg. Units per Household'!$F$13</f>
        <v>1170.4040805548323</v>
      </c>
      <c r="D69" s="41">
        <v>324</v>
      </c>
      <c r="E69" s="118">
        <f t="shared" si="1"/>
        <v>324</v>
      </c>
      <c r="F69" s="41">
        <f>'[11]Cost - Avg. Units per Household'!$F$10</f>
        <v>1260.8750821619999</v>
      </c>
      <c r="G69" s="79"/>
      <c r="H69" s="79" t="s">
        <v>549</v>
      </c>
    </row>
    <row r="70" spans="1:8">
      <c r="A70" s="10"/>
      <c r="B70" s="11" t="s">
        <v>547</v>
      </c>
      <c r="C70" s="41">
        <f>'[10]Cost - Avg. Units per Household'!$K$13</f>
        <v>178.75425981367184</v>
      </c>
      <c r="D70" s="41">
        <f>0.18*D67</f>
        <v>90.899999999999991</v>
      </c>
      <c r="E70" s="118">
        <f t="shared" si="1"/>
        <v>90.899999999999991</v>
      </c>
      <c r="F70" s="41">
        <f>'[11]Cost - Avg. Units per Household'!$K$10</f>
        <v>154.13247821047429</v>
      </c>
      <c r="G70" s="79"/>
      <c r="H70" s="79" t="s">
        <v>626</v>
      </c>
    </row>
    <row r="71" spans="1:8">
      <c r="B71" s="11" t="s">
        <v>548</v>
      </c>
      <c r="C71" s="41">
        <f>'[10]Cost - Avg. Units per Household'!$J$13</f>
        <v>1452.0153410322519</v>
      </c>
      <c r="D71" s="41">
        <v>796</v>
      </c>
      <c r="E71" s="117">
        <f>D71</f>
        <v>796</v>
      </c>
      <c r="F71" s="41">
        <f>'[11]Cost - Avg. Units per Household'!$J$10</f>
        <v>1261.5980408504911</v>
      </c>
      <c r="G71" s="79"/>
      <c r="H71" s="79" t="s">
        <v>549</v>
      </c>
    </row>
    <row r="72" spans="1:8">
      <c r="B72" s="11" t="s">
        <v>247</v>
      </c>
      <c r="C72" s="41">
        <v>61.3</v>
      </c>
      <c r="D72" s="41">
        <v>20.2</v>
      </c>
      <c r="E72" s="41">
        <f>D72</f>
        <v>20.2</v>
      </c>
      <c r="F72" s="41">
        <v>38.5</v>
      </c>
      <c r="G72" s="114">
        <f t="shared" ref="G72:G74" si="2">SUMPRODUCT($C72:$F72,$P$11:$S$11)</f>
        <v>50.737590674414584</v>
      </c>
      <c r="H72" t="s">
        <v>516</v>
      </c>
    </row>
    <row r="73" spans="1:8">
      <c r="B73" s="11" t="s">
        <v>316</v>
      </c>
      <c r="C73" s="115">
        <v>40.4</v>
      </c>
      <c r="D73" s="41">
        <v>13.1</v>
      </c>
      <c r="E73" s="83">
        <f>D73</f>
        <v>13.1</v>
      </c>
      <c r="F73" s="83">
        <v>24.5</v>
      </c>
      <c r="G73" s="114">
        <f t="shared" si="2"/>
        <v>33.313770683019669</v>
      </c>
      <c r="H73" t="s">
        <v>516</v>
      </c>
    </row>
    <row r="74" spans="1:8">
      <c r="B74" s="11" t="s">
        <v>531</v>
      </c>
      <c r="C74" s="115">
        <f>6.5%*C72</f>
        <v>3.9845000000000002</v>
      </c>
      <c r="D74" s="41">
        <v>1.4</v>
      </c>
      <c r="E74" s="83">
        <v>1.4</v>
      </c>
      <c r="F74" s="83">
        <f>7.2%*F72</f>
        <v>2.7720000000000002</v>
      </c>
      <c r="G74" s="114">
        <f t="shared" si="2"/>
        <v>3.3408953685033267</v>
      </c>
    </row>
    <row r="75" spans="1:8">
      <c r="B75" s="11"/>
      <c r="C75" s="40"/>
      <c r="D75" s="40"/>
      <c r="E75" s="36"/>
      <c r="F75" s="40"/>
    </row>
    <row r="76" spans="1:8">
      <c r="B76" s="11"/>
      <c r="C76" s="40"/>
      <c r="D76" s="40"/>
      <c r="E76" s="36"/>
      <c r="F76" s="40"/>
    </row>
    <row r="77" spans="1:8">
      <c r="B77" s="11"/>
      <c r="C77" s="40"/>
      <c r="D77" s="40"/>
      <c r="E77" s="36"/>
      <c r="F77" s="40"/>
    </row>
    <row r="78" spans="1:8">
      <c r="B78" s="11"/>
      <c r="C78" s="40"/>
      <c r="D78" s="40"/>
      <c r="E78" s="36"/>
      <c r="F78" s="40"/>
    </row>
    <row r="79" spans="1:8">
      <c r="B79" s="11"/>
      <c r="C79" s="41"/>
      <c r="D79" s="41"/>
      <c r="E79" s="41"/>
      <c r="F79" s="41"/>
    </row>
    <row r="80" spans="1:8">
      <c r="B80" s="11"/>
      <c r="C80" s="41"/>
      <c r="D80" s="41"/>
      <c r="E80" s="41"/>
      <c r="F80" s="41"/>
    </row>
    <row r="81" spans="1:7">
      <c r="B81" s="11"/>
      <c r="C81" s="41"/>
      <c r="D81" s="41"/>
      <c r="E81" s="41"/>
      <c r="F81" s="41"/>
    </row>
    <row r="82" spans="1:7">
      <c r="B82" s="11"/>
      <c r="C82" s="41"/>
      <c r="D82" s="41"/>
      <c r="E82" s="41"/>
      <c r="F82" s="41"/>
    </row>
    <row r="83" spans="1:7">
      <c r="A83" s="13"/>
      <c r="B83" s="11"/>
      <c r="C83" s="41"/>
      <c r="D83" s="41"/>
      <c r="E83" s="41"/>
      <c r="F83" s="41"/>
    </row>
    <row r="84" spans="1:7">
      <c r="A84" s="13"/>
      <c r="C84" s="21"/>
      <c r="F84" s="25"/>
    </row>
    <row r="85" spans="1:7">
      <c r="A85" s="13"/>
      <c r="C85" s="21"/>
      <c r="F85" s="25"/>
    </row>
    <row r="86" spans="1:7">
      <c r="A86" s="16" t="s">
        <v>39</v>
      </c>
      <c r="B86" s="24" t="s">
        <v>1</v>
      </c>
      <c r="C86" s="3" t="s">
        <v>66</v>
      </c>
      <c r="D86" t="s">
        <v>629</v>
      </c>
    </row>
    <row r="87" spans="1:7">
      <c r="B87" s="3" t="s">
        <v>130</v>
      </c>
      <c r="C87" s="74" t="str">
        <f>C10</f>
        <v>Single Family</v>
      </c>
      <c r="D87" s="74" t="str">
        <f>D10</f>
        <v>Multifamily - Low Rise</v>
      </c>
      <c r="E87" s="74" t="str">
        <f>E10</f>
        <v>Multifamily - High Rise</v>
      </c>
      <c r="F87" s="74" t="str">
        <f>F10</f>
        <v>Manufactured</v>
      </c>
    </row>
    <row r="88" spans="1:7">
      <c r="B88" s="11" t="str">
        <f>B11</f>
        <v>Electric FAF - HZ1CZ1</v>
      </c>
      <c r="C88" s="36">
        <f>C11</f>
        <v>0</v>
      </c>
      <c r="D88" s="36">
        <f t="shared" ref="D88:F88" si="3">D11</f>
        <v>0</v>
      </c>
      <c r="E88" s="36">
        <f t="shared" si="3"/>
        <v>0</v>
      </c>
      <c r="F88" s="36">
        <f t="shared" si="3"/>
        <v>0</v>
      </c>
    </row>
    <row r="89" spans="1:7">
      <c r="B89" s="11" t="str">
        <f t="shared" ref="B89:F141" si="4">B12</f>
        <v>Electric FAF - HZ1CZ23</v>
      </c>
      <c r="C89" s="36">
        <f t="shared" ref="C89:F89" si="5">C12</f>
        <v>0</v>
      </c>
      <c r="D89" s="36">
        <f t="shared" si="5"/>
        <v>0</v>
      </c>
      <c r="E89" s="36">
        <f t="shared" si="5"/>
        <v>0</v>
      </c>
      <c r="F89" s="36">
        <f t="shared" si="5"/>
        <v>0</v>
      </c>
    </row>
    <row r="90" spans="1:7">
      <c r="B90" s="11" t="str">
        <f t="shared" si="4"/>
        <v>Electric FAF - HZ23CZ1</v>
      </c>
      <c r="C90" s="36">
        <f t="shared" ref="C90:F90" si="6">C13</f>
        <v>0</v>
      </c>
      <c r="D90" s="36">
        <f t="shared" si="6"/>
        <v>0</v>
      </c>
      <c r="E90" s="36">
        <f t="shared" si="6"/>
        <v>0</v>
      </c>
      <c r="F90" s="36">
        <f t="shared" si="6"/>
        <v>0</v>
      </c>
    </row>
    <row r="91" spans="1:7">
      <c r="B91" s="11" t="str">
        <f t="shared" si="4"/>
        <v>Electric FAF - HZ23CZ23</v>
      </c>
      <c r="C91" s="36">
        <f t="shared" ref="C91:F91" si="7">C14</f>
        <v>0</v>
      </c>
      <c r="D91" s="36">
        <f t="shared" si="7"/>
        <v>0</v>
      </c>
      <c r="E91" s="36">
        <f t="shared" si="7"/>
        <v>0</v>
      </c>
      <c r="F91" s="36">
        <f t="shared" si="7"/>
        <v>0</v>
      </c>
    </row>
    <row r="92" spans="1:7">
      <c r="B92" s="11" t="str">
        <f t="shared" si="4"/>
        <v>Electric FAF - HZ1</v>
      </c>
      <c r="C92" s="36">
        <f t="shared" ref="C92:F92" si="8">C15</f>
        <v>0</v>
      </c>
      <c r="D92" s="36">
        <f t="shared" si="8"/>
        <v>0</v>
      </c>
      <c r="E92" s="36">
        <f t="shared" si="8"/>
        <v>0</v>
      </c>
      <c r="F92" s="36">
        <f t="shared" si="8"/>
        <v>0</v>
      </c>
    </row>
    <row r="93" spans="1:7">
      <c r="B93" s="11" t="str">
        <f t="shared" si="4"/>
        <v>Electric FAF - HZ23</v>
      </c>
      <c r="C93" s="36">
        <f t="shared" ref="C93:F93" si="9">C16</f>
        <v>0</v>
      </c>
      <c r="D93" s="36">
        <f t="shared" si="9"/>
        <v>0</v>
      </c>
      <c r="E93" s="36">
        <f t="shared" si="9"/>
        <v>0</v>
      </c>
      <c r="F93" s="36">
        <f t="shared" si="9"/>
        <v>0</v>
      </c>
      <c r="G93"/>
    </row>
    <row r="94" spans="1:7">
      <c r="B94" s="11" t="str">
        <f t="shared" si="4"/>
        <v>Electric FAF - Region</v>
      </c>
      <c r="C94" s="36">
        <f t="shared" ref="C94:F94" si="10">C17</f>
        <v>0</v>
      </c>
      <c r="D94" s="36">
        <f t="shared" si="10"/>
        <v>0</v>
      </c>
      <c r="E94" s="36">
        <f t="shared" si="10"/>
        <v>0</v>
      </c>
      <c r="F94" s="36">
        <f t="shared" si="10"/>
        <v>0</v>
      </c>
      <c r="G94"/>
    </row>
    <row r="95" spans="1:7">
      <c r="B95" s="11" t="str">
        <f t="shared" si="4"/>
        <v>Electric FAF w/ CAC - HZ1CZ1</v>
      </c>
      <c r="C95" s="36">
        <f t="shared" ref="C95:F95" si="11">C18</f>
        <v>0</v>
      </c>
      <c r="D95" s="36">
        <f t="shared" si="11"/>
        <v>0</v>
      </c>
      <c r="E95" s="36">
        <f t="shared" si="11"/>
        <v>0</v>
      </c>
      <c r="F95" s="36">
        <f t="shared" si="11"/>
        <v>0</v>
      </c>
      <c r="G95"/>
    </row>
    <row r="96" spans="1:7">
      <c r="B96" s="11" t="str">
        <f t="shared" si="4"/>
        <v>Electric FAF w/ CAC - HZ1CZ23</v>
      </c>
      <c r="C96" s="36">
        <f t="shared" ref="C96:F96" si="12">C19</f>
        <v>0</v>
      </c>
      <c r="D96" s="36">
        <f t="shared" si="12"/>
        <v>0</v>
      </c>
      <c r="E96" s="36">
        <f t="shared" si="12"/>
        <v>0</v>
      </c>
      <c r="F96" s="36">
        <f t="shared" si="12"/>
        <v>0</v>
      </c>
      <c r="G96"/>
    </row>
    <row r="97" spans="2:7">
      <c r="B97" s="11" t="str">
        <f t="shared" si="4"/>
        <v>Electric FAF w/ CAC - HZ23CZ1</v>
      </c>
      <c r="C97" s="36">
        <f t="shared" ref="C97:F97" si="13">C20</f>
        <v>0</v>
      </c>
      <c r="D97" s="36">
        <f t="shared" si="13"/>
        <v>0</v>
      </c>
      <c r="E97" s="36">
        <f t="shared" si="13"/>
        <v>0</v>
      </c>
      <c r="F97" s="36">
        <f t="shared" si="13"/>
        <v>0</v>
      </c>
      <c r="G97"/>
    </row>
    <row r="98" spans="2:7">
      <c r="B98" s="11" t="str">
        <f t="shared" si="4"/>
        <v>Electric FAF w/ CAC - HZ23CZ23</v>
      </c>
      <c r="C98" s="36">
        <f t="shared" ref="C98:F98" si="14">C21</f>
        <v>0</v>
      </c>
      <c r="D98" s="36">
        <f t="shared" si="14"/>
        <v>0</v>
      </c>
      <c r="E98" s="36">
        <f t="shared" si="14"/>
        <v>0</v>
      </c>
      <c r="F98" s="36">
        <f t="shared" si="14"/>
        <v>0</v>
      </c>
      <c r="G98"/>
    </row>
    <row r="99" spans="2:7">
      <c r="B99" s="11" t="str">
        <f t="shared" si="4"/>
        <v>Heat Pump - HZ1CZ1</v>
      </c>
      <c r="C99" s="36">
        <f t="shared" ref="C99:F99" si="15">C22</f>
        <v>0</v>
      </c>
      <c r="D99" s="36">
        <f t="shared" si="15"/>
        <v>0</v>
      </c>
      <c r="E99" s="36">
        <f t="shared" si="15"/>
        <v>0</v>
      </c>
      <c r="F99" s="36">
        <f t="shared" si="15"/>
        <v>0</v>
      </c>
      <c r="G99"/>
    </row>
    <row r="100" spans="2:7">
      <c r="B100" s="11" t="str">
        <f t="shared" si="4"/>
        <v>Heat Pump - HZ1CZ23</v>
      </c>
      <c r="C100" s="36">
        <f t="shared" ref="C100:F100" si="16">C23</f>
        <v>0</v>
      </c>
      <c r="D100" s="36">
        <f t="shared" si="16"/>
        <v>0</v>
      </c>
      <c r="E100" s="36">
        <f t="shared" si="16"/>
        <v>0</v>
      </c>
      <c r="F100" s="36">
        <f t="shared" si="16"/>
        <v>0</v>
      </c>
      <c r="G100"/>
    </row>
    <row r="101" spans="2:7">
      <c r="B101" s="11" t="str">
        <f t="shared" si="4"/>
        <v>Heat Pump - HZ23CZ1</v>
      </c>
      <c r="C101" s="36">
        <f t="shared" ref="C101:F101" si="17">C24</f>
        <v>0</v>
      </c>
      <c r="D101" s="36">
        <f t="shared" si="17"/>
        <v>0</v>
      </c>
      <c r="E101" s="36">
        <f t="shared" si="17"/>
        <v>0</v>
      </c>
      <c r="F101" s="36">
        <f t="shared" si="17"/>
        <v>0</v>
      </c>
      <c r="G101"/>
    </row>
    <row r="102" spans="2:7">
      <c r="B102" s="11" t="str">
        <f t="shared" si="4"/>
        <v>Heat Pump - HZ23CZ23</v>
      </c>
      <c r="C102" s="36">
        <f t="shared" ref="C102:F102" si="18">C25</f>
        <v>0</v>
      </c>
      <c r="D102" s="36">
        <f t="shared" si="18"/>
        <v>0</v>
      </c>
      <c r="E102" s="36">
        <f t="shared" si="18"/>
        <v>0</v>
      </c>
      <c r="F102" s="36">
        <f t="shared" si="18"/>
        <v>0</v>
      </c>
      <c r="G102"/>
    </row>
    <row r="103" spans="2:7">
      <c r="B103" s="11" t="str">
        <f t="shared" si="4"/>
        <v>Heat Pump - HZ1</v>
      </c>
      <c r="C103" s="36">
        <f t="shared" ref="C103:F103" si="19">C26</f>
        <v>0</v>
      </c>
      <c r="D103" s="36">
        <f t="shared" si="19"/>
        <v>0</v>
      </c>
      <c r="E103" s="36">
        <f t="shared" si="19"/>
        <v>0</v>
      </c>
      <c r="F103" s="36">
        <f t="shared" si="19"/>
        <v>0</v>
      </c>
      <c r="G103"/>
    </row>
    <row r="104" spans="2:7">
      <c r="B104" s="11" t="str">
        <f t="shared" si="4"/>
        <v>Heat Pump - HZ23</v>
      </c>
      <c r="C104" s="36">
        <f t="shared" ref="C104:F104" si="20">C27</f>
        <v>0</v>
      </c>
      <c r="D104" s="36">
        <f t="shared" si="20"/>
        <v>0</v>
      </c>
      <c r="E104" s="36">
        <f t="shared" si="20"/>
        <v>0</v>
      </c>
      <c r="F104" s="36">
        <f t="shared" si="20"/>
        <v>0</v>
      </c>
      <c r="G104"/>
    </row>
    <row r="105" spans="2:7">
      <c r="B105" s="11" t="str">
        <f t="shared" si="4"/>
        <v>Heat Pump - Region</v>
      </c>
      <c r="C105" s="40">
        <f t="shared" ref="C105:F105" si="21">C28</f>
        <v>0</v>
      </c>
      <c r="D105" s="36">
        <f t="shared" si="21"/>
        <v>0</v>
      </c>
      <c r="E105" s="36">
        <f t="shared" si="21"/>
        <v>0</v>
      </c>
      <c r="F105" s="36">
        <f t="shared" si="21"/>
        <v>0</v>
      </c>
      <c r="G105"/>
    </row>
    <row r="106" spans="2:7">
      <c r="B106" s="11" t="str">
        <f t="shared" si="4"/>
        <v>Electric Zonal - HZ1CZ1</v>
      </c>
      <c r="C106" s="36">
        <f t="shared" ref="C106:F106" si="22">C29</f>
        <v>0</v>
      </c>
      <c r="D106" s="36">
        <f t="shared" si="22"/>
        <v>0</v>
      </c>
      <c r="E106" s="36">
        <f t="shared" si="22"/>
        <v>0</v>
      </c>
      <c r="F106" s="36">
        <f t="shared" si="22"/>
        <v>0</v>
      </c>
      <c r="G106"/>
    </row>
    <row r="107" spans="2:7">
      <c r="B107" s="11" t="str">
        <f t="shared" si="4"/>
        <v>Electric Zonal - HZ1CZ23</v>
      </c>
      <c r="C107" s="36">
        <f t="shared" ref="C107:F107" si="23">C30</f>
        <v>0</v>
      </c>
      <c r="D107" s="36">
        <f t="shared" si="23"/>
        <v>0</v>
      </c>
      <c r="E107" s="36">
        <f t="shared" si="23"/>
        <v>0</v>
      </c>
      <c r="F107" s="36">
        <f t="shared" si="23"/>
        <v>0</v>
      </c>
      <c r="G107"/>
    </row>
    <row r="108" spans="2:7">
      <c r="B108" s="11" t="str">
        <f t="shared" si="4"/>
        <v>Electric Zonal - HZ23CZ1</v>
      </c>
      <c r="C108" s="36">
        <f t="shared" ref="C108:F108" si="24">C31</f>
        <v>0</v>
      </c>
      <c r="D108" s="36">
        <f t="shared" si="24"/>
        <v>0</v>
      </c>
      <c r="E108" s="36">
        <f t="shared" si="24"/>
        <v>0</v>
      </c>
      <c r="F108" s="36">
        <f t="shared" si="24"/>
        <v>0</v>
      </c>
      <c r="G108"/>
    </row>
    <row r="109" spans="2:7">
      <c r="B109" s="11" t="str">
        <f t="shared" si="4"/>
        <v>Electric Zonal - HZ23CZ23</v>
      </c>
      <c r="C109" s="36">
        <f t="shared" ref="C109:F109" si="25">C32</f>
        <v>0</v>
      </c>
      <c r="D109" s="36">
        <f t="shared" si="25"/>
        <v>0</v>
      </c>
      <c r="E109" s="36">
        <f t="shared" si="25"/>
        <v>0</v>
      </c>
      <c r="F109" s="36">
        <f t="shared" si="25"/>
        <v>0</v>
      </c>
      <c r="G109"/>
    </row>
    <row r="110" spans="2:7">
      <c r="B110" s="11" t="str">
        <f t="shared" si="4"/>
        <v>Electric Zonal - HZ1</v>
      </c>
      <c r="C110" s="36">
        <f t="shared" ref="C110:F110" si="26">C33</f>
        <v>0</v>
      </c>
      <c r="D110" s="36">
        <f t="shared" si="26"/>
        <v>0</v>
      </c>
      <c r="E110" s="36">
        <f t="shared" si="26"/>
        <v>0</v>
      </c>
      <c r="F110" s="36">
        <f t="shared" si="26"/>
        <v>0</v>
      </c>
      <c r="G110"/>
    </row>
    <row r="111" spans="2:7">
      <c r="B111" s="11" t="str">
        <f t="shared" si="4"/>
        <v>Electric Zonal - HZ23</v>
      </c>
      <c r="C111" s="36">
        <f t="shared" ref="C111:F111" si="27">C34</f>
        <v>0</v>
      </c>
      <c r="D111" s="36">
        <f t="shared" si="27"/>
        <v>0</v>
      </c>
      <c r="E111" s="36">
        <f t="shared" si="27"/>
        <v>0</v>
      </c>
      <c r="F111" s="36">
        <f t="shared" si="27"/>
        <v>0</v>
      </c>
      <c r="G111"/>
    </row>
    <row r="112" spans="2:7">
      <c r="B112" s="11" t="str">
        <f t="shared" si="4"/>
        <v>Electric Zonal - Region</v>
      </c>
      <c r="C112" s="36">
        <f t="shared" ref="C112:F112" si="28">C35</f>
        <v>0</v>
      </c>
      <c r="D112" s="36">
        <f t="shared" si="28"/>
        <v>0</v>
      </c>
      <c r="E112" s="36">
        <f t="shared" si="28"/>
        <v>0</v>
      </c>
      <c r="F112" s="36">
        <f t="shared" si="28"/>
        <v>0</v>
      </c>
      <c r="G112"/>
    </row>
    <row r="113" spans="2:7">
      <c r="B113" s="11" t="str">
        <f t="shared" si="4"/>
        <v>DHP - HZ1CZ1</v>
      </c>
      <c r="C113" s="36">
        <f t="shared" ref="C113:F113" si="29">C36</f>
        <v>0</v>
      </c>
      <c r="D113" s="36">
        <f t="shared" si="29"/>
        <v>0</v>
      </c>
      <c r="E113" s="36">
        <f t="shared" si="29"/>
        <v>0</v>
      </c>
      <c r="F113" s="36">
        <f t="shared" si="29"/>
        <v>0</v>
      </c>
      <c r="G113"/>
    </row>
    <row r="114" spans="2:7">
      <c r="B114" s="11" t="str">
        <f t="shared" si="4"/>
        <v>DHP - HZ1CZ23</v>
      </c>
      <c r="C114" s="36">
        <f t="shared" ref="C114:F114" si="30">C37</f>
        <v>0</v>
      </c>
      <c r="D114" s="36">
        <f t="shared" si="30"/>
        <v>0</v>
      </c>
      <c r="E114" s="36">
        <f t="shared" si="30"/>
        <v>0</v>
      </c>
      <c r="F114" s="36">
        <f t="shared" si="30"/>
        <v>0</v>
      </c>
      <c r="G114"/>
    </row>
    <row r="115" spans="2:7">
      <c r="B115" s="11" t="str">
        <f t="shared" si="4"/>
        <v>DHP - HZ23CZ1</v>
      </c>
      <c r="C115" s="40">
        <f t="shared" ref="C115:F115" si="31">C38</f>
        <v>0</v>
      </c>
      <c r="D115" s="36">
        <f t="shared" si="31"/>
        <v>0</v>
      </c>
      <c r="E115" s="36">
        <f t="shared" si="31"/>
        <v>0</v>
      </c>
      <c r="F115" s="36">
        <f t="shared" si="31"/>
        <v>0</v>
      </c>
      <c r="G115"/>
    </row>
    <row r="116" spans="2:7">
      <c r="B116" s="11" t="str">
        <f t="shared" si="4"/>
        <v>DHP - HZ23CZ23</v>
      </c>
      <c r="C116" s="36">
        <f t="shared" ref="C116:F116" si="32">C39</f>
        <v>0</v>
      </c>
      <c r="D116" s="36">
        <f t="shared" si="32"/>
        <v>0</v>
      </c>
      <c r="E116" s="36">
        <f t="shared" si="32"/>
        <v>0</v>
      </c>
      <c r="F116" s="36">
        <f t="shared" si="32"/>
        <v>0</v>
      </c>
      <c r="G116"/>
    </row>
    <row r="117" spans="2:7">
      <c r="B117" s="11" t="str">
        <f t="shared" si="4"/>
        <v>DHP - HZ1</v>
      </c>
      <c r="C117" s="36">
        <f t="shared" ref="C117:F117" si="33">C40</f>
        <v>0</v>
      </c>
      <c r="D117" s="36">
        <f t="shared" si="33"/>
        <v>0</v>
      </c>
      <c r="E117" s="36">
        <f t="shared" si="33"/>
        <v>0</v>
      </c>
      <c r="F117" s="36">
        <f t="shared" si="33"/>
        <v>0</v>
      </c>
      <c r="G117"/>
    </row>
    <row r="118" spans="2:7">
      <c r="B118" s="11" t="str">
        <f t="shared" si="4"/>
        <v>DHP - HZ23</v>
      </c>
      <c r="C118" s="36">
        <f t="shared" ref="C118:F118" si="34">C41</f>
        <v>0</v>
      </c>
      <c r="D118" s="36">
        <f t="shared" si="34"/>
        <v>0</v>
      </c>
      <c r="E118" s="36">
        <f t="shared" si="34"/>
        <v>0</v>
      </c>
      <c r="F118" s="36">
        <f t="shared" si="34"/>
        <v>0</v>
      </c>
      <c r="G118"/>
    </row>
    <row r="119" spans="2:7">
      <c r="B119" s="11" t="str">
        <f t="shared" si="4"/>
        <v>DHP - Region</v>
      </c>
      <c r="C119" s="36">
        <f t="shared" ref="C119:F119" si="35">C42</f>
        <v>0</v>
      </c>
      <c r="D119" s="36">
        <f t="shared" si="35"/>
        <v>0</v>
      </c>
      <c r="E119" s="36">
        <f t="shared" si="35"/>
        <v>0</v>
      </c>
      <c r="F119" s="36">
        <f t="shared" si="35"/>
        <v>0</v>
      </c>
      <c r="G119"/>
    </row>
    <row r="120" spans="2:7">
      <c r="B120" s="11" t="str">
        <f t="shared" si="4"/>
        <v>Central AC - CZ1</v>
      </c>
      <c r="C120" s="36">
        <f t="shared" ref="C120:F120" si="36">C43</f>
        <v>0</v>
      </c>
      <c r="D120" s="36">
        <f t="shared" si="36"/>
        <v>0</v>
      </c>
      <c r="E120" s="36">
        <f t="shared" si="36"/>
        <v>0</v>
      </c>
      <c r="F120" s="36">
        <f t="shared" si="36"/>
        <v>0</v>
      </c>
      <c r="G120"/>
    </row>
    <row r="121" spans="2:7">
      <c r="B121" s="11" t="str">
        <f t="shared" si="4"/>
        <v>Central AC - CZ23</v>
      </c>
      <c r="C121" s="36">
        <f t="shared" ref="C121:F121" si="37">C44</f>
        <v>0</v>
      </c>
      <c r="D121" s="36">
        <f t="shared" si="37"/>
        <v>0</v>
      </c>
      <c r="E121" s="36">
        <f t="shared" si="37"/>
        <v>0</v>
      </c>
      <c r="F121" s="36">
        <f t="shared" si="37"/>
        <v>0</v>
      </c>
      <c r="G121"/>
    </row>
    <row r="122" spans="2:7">
      <c r="B122" s="11" t="str">
        <f t="shared" si="4"/>
        <v>Room A/C - CZ1</v>
      </c>
      <c r="C122" s="36">
        <f t="shared" ref="C122:F122" si="38">C45</f>
        <v>0</v>
      </c>
      <c r="D122" s="36">
        <f t="shared" si="38"/>
        <v>0</v>
      </c>
      <c r="E122" s="36">
        <f t="shared" si="38"/>
        <v>0</v>
      </c>
      <c r="F122" s="36">
        <f t="shared" si="38"/>
        <v>0</v>
      </c>
      <c r="G122"/>
    </row>
    <row r="123" spans="2:7">
      <c r="B123" s="11" t="str">
        <f t="shared" si="4"/>
        <v>Room A/C - CZ23</v>
      </c>
      <c r="C123" s="36">
        <f t="shared" ref="C123:F123" si="39">C46</f>
        <v>0</v>
      </c>
      <c r="D123" s="36">
        <f t="shared" si="39"/>
        <v>0</v>
      </c>
      <c r="E123" s="36">
        <f t="shared" si="39"/>
        <v>0</v>
      </c>
      <c r="F123" s="36">
        <f t="shared" si="39"/>
        <v>0</v>
      </c>
      <c r="G123"/>
    </row>
    <row r="124" spans="2:7">
      <c r="B124" s="11" t="str">
        <f t="shared" si="4"/>
        <v>Electric WH</v>
      </c>
      <c r="C124" s="36">
        <f t="shared" ref="C124:F124" si="40">C47</f>
        <v>0.49</v>
      </c>
      <c r="D124" s="36">
        <f t="shared" si="40"/>
        <v>0.62215500000000001</v>
      </c>
      <c r="E124" s="36">
        <f t="shared" si="40"/>
        <v>9.3329999999999982E-2</v>
      </c>
      <c r="F124" s="36">
        <f t="shared" si="40"/>
        <v>0.82</v>
      </c>
      <c r="G124"/>
    </row>
    <row r="125" spans="2:7">
      <c r="B125" s="11" t="str">
        <f t="shared" si="4"/>
        <v>DHW inside</v>
      </c>
      <c r="C125" s="36">
        <f t="shared" ref="C125:F125" si="41">C48</f>
        <v>0.15190000000000001</v>
      </c>
      <c r="D125" s="36">
        <f t="shared" si="41"/>
        <v>0.52883175000000004</v>
      </c>
      <c r="E125" s="36">
        <f t="shared" si="41"/>
        <v>7.9330499999999984E-2</v>
      </c>
      <c r="F125" s="36">
        <f t="shared" si="41"/>
        <v>0.63959999999999995</v>
      </c>
      <c r="G125"/>
    </row>
    <row r="126" spans="2:7">
      <c r="B126" s="11" t="str">
        <f t="shared" si="4"/>
        <v>DHW buffer</v>
      </c>
      <c r="C126" s="36">
        <f t="shared" ref="C126:F126" si="42">C49</f>
        <v>0.34006000000000003</v>
      </c>
      <c r="D126" s="36">
        <f t="shared" si="42"/>
        <v>9.5811870000000007E-2</v>
      </c>
      <c r="E126" s="36">
        <f t="shared" si="42"/>
        <v>1.4186159999999996E-2</v>
      </c>
      <c r="F126" s="36">
        <f t="shared" si="42"/>
        <v>0.18203999999999998</v>
      </c>
      <c r="G126"/>
    </row>
    <row r="127" spans="2:7">
      <c r="B127" s="11"/>
      <c r="C127" s="36"/>
      <c r="D127" s="36"/>
      <c r="E127" s="36"/>
      <c r="F127" s="36"/>
      <c r="G127"/>
    </row>
    <row r="128" spans="2:7">
      <c r="B128" s="11"/>
      <c r="C128" s="36"/>
      <c r="D128" s="36"/>
      <c r="E128" s="36"/>
      <c r="F128" s="36"/>
      <c r="G128"/>
    </row>
    <row r="129" spans="2:7">
      <c r="B129" s="11"/>
      <c r="C129" s="36"/>
      <c r="D129" s="36"/>
      <c r="E129" s="36"/>
      <c r="F129" s="36"/>
      <c r="G129"/>
    </row>
    <row r="130" spans="2:7">
      <c r="B130" s="11"/>
      <c r="C130" s="36"/>
      <c r="D130" s="36"/>
      <c r="E130" s="36"/>
      <c r="F130" s="36"/>
      <c r="G130"/>
    </row>
    <row r="131" spans="2:7">
      <c r="B131" s="11" t="str">
        <f t="shared" si="4"/>
        <v>Refrigerator</v>
      </c>
      <c r="C131" s="36">
        <f t="shared" ref="C131:F131" si="43">C54</f>
        <v>1.375</v>
      </c>
      <c r="D131" s="36">
        <f t="shared" si="43"/>
        <v>1.04</v>
      </c>
      <c r="E131" s="36">
        <f t="shared" si="43"/>
        <v>1.04</v>
      </c>
      <c r="F131" s="36">
        <f t="shared" si="43"/>
        <v>1.17</v>
      </c>
      <c r="G131"/>
    </row>
    <row r="132" spans="2:7">
      <c r="B132" s="11" t="str">
        <f t="shared" si="4"/>
        <v>Freezer</v>
      </c>
      <c r="C132" s="36">
        <f t="shared" ref="C132:F132" si="44">C55</f>
        <v>0.39</v>
      </c>
      <c r="D132" s="36">
        <f t="shared" si="44"/>
        <v>5.0000000000000001E-4</v>
      </c>
      <c r="E132" s="36">
        <f t="shared" si="44"/>
        <v>5.0000000000000001E-4</v>
      </c>
      <c r="F132" s="36">
        <f t="shared" si="44"/>
        <v>0.43</v>
      </c>
      <c r="G132"/>
    </row>
    <row r="133" spans="2:7">
      <c r="B133" s="11" t="str">
        <f t="shared" si="4"/>
        <v>Clothes Washer</v>
      </c>
      <c r="C133" s="36">
        <f t="shared" ref="C133:F133" si="45">C56</f>
        <v>0.96</v>
      </c>
      <c r="D133" s="36">
        <f t="shared" si="45"/>
        <v>0.52</v>
      </c>
      <c r="E133" s="36">
        <f t="shared" si="45"/>
        <v>0.51600000000000001</v>
      </c>
      <c r="F133" s="36">
        <f t="shared" si="45"/>
        <v>0.96</v>
      </c>
      <c r="G133"/>
    </row>
    <row r="134" spans="2:7">
      <c r="B134" s="11" t="str">
        <f t="shared" si="4"/>
        <v>Clothes Dryer</v>
      </c>
      <c r="C134" s="36">
        <f t="shared" ref="C134:F134" si="46">C57</f>
        <v>0.86480000000000001</v>
      </c>
      <c r="D134" s="36">
        <f t="shared" si="46"/>
        <v>0.49469999999999997</v>
      </c>
      <c r="E134" s="36">
        <f t="shared" si="46"/>
        <v>0.50600000000000001</v>
      </c>
      <c r="F134" s="36">
        <f t="shared" si="46"/>
        <v>0.90709999999999991</v>
      </c>
      <c r="G134"/>
    </row>
    <row r="135" spans="2:7">
      <c r="B135" s="11" t="str">
        <f t="shared" si="4"/>
        <v>Dishwasher</v>
      </c>
      <c r="C135" s="36">
        <f t="shared" ref="C135:F135" si="47">C58</f>
        <v>0.83740657458415768</v>
      </c>
      <c r="D135" s="36">
        <f t="shared" si="47"/>
        <v>0.68468881874245047</v>
      </c>
      <c r="E135" s="36">
        <f t="shared" si="47"/>
        <v>0.68468881874245047</v>
      </c>
      <c r="F135" s="36">
        <f t="shared" si="47"/>
        <v>0.83966265858877454</v>
      </c>
      <c r="G135"/>
    </row>
    <row r="136" spans="2:7">
      <c r="B136" s="11" t="str">
        <f t="shared" si="4"/>
        <v>Microwave</v>
      </c>
      <c r="C136" s="36">
        <f t="shared" ref="C136:F136" si="48">C59</f>
        <v>0.95530726256983256</v>
      </c>
      <c r="D136" s="36">
        <f t="shared" si="48"/>
        <v>0.95530726256983256</v>
      </c>
      <c r="E136" s="36">
        <f t="shared" si="48"/>
        <v>0.95530726256983256</v>
      </c>
      <c r="F136" s="36">
        <f t="shared" si="48"/>
        <v>0.95530726256983256</v>
      </c>
      <c r="G136"/>
    </row>
    <row r="137" spans="2:7">
      <c r="B137" s="11" t="str">
        <f t="shared" si="4"/>
        <v>Electric Oven</v>
      </c>
      <c r="C137" s="36">
        <f t="shared" ref="C137:F138" si="49">C60</f>
        <v>0.79300000000000004</v>
      </c>
      <c r="D137" s="36">
        <f t="shared" si="49"/>
        <v>0.96699999999999997</v>
      </c>
      <c r="E137" s="36">
        <f t="shared" si="49"/>
        <v>0.96699999999999997</v>
      </c>
      <c r="F137" s="36">
        <f t="shared" si="49"/>
        <v>0.90600000000000003</v>
      </c>
      <c r="G137"/>
    </row>
    <row r="138" spans="2:7">
      <c r="B138" s="11" t="str">
        <f t="shared" si="4"/>
        <v>UHD TV</v>
      </c>
      <c r="C138" s="36">
        <f t="shared" si="49"/>
        <v>1.5750000000000002</v>
      </c>
      <c r="D138" s="36">
        <f t="shared" si="49"/>
        <v>1.0499999999999998</v>
      </c>
      <c r="E138" s="36">
        <f t="shared" si="49"/>
        <v>1.0499999999999998</v>
      </c>
      <c r="F138" s="36">
        <f t="shared" si="49"/>
        <v>1.4475</v>
      </c>
      <c r="G138"/>
    </row>
    <row r="139" spans="2:7">
      <c r="B139" s="11" t="str">
        <f t="shared" si="4"/>
        <v>Set top box</v>
      </c>
      <c r="C139" s="36">
        <f t="shared" si="4"/>
        <v>0</v>
      </c>
      <c r="D139" s="36">
        <f t="shared" si="4"/>
        <v>0</v>
      </c>
      <c r="E139" s="36">
        <f t="shared" si="4"/>
        <v>0</v>
      </c>
      <c r="F139" s="36">
        <f t="shared" si="4"/>
        <v>0</v>
      </c>
      <c r="G139"/>
    </row>
    <row r="140" spans="2:7">
      <c r="B140" s="11" t="str">
        <f t="shared" si="4"/>
        <v>Computer</v>
      </c>
      <c r="C140" s="36">
        <f t="shared" si="4"/>
        <v>1.2540881924362293</v>
      </c>
      <c r="D140" s="36">
        <f t="shared" si="4"/>
        <v>0.74267537001703376</v>
      </c>
      <c r="E140" s="36">
        <f t="shared" si="4"/>
        <v>0.74267537001703376</v>
      </c>
      <c r="F140" s="36">
        <f t="shared" si="4"/>
        <v>1.0373412604087846</v>
      </c>
      <c r="G140"/>
    </row>
    <row r="141" spans="2:7">
      <c r="B141" s="11" t="str">
        <f t="shared" si="4"/>
        <v>Monitor</v>
      </c>
      <c r="C141" s="36">
        <f t="shared" si="4"/>
        <v>1.3708807892507278</v>
      </c>
      <c r="D141" s="36">
        <f t="shared" si="4"/>
        <v>0.77888559710145489</v>
      </c>
      <c r="E141" s="36">
        <f t="shared" si="4"/>
        <v>0.77888559710145489</v>
      </c>
      <c r="F141" s="36">
        <f t="shared" si="4"/>
        <v>1.1120089592359239</v>
      </c>
      <c r="G141"/>
    </row>
    <row r="142" spans="2:7">
      <c r="B142" s="11"/>
      <c r="C142" s="41">
        <f t="shared" ref="C142:F142" si="50">C65</f>
        <v>0</v>
      </c>
      <c r="D142" s="41">
        <f t="shared" si="50"/>
        <v>0</v>
      </c>
      <c r="E142" s="41">
        <f t="shared" si="50"/>
        <v>0</v>
      </c>
      <c r="F142" s="41">
        <f t="shared" si="50"/>
        <v>0</v>
      </c>
      <c r="G142"/>
    </row>
    <row r="143" spans="2:7">
      <c r="B143" s="11" t="str">
        <f t="shared" ref="B143" si="51">B66</f>
        <v>Duct</v>
      </c>
      <c r="C143" s="41">
        <f t="shared" ref="C143:F143" si="52">C66</f>
        <v>431.27147732303678</v>
      </c>
      <c r="D143" s="41">
        <f t="shared" si="52"/>
        <v>0</v>
      </c>
      <c r="E143" s="41">
        <f t="shared" si="52"/>
        <v>0</v>
      </c>
      <c r="F143" s="41">
        <f t="shared" si="52"/>
        <v>0</v>
      </c>
      <c r="G143"/>
    </row>
    <row r="144" spans="2:7">
      <c r="B144" s="11" t="str">
        <f t="shared" ref="B144" si="53">B67</f>
        <v>Wall</v>
      </c>
      <c r="C144" s="41">
        <f t="shared" ref="C144:F144" si="54">C67</f>
        <v>1284.2375561642939</v>
      </c>
      <c r="D144" s="41">
        <f t="shared" si="54"/>
        <v>505</v>
      </c>
      <c r="E144" s="41">
        <f t="shared" si="54"/>
        <v>505</v>
      </c>
      <c r="F144" s="41">
        <f t="shared" si="54"/>
        <v>1233.3804551677226</v>
      </c>
      <c r="G144"/>
    </row>
    <row r="145" spans="2:8">
      <c r="B145" s="11" t="str">
        <f t="shared" ref="B145" si="55">B68</f>
        <v>Attic</v>
      </c>
      <c r="C145" s="41">
        <f t="shared" ref="C145:F145" si="56">C68</f>
        <v>1215.2598734927806</v>
      </c>
      <c r="D145" s="41">
        <f t="shared" si="56"/>
        <v>324</v>
      </c>
      <c r="E145" s="41">
        <f t="shared" si="56"/>
        <v>324</v>
      </c>
      <c r="F145" s="41">
        <f t="shared" si="56"/>
        <v>1283.6447931566927</v>
      </c>
      <c r="G145"/>
    </row>
    <row r="146" spans="2:8">
      <c r="B146" s="11" t="str">
        <f t="shared" ref="B146" si="57">B69</f>
        <v>Floor</v>
      </c>
      <c r="C146" s="115">
        <f t="shared" ref="C146:F146" si="58">C69</f>
        <v>1170.4040805548323</v>
      </c>
      <c r="D146" s="115">
        <f t="shared" si="58"/>
        <v>324</v>
      </c>
      <c r="E146" s="115">
        <f t="shared" si="58"/>
        <v>324</v>
      </c>
      <c r="F146" s="115">
        <f t="shared" si="58"/>
        <v>1260.8750821619999</v>
      </c>
      <c r="G146" s="114">
        <f t="shared" ref="G146:G147" si="59">SUMPRODUCT($C146:$F146,$P$11:$S$11)</f>
        <v>1005.0119568702257</v>
      </c>
      <c r="H146" t="s">
        <v>516</v>
      </c>
    </row>
    <row r="147" spans="2:8">
      <c r="B147" s="11" t="str">
        <f t="shared" ref="B147" si="60">B70</f>
        <v>Window</v>
      </c>
      <c r="C147" s="115">
        <f t="shared" ref="C147:F148" si="61">C70</f>
        <v>178.75425981367184</v>
      </c>
      <c r="D147" s="115">
        <f t="shared" si="61"/>
        <v>90.899999999999991</v>
      </c>
      <c r="E147" s="115">
        <f t="shared" si="61"/>
        <v>90.899999999999991</v>
      </c>
      <c r="F147" s="115">
        <f t="shared" si="61"/>
        <v>154.13247821047429</v>
      </c>
      <c r="G147" s="114">
        <f t="shared" si="59"/>
        <v>158.42104051602536</v>
      </c>
    </row>
    <row r="148" spans="2:8">
      <c r="B148" s="11" t="str">
        <f t="shared" ref="B148:F151" si="62">B71</f>
        <v>Home</v>
      </c>
      <c r="C148" s="41">
        <f t="shared" si="61"/>
        <v>1452.0153410322519</v>
      </c>
      <c r="D148" s="41">
        <f t="shared" si="61"/>
        <v>796</v>
      </c>
      <c r="E148" s="41">
        <f t="shared" si="61"/>
        <v>796</v>
      </c>
      <c r="F148" s="41">
        <f t="shared" si="61"/>
        <v>1261.5980408504911</v>
      </c>
      <c r="G148"/>
    </row>
    <row r="149" spans="2:8">
      <c r="B149" s="11" t="str">
        <f t="shared" si="62"/>
        <v>Lamps</v>
      </c>
      <c r="C149" s="41">
        <f t="shared" si="62"/>
        <v>61.3</v>
      </c>
      <c r="D149" s="41">
        <f t="shared" si="62"/>
        <v>20.2</v>
      </c>
      <c r="E149" s="41">
        <f t="shared" si="62"/>
        <v>20.2</v>
      </c>
      <c r="F149" s="41">
        <f t="shared" si="62"/>
        <v>38.5</v>
      </c>
      <c r="G149"/>
    </row>
    <row r="150" spans="2:8">
      <c r="B150" s="11" t="str">
        <f t="shared" si="62"/>
        <v>Fixtures</v>
      </c>
      <c r="C150" s="41">
        <f t="shared" si="62"/>
        <v>40.4</v>
      </c>
      <c r="D150" s="41">
        <f t="shared" si="62"/>
        <v>13.1</v>
      </c>
      <c r="E150" s="41">
        <f t="shared" si="62"/>
        <v>13.1</v>
      </c>
      <c r="F150" s="41">
        <f t="shared" si="62"/>
        <v>24.5</v>
      </c>
      <c r="G150"/>
    </row>
    <row r="151" spans="2:8">
      <c r="B151" s="11" t="str">
        <f t="shared" si="62"/>
        <v>Linear</v>
      </c>
      <c r="C151" s="41">
        <f t="shared" si="62"/>
        <v>3.9845000000000002</v>
      </c>
      <c r="D151" s="41">
        <f t="shared" si="62"/>
        <v>1.4</v>
      </c>
      <c r="E151" s="41">
        <f t="shared" si="62"/>
        <v>1.4</v>
      </c>
      <c r="F151" s="41">
        <f t="shared" si="62"/>
        <v>2.7720000000000002</v>
      </c>
      <c r="G151"/>
    </row>
    <row r="152" spans="2:8">
      <c r="G152"/>
    </row>
    <row r="153" spans="2:8">
      <c r="G153"/>
    </row>
    <row r="154" spans="2:8">
      <c r="G154"/>
    </row>
    <row r="155" spans="2:8">
      <c r="G155"/>
    </row>
    <row r="156" spans="2:8">
      <c r="G156"/>
    </row>
    <row r="157" spans="2:8">
      <c r="G157"/>
    </row>
    <row r="158" spans="2:8">
      <c r="G158"/>
    </row>
    <row r="159" spans="2:8">
      <c r="G159"/>
    </row>
    <row r="160" spans="2:8">
      <c r="G160"/>
    </row>
    <row r="161" spans="7:7">
      <c r="G161"/>
    </row>
    <row r="162" spans="7:7">
      <c r="G162"/>
    </row>
    <row r="163" spans="7:7">
      <c r="G163"/>
    </row>
    <row r="164" spans="7:7">
      <c r="G164"/>
    </row>
    <row r="165" spans="7:7">
      <c r="G165"/>
    </row>
    <row r="166" spans="7:7">
      <c r="G166"/>
    </row>
    <row r="167" spans="7:7">
      <c r="G167"/>
    </row>
    <row r="168" spans="7:7">
      <c r="G168"/>
    </row>
    <row r="169" spans="7:7">
      <c r="G169"/>
    </row>
    <row r="170" spans="7:7">
      <c r="G170"/>
    </row>
    <row r="171" spans="7:7">
      <c r="G171"/>
    </row>
    <row r="172" spans="7:7">
      <c r="G172"/>
    </row>
    <row r="173" spans="7:7">
      <c r="G173"/>
    </row>
    <row r="174" spans="7:7">
      <c r="G174"/>
    </row>
    <row r="175" spans="7:7">
      <c r="G175"/>
    </row>
    <row r="176" spans="7:7">
      <c r="G176"/>
    </row>
    <row r="177" spans="7:7">
      <c r="G177"/>
    </row>
    <row r="178" spans="7:7">
      <c r="G178"/>
    </row>
    <row r="179" spans="7:7">
      <c r="G179"/>
    </row>
    <row r="180" spans="7:7">
      <c r="G180"/>
    </row>
    <row r="181" spans="7:7">
      <c r="G181"/>
    </row>
    <row r="182" spans="7:7">
      <c r="G182"/>
    </row>
    <row r="183" spans="7:7">
      <c r="G183"/>
    </row>
    <row r="184" spans="7:7">
      <c r="G184"/>
    </row>
    <row r="185" spans="7:7">
      <c r="G185"/>
    </row>
    <row r="186" spans="7:7">
      <c r="G186"/>
    </row>
    <row r="187" spans="7:7">
      <c r="G187"/>
    </row>
    <row r="188" spans="7:7">
      <c r="G188"/>
    </row>
    <row r="189" spans="7:7">
      <c r="G189"/>
    </row>
    <row r="190" spans="7:7">
      <c r="G190"/>
    </row>
    <row r="191" spans="7:7">
      <c r="G191"/>
    </row>
    <row r="192" spans="7:7">
      <c r="G192"/>
    </row>
    <row r="193" spans="7:7">
      <c r="G193"/>
    </row>
    <row r="194" spans="7:7">
      <c r="G194"/>
    </row>
    <row r="195" spans="7:7">
      <c r="G195"/>
    </row>
    <row r="196" spans="7:7">
      <c r="G196"/>
    </row>
    <row r="197" spans="7:7">
      <c r="G197"/>
    </row>
    <row r="198" spans="7:7">
      <c r="G198"/>
    </row>
    <row r="199" spans="7:7">
      <c r="G199"/>
    </row>
    <row r="200" spans="7:7">
      <c r="G200"/>
    </row>
    <row r="201" spans="7:7">
      <c r="G201"/>
    </row>
    <row r="202" spans="7:7">
      <c r="G202"/>
    </row>
    <row r="203" spans="7:7">
      <c r="G203"/>
    </row>
    <row r="204" spans="7:7">
      <c r="G204"/>
    </row>
    <row r="205" spans="7:7">
      <c r="G205"/>
    </row>
    <row r="206" spans="7:7">
      <c r="G206"/>
    </row>
    <row r="207" spans="7:7">
      <c r="G207"/>
    </row>
    <row r="208" spans="7:7">
      <c r="G208"/>
    </row>
    <row r="209" spans="7:7">
      <c r="G209"/>
    </row>
    <row r="210" spans="7:7">
      <c r="G210"/>
    </row>
    <row r="211" spans="7:7">
      <c r="G211"/>
    </row>
    <row r="212" spans="7:7">
      <c r="G212"/>
    </row>
    <row r="213" spans="7:7">
      <c r="G213"/>
    </row>
    <row r="214" spans="7:7">
      <c r="G214"/>
    </row>
    <row r="215" spans="7:7">
      <c r="G215"/>
    </row>
    <row r="216" spans="7:7">
      <c r="G216"/>
    </row>
    <row r="217" spans="7:7">
      <c r="G217"/>
    </row>
    <row r="218" spans="7:7">
      <c r="G218"/>
    </row>
    <row r="219" spans="7:7">
      <c r="G219"/>
    </row>
    <row r="220" spans="7:7">
      <c r="G220"/>
    </row>
    <row r="221" spans="7:7">
      <c r="G221"/>
    </row>
    <row r="222" spans="7:7">
      <c r="G222"/>
    </row>
    <row r="223" spans="7:7">
      <c r="G223"/>
    </row>
    <row r="224" spans="7:7">
      <c r="G224"/>
    </row>
    <row r="225" spans="7:7">
      <c r="G225"/>
    </row>
    <row r="226" spans="7:7">
      <c r="G226"/>
    </row>
    <row r="227" spans="7:7">
      <c r="G227"/>
    </row>
    <row r="228" spans="7:7">
      <c r="G228"/>
    </row>
    <row r="229" spans="7:7">
      <c r="G229"/>
    </row>
    <row r="230" spans="7:7">
      <c r="G230"/>
    </row>
    <row r="231" spans="7:7">
      <c r="G231"/>
    </row>
    <row r="232" spans="7:7">
      <c r="G232"/>
    </row>
    <row r="233" spans="7:7">
      <c r="G233"/>
    </row>
    <row r="234" spans="7:7">
      <c r="G234"/>
    </row>
    <row r="235" spans="7:7">
      <c r="G235"/>
    </row>
    <row r="236" spans="7:7">
      <c r="G236"/>
    </row>
    <row r="237" spans="7:7">
      <c r="G237"/>
    </row>
    <row r="238" spans="7:7">
      <c r="G238"/>
    </row>
    <row r="239" spans="7:7">
      <c r="G239"/>
    </row>
    <row r="240" spans="7:7">
      <c r="G240"/>
    </row>
    <row r="241" spans="7:7">
      <c r="G241"/>
    </row>
    <row r="242" spans="7:7">
      <c r="G242"/>
    </row>
    <row r="243" spans="7:7">
      <c r="G243"/>
    </row>
    <row r="244" spans="7:7">
      <c r="G244"/>
    </row>
    <row r="245" spans="7:7">
      <c r="G245"/>
    </row>
    <row r="246" spans="7:7">
      <c r="G246"/>
    </row>
    <row r="247" spans="7:7">
      <c r="G247"/>
    </row>
    <row r="248" spans="7:7">
      <c r="G248"/>
    </row>
    <row r="249" spans="7:7">
      <c r="G249"/>
    </row>
    <row r="250" spans="7:7">
      <c r="G250"/>
    </row>
    <row r="251" spans="7:7">
      <c r="G251"/>
    </row>
    <row r="252" spans="7:7">
      <c r="G252"/>
    </row>
    <row r="253" spans="7:7">
      <c r="G253"/>
    </row>
    <row r="254" spans="7:7">
      <c r="G254"/>
    </row>
    <row r="255" spans="7:7">
      <c r="G255"/>
    </row>
    <row r="256" spans="7:7">
      <c r="G256"/>
    </row>
    <row r="257" spans="7:7">
      <c r="G257"/>
    </row>
    <row r="258" spans="7:7">
      <c r="G258"/>
    </row>
    <row r="259" spans="7:7">
      <c r="G259"/>
    </row>
    <row r="260" spans="7:7">
      <c r="G260"/>
    </row>
    <row r="261" spans="7:7">
      <c r="G261"/>
    </row>
    <row r="262" spans="7:7">
      <c r="G262"/>
    </row>
    <row r="263" spans="7:7">
      <c r="G263"/>
    </row>
    <row r="264" spans="7:7">
      <c r="G264"/>
    </row>
    <row r="265" spans="7:7">
      <c r="G265"/>
    </row>
    <row r="266" spans="7:7">
      <c r="G266"/>
    </row>
    <row r="267" spans="7:7">
      <c r="G267"/>
    </row>
    <row r="268" spans="7:7">
      <c r="G268"/>
    </row>
    <row r="269" spans="7:7">
      <c r="G269"/>
    </row>
    <row r="270" spans="7:7">
      <c r="G270"/>
    </row>
    <row r="271" spans="7:7">
      <c r="G271"/>
    </row>
    <row r="272" spans="7:7">
      <c r="G272"/>
    </row>
    <row r="273" spans="7:7">
      <c r="G273"/>
    </row>
    <row r="274" spans="7:7">
      <c r="G274"/>
    </row>
    <row r="275" spans="7:7">
      <c r="G275"/>
    </row>
    <row r="276" spans="7:7">
      <c r="G276"/>
    </row>
    <row r="277" spans="7:7">
      <c r="G277"/>
    </row>
    <row r="278" spans="7:7">
      <c r="G278"/>
    </row>
    <row r="279" spans="7:7">
      <c r="G279"/>
    </row>
    <row r="280" spans="7:7">
      <c r="G280"/>
    </row>
    <row r="281" spans="7:7">
      <c r="G281"/>
    </row>
    <row r="282" spans="7:7">
      <c r="G282"/>
    </row>
    <row r="283" spans="7:7">
      <c r="G283"/>
    </row>
    <row r="284" spans="7:7">
      <c r="G284"/>
    </row>
    <row r="285" spans="7:7">
      <c r="G285"/>
    </row>
    <row r="286" spans="7:7">
      <c r="G286"/>
    </row>
    <row r="287" spans="7:7">
      <c r="G287"/>
    </row>
    <row r="288" spans="7:7">
      <c r="G288"/>
    </row>
    <row r="289" spans="7:7">
      <c r="G289"/>
    </row>
    <row r="290" spans="7:7">
      <c r="G290"/>
    </row>
    <row r="291" spans="7:7">
      <c r="G291"/>
    </row>
    <row r="292" spans="7:7">
      <c r="G292"/>
    </row>
    <row r="293" spans="7:7">
      <c r="G293"/>
    </row>
    <row r="294" spans="7:7">
      <c r="G294"/>
    </row>
    <row r="295" spans="7:7">
      <c r="G295"/>
    </row>
    <row r="296" spans="7:7">
      <c r="G296"/>
    </row>
    <row r="297" spans="7:7">
      <c r="G297"/>
    </row>
    <row r="298" spans="7:7">
      <c r="G298"/>
    </row>
    <row r="299" spans="7:7">
      <c r="G299"/>
    </row>
    <row r="300" spans="7:7">
      <c r="G300"/>
    </row>
    <row r="301" spans="7:7">
      <c r="G301"/>
    </row>
    <row r="302" spans="7:7">
      <c r="G302"/>
    </row>
    <row r="303" spans="7:7">
      <c r="G303"/>
    </row>
    <row r="304" spans="7:7">
      <c r="G304"/>
    </row>
    <row r="305" spans="7:7">
      <c r="G305"/>
    </row>
    <row r="306" spans="7:7">
      <c r="G306"/>
    </row>
    <row r="307" spans="7:7">
      <c r="G307"/>
    </row>
    <row r="308" spans="7:7">
      <c r="G308"/>
    </row>
    <row r="309" spans="7:7">
      <c r="G309"/>
    </row>
    <row r="310" spans="7:7">
      <c r="G310"/>
    </row>
    <row r="311" spans="7:7">
      <c r="G311"/>
    </row>
    <row r="312" spans="7:7">
      <c r="G312"/>
    </row>
    <row r="313" spans="7:7">
      <c r="G313"/>
    </row>
    <row r="314" spans="7:7">
      <c r="G314"/>
    </row>
    <row r="315" spans="7:7">
      <c r="G315"/>
    </row>
    <row r="316" spans="7:7">
      <c r="G316"/>
    </row>
    <row r="317" spans="7:7">
      <c r="G317"/>
    </row>
    <row r="318" spans="7:7">
      <c r="G318"/>
    </row>
    <row r="319" spans="7:7">
      <c r="G319"/>
    </row>
    <row r="320" spans="7:7">
      <c r="G320"/>
    </row>
    <row r="321" spans="7:7">
      <c r="G321"/>
    </row>
    <row r="322" spans="7:7">
      <c r="G322"/>
    </row>
    <row r="323" spans="7:7">
      <c r="G323"/>
    </row>
    <row r="324" spans="7:7">
      <c r="G324"/>
    </row>
    <row r="325" spans="7:7">
      <c r="G325"/>
    </row>
    <row r="326" spans="7:7">
      <c r="G326"/>
    </row>
    <row r="327" spans="7:7">
      <c r="G327"/>
    </row>
    <row r="328" spans="7:7">
      <c r="G328"/>
    </row>
    <row r="329" spans="7:7">
      <c r="G329"/>
    </row>
    <row r="330" spans="7:7">
      <c r="G330"/>
    </row>
    <row r="331" spans="7:7">
      <c r="G331"/>
    </row>
    <row r="332" spans="7:7">
      <c r="G332"/>
    </row>
    <row r="333" spans="7:7">
      <c r="G333"/>
    </row>
    <row r="334" spans="7:7">
      <c r="G334"/>
    </row>
    <row r="335" spans="7:7">
      <c r="G335"/>
    </row>
    <row r="336" spans="7:7">
      <c r="G336"/>
    </row>
    <row r="337" spans="7:7">
      <c r="G337"/>
    </row>
    <row r="338" spans="7:7">
      <c r="G338"/>
    </row>
    <row r="339" spans="7:7">
      <c r="G339"/>
    </row>
    <row r="340" spans="7:7">
      <c r="G340"/>
    </row>
    <row r="341" spans="7:7">
      <c r="G341"/>
    </row>
    <row r="342" spans="7:7">
      <c r="G342"/>
    </row>
    <row r="343" spans="7:7">
      <c r="G343"/>
    </row>
    <row r="344" spans="7:7">
      <c r="G344"/>
    </row>
    <row r="345" spans="7:7">
      <c r="G345"/>
    </row>
    <row r="346" spans="7:7">
      <c r="G346"/>
    </row>
    <row r="347" spans="7:7">
      <c r="G347"/>
    </row>
    <row r="348" spans="7:7">
      <c r="G348"/>
    </row>
    <row r="349" spans="7:7">
      <c r="G349"/>
    </row>
    <row r="350" spans="7:7">
      <c r="G350"/>
    </row>
    <row r="351" spans="7:7">
      <c r="G351"/>
    </row>
    <row r="352" spans="7:7">
      <c r="G352"/>
    </row>
    <row r="353" spans="7:7">
      <c r="G353"/>
    </row>
    <row r="354" spans="7:7">
      <c r="G354"/>
    </row>
    <row r="355" spans="7:7">
      <c r="G355"/>
    </row>
    <row r="356" spans="7:7">
      <c r="G356"/>
    </row>
    <row r="357" spans="7:7">
      <c r="G357"/>
    </row>
    <row r="358" spans="7:7">
      <c r="G358"/>
    </row>
    <row r="359" spans="7:7">
      <c r="G359"/>
    </row>
    <row r="360" spans="7:7">
      <c r="G360"/>
    </row>
    <row r="361" spans="7:7">
      <c r="G361"/>
    </row>
    <row r="362" spans="7:7">
      <c r="G362"/>
    </row>
    <row r="363" spans="7:7">
      <c r="G363"/>
    </row>
    <row r="364" spans="7:7">
      <c r="G364"/>
    </row>
    <row r="365" spans="7:7">
      <c r="G365"/>
    </row>
    <row r="366" spans="7:7">
      <c r="G366"/>
    </row>
    <row r="367" spans="7:7">
      <c r="G367"/>
    </row>
    <row r="368" spans="7:7">
      <c r="G368"/>
    </row>
    <row r="369" spans="7:7">
      <c r="G369"/>
    </row>
    <row r="370" spans="7:7">
      <c r="G370"/>
    </row>
    <row r="371" spans="7:7">
      <c r="G371"/>
    </row>
    <row r="372" spans="7:7">
      <c r="G372"/>
    </row>
  </sheetData>
  <mergeCells count="2">
    <mergeCell ref="P57:P58"/>
    <mergeCell ref="Q57:S57"/>
  </mergeCells>
  <phoneticPr fontId="0" type="noConversion"/>
  <pageMargins left="0.75" right="0.75" top="1" bottom="1" header="0.5" footer="0.5"/>
  <pageSetup scale="61" fitToHeight="0" orientation="landscape" r:id="rId1"/>
  <headerFooter alignWithMargins="0">
    <oddFooter xml:space="preserve">&amp;L&amp;D &amp;T&amp;C&amp;P of &amp;N&amp;R&amp;F &amp;A  </oddFooter>
  </headerFooter>
  <rowBreaks count="4" manualBreakCount="4">
    <brk id="68" max="19" man="1"/>
    <brk id="72" max="19" man="1"/>
    <brk id="90" max="19" man="1"/>
    <brk id="144"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C128"/>
  <sheetViews>
    <sheetView topLeftCell="A46" workbookViewId="0">
      <selection activeCell="A62" sqref="A62"/>
    </sheetView>
  </sheetViews>
  <sheetFormatPr defaultRowHeight="12.75"/>
  <cols>
    <col min="1" max="1" width="22.85546875" customWidth="1"/>
    <col min="2" max="2" width="111.5703125" customWidth="1"/>
    <col min="4" max="4" width="17.7109375" customWidth="1"/>
  </cols>
  <sheetData>
    <row r="1" spans="1:3">
      <c r="A1" t="s">
        <v>70</v>
      </c>
      <c r="B1" t="s">
        <v>85</v>
      </c>
    </row>
    <row r="5" spans="1:3">
      <c r="A5" s="55" t="s">
        <v>69</v>
      </c>
      <c r="B5" s="5" t="s">
        <v>71</v>
      </c>
      <c r="C5" s="5" t="s">
        <v>38</v>
      </c>
    </row>
    <row r="6" spans="1:3">
      <c r="A6" s="71" t="s">
        <v>114</v>
      </c>
      <c r="B6" t="s">
        <v>134</v>
      </c>
      <c r="C6" s="1"/>
    </row>
    <row r="7" spans="1:3">
      <c r="A7" s="71" t="s">
        <v>177</v>
      </c>
      <c r="B7" t="s">
        <v>333</v>
      </c>
      <c r="C7" s="1"/>
    </row>
    <row r="8" spans="1:3">
      <c r="A8" s="71" t="s">
        <v>178</v>
      </c>
      <c r="B8" t="s">
        <v>334</v>
      </c>
      <c r="C8" s="1"/>
    </row>
    <row r="9" spans="1:3">
      <c r="A9" s="71" t="s">
        <v>179</v>
      </c>
      <c r="B9" t="s">
        <v>335</v>
      </c>
      <c r="C9" s="1"/>
    </row>
    <row r="10" spans="1:3">
      <c r="A10" s="71" t="s">
        <v>115</v>
      </c>
      <c r="B10" t="s">
        <v>336</v>
      </c>
      <c r="C10" s="1"/>
    </row>
    <row r="11" spans="1:3">
      <c r="A11" s="71" t="s">
        <v>180</v>
      </c>
      <c r="B11" t="s">
        <v>337</v>
      </c>
      <c r="C11" s="1"/>
    </row>
    <row r="12" spans="1:3">
      <c r="A12" s="71" t="s">
        <v>195</v>
      </c>
      <c r="B12" t="s">
        <v>338</v>
      </c>
      <c r="C12" s="1"/>
    </row>
    <row r="13" spans="1:3">
      <c r="A13" s="71" t="s">
        <v>116</v>
      </c>
      <c r="B13" t="s">
        <v>339</v>
      </c>
      <c r="C13" s="1"/>
    </row>
    <row r="14" spans="1:3">
      <c r="A14" s="71" t="s">
        <v>181</v>
      </c>
      <c r="B14" t="s">
        <v>340</v>
      </c>
      <c r="C14" s="1"/>
    </row>
    <row r="15" spans="1:3">
      <c r="A15" s="71" t="s">
        <v>182</v>
      </c>
      <c r="B15" t="s">
        <v>341</v>
      </c>
      <c r="C15" s="1"/>
    </row>
    <row r="16" spans="1:3">
      <c r="A16" s="71" t="s">
        <v>183</v>
      </c>
      <c r="B16" t="s">
        <v>342</v>
      </c>
      <c r="C16" s="1"/>
    </row>
    <row r="17" spans="1:3">
      <c r="A17" s="71" t="s">
        <v>117</v>
      </c>
      <c r="B17" t="s">
        <v>343</v>
      </c>
      <c r="C17" s="1"/>
    </row>
    <row r="18" spans="1:3">
      <c r="A18" s="71" t="s">
        <v>184</v>
      </c>
      <c r="B18" t="s">
        <v>344</v>
      </c>
      <c r="C18" s="1"/>
    </row>
    <row r="19" spans="1:3">
      <c r="A19" s="71" t="s">
        <v>185</v>
      </c>
      <c r="B19" t="s">
        <v>345</v>
      </c>
      <c r="C19" s="1"/>
    </row>
    <row r="20" spans="1:3">
      <c r="A20" s="71" t="s">
        <v>186</v>
      </c>
      <c r="B20" t="s">
        <v>346</v>
      </c>
      <c r="C20" s="1"/>
    </row>
    <row r="21" spans="1:3">
      <c r="A21" s="71" t="s">
        <v>193</v>
      </c>
      <c r="B21" t="s">
        <v>347</v>
      </c>
      <c r="C21" s="1"/>
    </row>
    <row r="22" spans="1:3">
      <c r="A22" s="71" t="s">
        <v>194</v>
      </c>
      <c r="B22" t="s">
        <v>348</v>
      </c>
      <c r="C22" s="1"/>
    </row>
    <row r="23" spans="1:3">
      <c r="A23" s="71" t="s">
        <v>196</v>
      </c>
      <c r="B23" t="s">
        <v>349</v>
      </c>
      <c r="C23" s="1"/>
    </row>
    <row r="24" spans="1:3">
      <c r="A24" s="71" t="s">
        <v>118</v>
      </c>
      <c r="B24" t="s">
        <v>134</v>
      </c>
      <c r="C24" s="1"/>
    </row>
    <row r="25" spans="1:3">
      <c r="A25" s="71" t="s">
        <v>187</v>
      </c>
      <c r="B25" t="s">
        <v>333</v>
      </c>
      <c r="C25" s="1"/>
    </row>
    <row r="26" spans="1:3">
      <c r="A26" s="71" t="s">
        <v>188</v>
      </c>
      <c r="B26" t="s">
        <v>334</v>
      </c>
      <c r="C26" s="1"/>
    </row>
    <row r="27" spans="1:3">
      <c r="A27" s="71" t="s">
        <v>189</v>
      </c>
      <c r="B27" t="s">
        <v>335</v>
      </c>
      <c r="C27" s="1"/>
    </row>
    <row r="28" spans="1:3">
      <c r="A28" s="71" t="s">
        <v>119</v>
      </c>
      <c r="B28" t="s">
        <v>336</v>
      </c>
      <c r="C28" s="1"/>
    </row>
    <row r="29" spans="1:3">
      <c r="A29" s="71" t="s">
        <v>190</v>
      </c>
      <c r="B29" t="s">
        <v>337</v>
      </c>
      <c r="C29" s="1"/>
    </row>
    <row r="30" spans="1:3">
      <c r="A30" s="71" t="s">
        <v>197</v>
      </c>
      <c r="B30" t="s">
        <v>338</v>
      </c>
      <c r="C30" s="1"/>
    </row>
    <row r="31" spans="1:3">
      <c r="A31" s="71" t="s">
        <v>198</v>
      </c>
      <c r="B31" t="s">
        <v>350</v>
      </c>
      <c r="C31" s="1"/>
    </row>
    <row r="32" spans="1:3">
      <c r="A32" s="71" t="s">
        <v>199</v>
      </c>
      <c r="B32" t="s">
        <v>351</v>
      </c>
      <c r="C32" s="1"/>
    </row>
    <row r="33" spans="1:3">
      <c r="A33" s="71" t="s">
        <v>200</v>
      </c>
      <c r="B33" t="s">
        <v>352</v>
      </c>
      <c r="C33" s="1"/>
    </row>
    <row r="34" spans="1:3">
      <c r="A34" s="71" t="s">
        <v>201</v>
      </c>
      <c r="B34" t="s">
        <v>353</v>
      </c>
      <c r="C34" s="1"/>
    </row>
    <row r="35" spans="1:3">
      <c r="A35" s="71" t="s">
        <v>202</v>
      </c>
      <c r="B35" t="s">
        <v>354</v>
      </c>
      <c r="C35" s="1"/>
    </row>
    <row r="36" spans="1:3">
      <c r="A36" s="71" t="s">
        <v>203</v>
      </c>
      <c r="B36" t="s">
        <v>355</v>
      </c>
      <c r="C36" s="1"/>
    </row>
    <row r="37" spans="1:3">
      <c r="A37" s="71" t="s">
        <v>204</v>
      </c>
      <c r="B37" t="s">
        <v>356</v>
      </c>
      <c r="C37" s="1"/>
    </row>
    <row r="38" spans="1:3">
      <c r="A38" s="71" t="s">
        <v>120</v>
      </c>
      <c r="B38" t="s">
        <v>357</v>
      </c>
      <c r="C38" s="1"/>
    </row>
    <row r="39" spans="1:3">
      <c r="A39" s="71" t="s">
        <v>191</v>
      </c>
      <c r="B39" t="s">
        <v>358</v>
      </c>
      <c r="C39" s="1"/>
    </row>
    <row r="40" spans="1:3">
      <c r="A40" s="72" t="s">
        <v>121</v>
      </c>
      <c r="B40" t="s">
        <v>359</v>
      </c>
      <c r="C40" s="1"/>
    </row>
    <row r="41" spans="1:3">
      <c r="A41" s="72" t="s">
        <v>192</v>
      </c>
      <c r="B41" t="s">
        <v>360</v>
      </c>
      <c r="C41" s="1"/>
    </row>
    <row r="42" spans="1:3">
      <c r="A42" s="72" t="s">
        <v>213</v>
      </c>
      <c r="B42" t="s">
        <v>361</v>
      </c>
      <c r="C42" s="1"/>
    </row>
    <row r="43" spans="1:3">
      <c r="A43" s="72" t="s">
        <v>497</v>
      </c>
      <c r="B43" t="s">
        <v>494</v>
      </c>
      <c r="C43" s="1"/>
    </row>
    <row r="44" spans="1:3">
      <c r="A44" s="72" t="s">
        <v>496</v>
      </c>
      <c r="B44" t="s">
        <v>495</v>
      </c>
      <c r="C44" s="1"/>
    </row>
    <row r="45" spans="1:3">
      <c r="A45" s="72"/>
      <c r="C45" s="1"/>
    </row>
    <row r="46" spans="1:3">
      <c r="A46" s="72"/>
      <c r="C46" s="1"/>
    </row>
    <row r="47" spans="1:3">
      <c r="A47" s="72"/>
      <c r="C47" s="1"/>
    </row>
    <row r="48" spans="1:3">
      <c r="A48" s="72"/>
      <c r="C48" s="1"/>
    </row>
    <row r="49" spans="1:3">
      <c r="A49" s="72" t="str">
        <f>MLIST!B31</f>
        <v>Refrigerator</v>
      </c>
      <c r="B49" t="str">
        <f>CONCATENATE("Saturation of ",A49," in homes")</f>
        <v>Saturation of Refrigerator in homes</v>
      </c>
      <c r="C49" s="1"/>
    </row>
    <row r="50" spans="1:3">
      <c r="A50" s="72" t="str">
        <f>MLIST!B33</f>
        <v>Freezer</v>
      </c>
      <c r="B50" t="str">
        <f t="shared" ref="B50:B59" si="0">CONCATENATE("Saturation of ",A50," in homes")</f>
        <v>Saturation of Freezer in homes</v>
      </c>
      <c r="C50" s="1"/>
    </row>
    <row r="51" spans="1:3">
      <c r="A51" s="72" t="str">
        <f>MLIST!B14</f>
        <v>Clothes Washer</v>
      </c>
      <c r="B51" t="str">
        <f t="shared" si="0"/>
        <v>Saturation of Clothes Washer in homes</v>
      </c>
      <c r="C51" s="1"/>
    </row>
    <row r="52" spans="1:3">
      <c r="A52" s="72" t="str">
        <f>MLIST!B29</f>
        <v>Clothes Dryer</v>
      </c>
      <c r="B52" t="str">
        <f t="shared" si="0"/>
        <v>Saturation of Clothes Dryer in homes</v>
      </c>
      <c r="C52" s="1"/>
    </row>
    <row r="53" spans="1:3">
      <c r="A53" s="72" t="str">
        <f>MLIST!B12</f>
        <v>Dishwasher</v>
      </c>
      <c r="B53" t="str">
        <f t="shared" si="0"/>
        <v>Saturation of Dishwasher in homes</v>
      </c>
      <c r="C53" s="1"/>
    </row>
    <row r="54" spans="1:3">
      <c r="A54" s="72" t="str">
        <f>MLIST!B37</f>
        <v>Microwave</v>
      </c>
      <c r="B54" t="str">
        <f t="shared" si="0"/>
        <v>Saturation of Microwave in homes</v>
      </c>
      <c r="C54" s="1"/>
    </row>
    <row r="55" spans="1:3">
      <c r="A55" s="72" t="str">
        <f>MLIST!B36</f>
        <v>Electric Oven</v>
      </c>
      <c r="B55" t="str">
        <f t="shared" si="0"/>
        <v>Saturation of Electric Oven in homes</v>
      </c>
      <c r="C55" s="1"/>
    </row>
    <row r="56" spans="1:3">
      <c r="A56" s="73" t="s">
        <v>392</v>
      </c>
      <c r="B56" t="str">
        <f t="shared" si="0"/>
        <v>Saturation of UHD TV in homes</v>
      </c>
      <c r="C56" s="1"/>
    </row>
    <row r="57" spans="1:3">
      <c r="A57" s="73" t="s">
        <v>126</v>
      </c>
      <c r="B57" t="str">
        <f t="shared" si="0"/>
        <v>Saturation of Set top box in homes</v>
      </c>
      <c r="C57" s="1"/>
    </row>
    <row r="58" spans="1:3">
      <c r="A58" s="73" t="str">
        <f>MLIST!B46</f>
        <v>Computer</v>
      </c>
      <c r="B58" t="str">
        <f t="shared" si="0"/>
        <v>Saturation of Computer in homes</v>
      </c>
      <c r="C58" s="1"/>
    </row>
    <row r="59" spans="1:3">
      <c r="A59" s="73" t="str">
        <f>MLIST!B40</f>
        <v>Monitor</v>
      </c>
      <c r="B59" t="str">
        <f t="shared" si="0"/>
        <v>Saturation of Monitor in homes</v>
      </c>
      <c r="C59" s="1"/>
    </row>
    <row r="60" spans="1:3">
      <c r="A60" s="73"/>
      <c r="C60" s="1"/>
    </row>
    <row r="61" spans="1:3">
      <c r="A61" s="73" t="s">
        <v>550</v>
      </c>
      <c r="B61" t="s">
        <v>551</v>
      </c>
      <c r="C61" s="1"/>
    </row>
    <row r="62" spans="1:3">
      <c r="A62" s="73" t="s">
        <v>544</v>
      </c>
      <c r="B62" t="s">
        <v>363</v>
      </c>
    </row>
    <row r="63" spans="1:3">
      <c r="A63" s="73" t="s">
        <v>545</v>
      </c>
      <c r="B63" t="s">
        <v>362</v>
      </c>
    </row>
    <row r="64" spans="1:3">
      <c r="A64" s="73" t="s">
        <v>546</v>
      </c>
      <c r="B64" t="s">
        <v>364</v>
      </c>
    </row>
    <row r="65" spans="1:2">
      <c r="A65" s="73" t="s">
        <v>547</v>
      </c>
      <c r="B65" t="s">
        <v>365</v>
      </c>
    </row>
    <row r="66" spans="1:2">
      <c r="A66" s="73" t="s">
        <v>139</v>
      </c>
      <c r="B66" t="s">
        <v>366</v>
      </c>
    </row>
    <row r="67" spans="1:2">
      <c r="A67" s="73" t="str">
        <f>MLIST!B10</f>
        <v>Pin Lamps</v>
      </c>
      <c r="B67" t="s">
        <v>367</v>
      </c>
    </row>
    <row r="68" spans="1:2">
      <c r="A68" s="73"/>
    </row>
    <row r="70" spans="1:2">
      <c r="A70" s="77" t="s">
        <v>207</v>
      </c>
    </row>
    <row r="71" spans="1:2">
      <c r="A71" s="71" t="str">
        <f>A6</f>
        <v>Electric FAF - HZ1CZ1</v>
      </c>
    </row>
    <row r="72" spans="1:2">
      <c r="A72" s="71" t="str">
        <f t="shared" ref="A72:A107" si="1">A7</f>
        <v>Electric FAF - HZ1CZ23</v>
      </c>
    </row>
    <row r="73" spans="1:2">
      <c r="A73" s="71" t="str">
        <f t="shared" si="1"/>
        <v>Electric FAF - HZ23CZ1</v>
      </c>
    </row>
    <row r="74" spans="1:2">
      <c r="A74" s="71" t="str">
        <f t="shared" si="1"/>
        <v>Electric FAF - HZ23CZ23</v>
      </c>
    </row>
    <row r="75" spans="1:2">
      <c r="A75" s="71" t="str">
        <f t="shared" si="1"/>
        <v>Electric FAF - HZ1</v>
      </c>
    </row>
    <row r="76" spans="1:2">
      <c r="A76" s="71" t="str">
        <f t="shared" si="1"/>
        <v>Electric FAF - HZ23</v>
      </c>
    </row>
    <row r="77" spans="1:2">
      <c r="A77" s="71" t="str">
        <f t="shared" si="1"/>
        <v>Electric FAF - Region</v>
      </c>
    </row>
    <row r="78" spans="1:2">
      <c r="A78" s="71" t="str">
        <f t="shared" si="1"/>
        <v>Electric FAF w/ CAC - HZ1CZ1</v>
      </c>
    </row>
    <row r="79" spans="1:2">
      <c r="A79" s="71" t="str">
        <f t="shared" si="1"/>
        <v>Electric FAF w/ CAC - HZ1CZ23</v>
      </c>
    </row>
    <row r="80" spans="1:2">
      <c r="A80" s="71" t="str">
        <f t="shared" si="1"/>
        <v>Electric FAF w/ CAC - HZ23CZ1</v>
      </c>
    </row>
    <row r="81" spans="1:1">
      <c r="A81" s="71" t="str">
        <f t="shared" si="1"/>
        <v>Electric FAF w/ CAC - HZ23CZ23</v>
      </c>
    </row>
    <row r="82" spans="1:1">
      <c r="A82" s="71" t="str">
        <f t="shared" si="1"/>
        <v>Heat Pump - HZ1CZ1</v>
      </c>
    </row>
    <row r="83" spans="1:1">
      <c r="A83" s="71" t="str">
        <f t="shared" si="1"/>
        <v>Heat Pump - HZ1CZ23</v>
      </c>
    </row>
    <row r="84" spans="1:1">
      <c r="A84" s="71" t="str">
        <f t="shared" si="1"/>
        <v>Heat Pump - HZ23CZ1</v>
      </c>
    </row>
    <row r="85" spans="1:1">
      <c r="A85" s="71" t="str">
        <f t="shared" si="1"/>
        <v>Heat Pump - HZ23CZ23</v>
      </c>
    </row>
    <row r="86" spans="1:1">
      <c r="A86" s="71" t="str">
        <f t="shared" si="1"/>
        <v>Heat Pump - HZ1</v>
      </c>
    </row>
    <row r="87" spans="1:1">
      <c r="A87" s="71" t="str">
        <f t="shared" si="1"/>
        <v>Heat Pump - HZ23</v>
      </c>
    </row>
    <row r="88" spans="1:1">
      <c r="A88" s="71" t="str">
        <f t="shared" si="1"/>
        <v>Heat Pump - Region</v>
      </c>
    </row>
    <row r="89" spans="1:1">
      <c r="A89" s="71" t="str">
        <f t="shared" si="1"/>
        <v>Electric Zonal - HZ1CZ1</v>
      </c>
    </row>
    <row r="90" spans="1:1">
      <c r="A90" s="71" t="str">
        <f t="shared" si="1"/>
        <v>Electric Zonal - HZ1CZ23</v>
      </c>
    </row>
    <row r="91" spans="1:1">
      <c r="A91" s="71" t="str">
        <f t="shared" si="1"/>
        <v>Electric Zonal - HZ23CZ1</v>
      </c>
    </row>
    <row r="92" spans="1:1">
      <c r="A92" s="71" t="str">
        <f t="shared" si="1"/>
        <v>Electric Zonal - HZ23CZ23</v>
      </c>
    </row>
    <row r="93" spans="1:1">
      <c r="A93" s="71" t="str">
        <f t="shared" si="1"/>
        <v>Electric Zonal - HZ1</v>
      </c>
    </row>
    <row r="94" spans="1:1">
      <c r="A94" s="71" t="str">
        <f t="shared" si="1"/>
        <v>Electric Zonal - HZ23</v>
      </c>
    </row>
    <row r="95" spans="1:1">
      <c r="A95" s="71" t="str">
        <f t="shared" si="1"/>
        <v>Electric Zonal - Region</v>
      </c>
    </row>
    <row r="96" spans="1:1">
      <c r="A96" s="71" t="str">
        <f t="shared" si="1"/>
        <v>DHP - HZ1CZ1</v>
      </c>
    </row>
    <row r="97" spans="1:1">
      <c r="A97" s="71" t="str">
        <f t="shared" si="1"/>
        <v>DHP - HZ1CZ23</v>
      </c>
    </row>
    <row r="98" spans="1:1">
      <c r="A98" s="71" t="str">
        <f t="shared" si="1"/>
        <v>DHP - HZ23CZ1</v>
      </c>
    </row>
    <row r="99" spans="1:1">
      <c r="A99" s="71" t="str">
        <f t="shared" si="1"/>
        <v>DHP - HZ23CZ23</v>
      </c>
    </row>
    <row r="100" spans="1:1">
      <c r="A100" s="71" t="str">
        <f t="shared" si="1"/>
        <v>DHP - HZ1</v>
      </c>
    </row>
    <row r="101" spans="1:1">
      <c r="A101" s="71" t="str">
        <f t="shared" si="1"/>
        <v>DHP - HZ23</v>
      </c>
    </row>
    <row r="102" spans="1:1">
      <c r="A102" s="71" t="str">
        <f t="shared" si="1"/>
        <v>DHP - Region</v>
      </c>
    </row>
    <row r="103" spans="1:1">
      <c r="A103" s="71" t="str">
        <f t="shared" si="1"/>
        <v>Central AC - CZ1</v>
      </c>
    </row>
    <row r="104" spans="1:1">
      <c r="A104" s="71" t="str">
        <f t="shared" si="1"/>
        <v>Central AC - CZ23</v>
      </c>
    </row>
    <row r="105" spans="1:1">
      <c r="A105" s="71" t="str">
        <f t="shared" si="1"/>
        <v>Room A/C - CZ1</v>
      </c>
    </row>
    <row r="106" spans="1:1">
      <c r="A106" s="71" t="str">
        <f t="shared" si="1"/>
        <v>Room A/C - CZ23</v>
      </c>
    </row>
    <row r="107" spans="1:1">
      <c r="A107" s="71" t="str">
        <f t="shared" si="1"/>
        <v>Electric WH</v>
      </c>
    </row>
    <row r="108" spans="1:1">
      <c r="A108" s="72" t="s">
        <v>205</v>
      </c>
    </row>
    <row r="109" spans="1:1">
      <c r="A109" s="72" t="s">
        <v>206</v>
      </c>
    </row>
    <row r="110" spans="1:1">
      <c r="A110" s="72" t="str">
        <f>A49</f>
        <v>Refrigerator</v>
      </c>
    </row>
    <row r="111" spans="1:1">
      <c r="A111" s="72" t="str">
        <f t="shared" ref="A111:A128" si="2">A50</f>
        <v>Freezer</v>
      </c>
    </row>
    <row r="112" spans="1:1">
      <c r="A112" s="72" t="str">
        <f t="shared" si="2"/>
        <v>Clothes Washer</v>
      </c>
    </row>
    <row r="113" spans="1:1">
      <c r="A113" s="72" t="str">
        <f t="shared" si="2"/>
        <v>Clothes Dryer</v>
      </c>
    </row>
    <row r="114" spans="1:1">
      <c r="A114" s="72" t="str">
        <f t="shared" si="2"/>
        <v>Dishwasher</v>
      </c>
    </row>
    <row r="115" spans="1:1">
      <c r="A115" s="72" t="str">
        <f t="shared" si="2"/>
        <v>Microwave</v>
      </c>
    </row>
    <row r="116" spans="1:1">
      <c r="A116" s="72" t="str">
        <f t="shared" si="2"/>
        <v>Electric Oven</v>
      </c>
    </row>
    <row r="117" spans="1:1">
      <c r="A117" s="72" t="str">
        <f t="shared" si="2"/>
        <v>UHD TV</v>
      </c>
    </row>
    <row r="118" spans="1:1">
      <c r="A118" s="72" t="str">
        <f t="shared" si="2"/>
        <v>Set top box</v>
      </c>
    </row>
    <row r="119" spans="1:1">
      <c r="A119" s="72" t="str">
        <f t="shared" si="2"/>
        <v>Computer</v>
      </c>
    </row>
    <row r="120" spans="1:1">
      <c r="A120" s="72" t="str">
        <f t="shared" si="2"/>
        <v>Monitor</v>
      </c>
    </row>
    <row r="121" spans="1:1">
      <c r="A121" s="72">
        <f t="shared" si="2"/>
        <v>0</v>
      </c>
    </row>
    <row r="122" spans="1:1">
      <c r="A122" s="72" t="str">
        <f t="shared" si="2"/>
        <v>Duct</v>
      </c>
    </row>
    <row r="123" spans="1:1">
      <c r="A123" s="72" t="str">
        <f t="shared" si="2"/>
        <v>Wall</v>
      </c>
    </row>
    <row r="124" spans="1:1">
      <c r="A124" s="72" t="str">
        <f t="shared" si="2"/>
        <v>Attic</v>
      </c>
    </row>
    <row r="125" spans="1:1">
      <c r="A125" s="72" t="str">
        <f t="shared" si="2"/>
        <v>Floor</v>
      </c>
    </row>
    <row r="126" spans="1:1">
      <c r="A126" s="72" t="str">
        <f t="shared" si="2"/>
        <v>Window</v>
      </c>
    </row>
    <row r="127" spans="1:1">
      <c r="A127" s="72" t="str">
        <f t="shared" si="2"/>
        <v>HomeSqft</v>
      </c>
    </row>
    <row r="128" spans="1:1">
      <c r="A128" s="72" t="str">
        <f t="shared" si="2"/>
        <v>Pin Lamps</v>
      </c>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I101"/>
  <sheetViews>
    <sheetView topLeftCell="G41" zoomScale="75" workbookViewId="0">
      <selection activeCell="I46" sqref="I46"/>
    </sheetView>
  </sheetViews>
  <sheetFormatPr defaultRowHeight="12.75"/>
  <cols>
    <col min="2" max="2" width="20.28515625" customWidth="1"/>
    <col min="3" max="3" width="16.5703125" customWidth="1"/>
    <col min="4" max="4" width="22.140625" customWidth="1"/>
    <col min="5" max="5" width="15.7109375" customWidth="1"/>
    <col min="6" max="6" width="13.28515625" customWidth="1"/>
    <col min="7" max="7" width="13.7109375" customWidth="1"/>
    <col min="8" max="8" width="80.5703125" customWidth="1"/>
    <col min="9" max="9" width="31.42578125" customWidth="1"/>
    <col min="11" max="11" width="10.7109375" customWidth="1"/>
    <col min="12" max="12" width="16.140625" customWidth="1"/>
    <col min="14" max="14" width="19.7109375" customWidth="1"/>
  </cols>
  <sheetData>
    <row r="1" spans="1:9" ht="13.5" thickBot="1">
      <c r="A1" t="s">
        <v>86</v>
      </c>
      <c r="B1" t="s">
        <v>87</v>
      </c>
      <c r="G1" s="91" t="s">
        <v>295</v>
      </c>
      <c r="H1" s="91" t="s">
        <v>296</v>
      </c>
      <c r="I1" s="91"/>
    </row>
    <row r="2" spans="1:9" ht="13.5" thickTop="1">
      <c r="G2" s="92" t="s">
        <v>220</v>
      </c>
      <c r="H2" s="92" t="s">
        <v>232</v>
      </c>
      <c r="I2" s="92" t="s">
        <v>297</v>
      </c>
    </row>
    <row r="3" spans="1:9">
      <c r="B3" s="14" t="s">
        <v>72</v>
      </c>
      <c r="C3" s="14" t="s">
        <v>73</v>
      </c>
      <c r="D3" s="14" t="s">
        <v>74</v>
      </c>
      <c r="E3" s="14" t="s">
        <v>75</v>
      </c>
      <c r="G3" s="92" t="s">
        <v>220</v>
      </c>
      <c r="H3" s="92" t="s">
        <v>298</v>
      </c>
      <c r="I3" s="92" t="s">
        <v>299</v>
      </c>
    </row>
    <row r="4" spans="1:9">
      <c r="B4" t="s">
        <v>76</v>
      </c>
      <c r="C4" t="s">
        <v>62</v>
      </c>
      <c r="D4" t="e">
        <f>#REF!</f>
        <v>#REF!</v>
      </c>
      <c r="E4" t="s">
        <v>62</v>
      </c>
      <c r="G4" s="92" t="s">
        <v>220</v>
      </c>
      <c r="H4" s="92" t="s">
        <v>298</v>
      </c>
      <c r="I4" s="92" t="s">
        <v>300</v>
      </c>
    </row>
    <row r="5" spans="1:9">
      <c r="B5" t="s">
        <v>77</v>
      </c>
      <c r="C5" t="s">
        <v>63</v>
      </c>
      <c r="D5" t="e">
        <f>#REF!</f>
        <v>#REF!</v>
      </c>
      <c r="E5" t="s">
        <v>63</v>
      </c>
      <c r="G5" s="92" t="s">
        <v>220</v>
      </c>
      <c r="H5" s="92" t="s">
        <v>301</v>
      </c>
      <c r="I5" s="92" t="s">
        <v>236</v>
      </c>
    </row>
    <row r="6" spans="1:9">
      <c r="B6" t="s">
        <v>54</v>
      </c>
      <c r="C6" t="s">
        <v>64</v>
      </c>
      <c r="D6" t="e">
        <f>#REF!</f>
        <v>#REF!</v>
      </c>
      <c r="E6" t="s">
        <v>64</v>
      </c>
      <c r="G6" s="92" t="s">
        <v>222</v>
      </c>
      <c r="H6" s="92" t="s">
        <v>106</v>
      </c>
      <c r="I6" s="92" t="s">
        <v>302</v>
      </c>
    </row>
    <row r="7" spans="1:9">
      <c r="B7" t="s">
        <v>57</v>
      </c>
      <c r="C7" t="s">
        <v>46</v>
      </c>
      <c r="D7" t="e">
        <f>#REF!</f>
        <v>#REF!</v>
      </c>
      <c r="E7" t="s">
        <v>46</v>
      </c>
      <c r="G7" s="92" t="s">
        <v>42</v>
      </c>
      <c r="H7" s="92" t="s">
        <v>219</v>
      </c>
      <c r="I7" s="92" t="s">
        <v>303</v>
      </c>
    </row>
    <row r="8" spans="1:9">
      <c r="B8" t="s">
        <v>78</v>
      </c>
      <c r="C8" t="s">
        <v>60</v>
      </c>
      <c r="D8" t="str">
        <f>B11</f>
        <v>Other</v>
      </c>
      <c r="E8" t="s">
        <v>60</v>
      </c>
      <c r="G8" s="92" t="s">
        <v>42</v>
      </c>
      <c r="H8" s="92" t="s">
        <v>219</v>
      </c>
      <c r="I8" s="92" t="s">
        <v>303</v>
      </c>
    </row>
    <row r="9" spans="1:9">
      <c r="B9" t="s">
        <v>79</v>
      </c>
      <c r="G9" s="92" t="s">
        <v>42</v>
      </c>
      <c r="H9" s="92" t="s">
        <v>219</v>
      </c>
      <c r="I9" s="92" t="s">
        <v>237</v>
      </c>
    </row>
    <row r="10" spans="1:9">
      <c r="B10" t="s">
        <v>53</v>
      </c>
      <c r="G10" s="92" t="s">
        <v>42</v>
      </c>
      <c r="H10" s="92" t="s">
        <v>219</v>
      </c>
      <c r="I10" s="92" t="s">
        <v>237</v>
      </c>
    </row>
    <row r="11" spans="1:9">
      <c r="B11" t="s">
        <v>60</v>
      </c>
      <c r="G11" s="92" t="s">
        <v>42</v>
      </c>
      <c r="H11" s="92" t="s">
        <v>219</v>
      </c>
      <c r="I11" s="92" t="s">
        <v>151</v>
      </c>
    </row>
    <row r="12" spans="1:9">
      <c r="G12" s="92" t="s">
        <v>42</v>
      </c>
      <c r="H12" s="92" t="s">
        <v>219</v>
      </c>
      <c r="I12" s="92" t="s">
        <v>151</v>
      </c>
    </row>
    <row r="13" spans="1:9">
      <c r="C13" s="11"/>
      <c r="D13" s="89" t="s">
        <v>6</v>
      </c>
      <c r="E13" s="90"/>
      <c r="F13" s="90"/>
      <c r="G13" s="92" t="s">
        <v>42</v>
      </c>
      <c r="H13" s="92" t="s">
        <v>228</v>
      </c>
      <c r="I13" s="92" t="s">
        <v>241</v>
      </c>
    </row>
    <row r="14" spans="1:9">
      <c r="C14" s="5" t="s">
        <v>73</v>
      </c>
      <c r="D14" s="5" t="s">
        <v>7</v>
      </c>
      <c r="E14" s="5" t="s">
        <v>8</v>
      </c>
      <c r="F14" s="5" t="s">
        <v>9</v>
      </c>
      <c r="G14" s="92" t="s">
        <v>42</v>
      </c>
      <c r="H14" s="92" t="s">
        <v>218</v>
      </c>
      <c r="I14" s="92" t="s">
        <v>304</v>
      </c>
    </row>
    <row r="15" spans="1:9">
      <c r="C15" t="s">
        <v>62</v>
      </c>
      <c r="D15" t="s">
        <v>45</v>
      </c>
      <c r="E15" s="1" t="s">
        <v>10</v>
      </c>
      <c r="F15" s="1" t="s">
        <v>11</v>
      </c>
      <c r="G15" s="92" t="s">
        <v>42</v>
      </c>
      <c r="H15" s="92" t="s">
        <v>218</v>
      </c>
      <c r="I15" s="92" t="s">
        <v>305</v>
      </c>
    </row>
    <row r="16" spans="1:9">
      <c r="C16" t="s">
        <v>63</v>
      </c>
      <c r="D16" t="s">
        <v>45</v>
      </c>
      <c r="E16" s="1" t="s">
        <v>12</v>
      </c>
      <c r="F16" s="1" t="s">
        <v>11</v>
      </c>
      <c r="G16" s="92" t="s">
        <v>42</v>
      </c>
      <c r="H16" s="92" t="s">
        <v>218</v>
      </c>
      <c r="I16" s="92" t="s">
        <v>305</v>
      </c>
    </row>
    <row r="17" spans="3:9">
      <c r="C17" t="s">
        <v>64</v>
      </c>
      <c r="D17" t="s">
        <v>45</v>
      </c>
      <c r="E17" s="1" t="s">
        <v>13</v>
      </c>
      <c r="F17" s="1" t="s">
        <v>11</v>
      </c>
      <c r="G17" s="92" t="s">
        <v>42</v>
      </c>
      <c r="H17" s="92" t="s">
        <v>218</v>
      </c>
      <c r="I17" s="92" t="s">
        <v>306</v>
      </c>
    </row>
    <row r="18" spans="3:9">
      <c r="C18" t="s">
        <v>46</v>
      </c>
      <c r="D18" t="s">
        <v>50</v>
      </c>
      <c r="E18" s="1" t="s">
        <v>14</v>
      </c>
      <c r="F18" s="1">
        <v>1</v>
      </c>
      <c r="G18" s="92" t="s">
        <v>42</v>
      </c>
      <c r="H18" s="92" t="s">
        <v>218</v>
      </c>
      <c r="I18" s="92" t="s">
        <v>306</v>
      </c>
    </row>
    <row r="19" spans="3:9">
      <c r="C19" t="s">
        <v>47</v>
      </c>
      <c r="D19" t="s">
        <v>50</v>
      </c>
      <c r="E19" s="1" t="s">
        <v>15</v>
      </c>
      <c r="F19" s="1">
        <v>1</v>
      </c>
      <c r="G19" s="92" t="s">
        <v>42</v>
      </c>
      <c r="H19" s="92" t="s">
        <v>218</v>
      </c>
      <c r="I19" s="92" t="s">
        <v>277</v>
      </c>
    </row>
    <row r="20" spans="3:9">
      <c r="C20" t="s">
        <v>48</v>
      </c>
      <c r="D20" t="s">
        <v>50</v>
      </c>
      <c r="E20" s="1" t="s">
        <v>13</v>
      </c>
      <c r="F20" s="1">
        <v>1</v>
      </c>
      <c r="G20" s="92" t="s">
        <v>42</v>
      </c>
      <c r="H20" s="92" t="s">
        <v>218</v>
      </c>
      <c r="I20" s="92" t="s">
        <v>245</v>
      </c>
    </row>
    <row r="21" spans="3:9">
      <c r="C21" t="s">
        <v>49</v>
      </c>
      <c r="D21" t="s">
        <v>50</v>
      </c>
      <c r="E21" s="1" t="s">
        <v>14</v>
      </c>
      <c r="F21" s="1" t="s">
        <v>16</v>
      </c>
      <c r="G21" s="92" t="s">
        <v>42</v>
      </c>
      <c r="H21" s="92" t="s">
        <v>218</v>
      </c>
      <c r="I21" s="92" t="s">
        <v>307</v>
      </c>
    </row>
    <row r="22" spans="3:9">
      <c r="C22" t="s">
        <v>52</v>
      </c>
      <c r="D22" t="s">
        <v>51</v>
      </c>
      <c r="E22" s="1" t="s">
        <v>11</v>
      </c>
      <c r="F22" s="1" t="s">
        <v>11</v>
      </c>
      <c r="G22" s="92" t="s">
        <v>42</v>
      </c>
      <c r="H22" s="92" t="s">
        <v>308</v>
      </c>
      <c r="I22" s="92" t="s">
        <v>309</v>
      </c>
    </row>
    <row r="23" spans="3:9">
      <c r="C23" t="s">
        <v>61</v>
      </c>
      <c r="D23" t="s">
        <v>51</v>
      </c>
      <c r="E23" s="1" t="s">
        <v>11</v>
      </c>
      <c r="F23" s="1" t="s">
        <v>11</v>
      </c>
      <c r="G23" s="92" t="s">
        <v>42</v>
      </c>
      <c r="H23" s="92" t="s">
        <v>308</v>
      </c>
      <c r="I23" s="92" t="s">
        <v>309</v>
      </c>
    </row>
    <row r="24" spans="3:9">
      <c r="C24" t="s">
        <v>53</v>
      </c>
      <c r="D24" t="s">
        <v>53</v>
      </c>
      <c r="E24" s="1" t="s">
        <v>11</v>
      </c>
      <c r="F24" s="1" t="s">
        <v>11</v>
      </c>
      <c r="G24" s="92" t="s">
        <v>42</v>
      </c>
      <c r="H24" s="92" t="s">
        <v>218</v>
      </c>
      <c r="I24" s="92" t="s">
        <v>310</v>
      </c>
    </row>
    <row r="25" spans="3:9">
      <c r="C25" t="s">
        <v>65</v>
      </c>
      <c r="D25" t="s">
        <v>17</v>
      </c>
      <c r="E25" s="1" t="s">
        <v>18</v>
      </c>
      <c r="F25" s="1" t="s">
        <v>11</v>
      </c>
      <c r="G25" s="92" t="s">
        <v>42</v>
      </c>
      <c r="H25" s="92" t="s">
        <v>218</v>
      </c>
      <c r="I25" s="92" t="s">
        <v>310</v>
      </c>
    </row>
    <row r="26" spans="3:9">
      <c r="C26" t="s">
        <v>59</v>
      </c>
      <c r="D26" t="s">
        <v>17</v>
      </c>
      <c r="E26" s="1" t="s">
        <v>19</v>
      </c>
      <c r="F26" s="1" t="s">
        <v>11</v>
      </c>
      <c r="G26" s="92" t="s">
        <v>42</v>
      </c>
      <c r="H26" s="92" t="s">
        <v>218</v>
      </c>
      <c r="I26" s="92" t="s">
        <v>311</v>
      </c>
    </row>
    <row r="27" spans="3:9">
      <c r="C27" t="s">
        <v>55</v>
      </c>
      <c r="D27" t="s">
        <v>17</v>
      </c>
      <c r="E27" s="1" t="s">
        <v>11</v>
      </c>
      <c r="F27" s="1" t="s">
        <v>11</v>
      </c>
      <c r="G27" s="92" t="s">
        <v>42</v>
      </c>
      <c r="H27" s="92" t="s">
        <v>218</v>
      </c>
      <c r="I27" s="92" t="s">
        <v>311</v>
      </c>
    </row>
    <row r="28" spans="3:9">
      <c r="C28" t="s">
        <v>56</v>
      </c>
      <c r="D28" t="s">
        <v>56</v>
      </c>
      <c r="E28" s="1" t="s">
        <v>11</v>
      </c>
      <c r="F28" s="1" t="s">
        <v>11</v>
      </c>
      <c r="G28" s="92" t="s">
        <v>42</v>
      </c>
      <c r="H28" s="92" t="s">
        <v>218</v>
      </c>
      <c r="I28" s="92" t="s">
        <v>312</v>
      </c>
    </row>
    <row r="29" spans="3:9">
      <c r="C29" t="s">
        <v>57</v>
      </c>
      <c r="D29" t="s">
        <v>20</v>
      </c>
      <c r="E29" s="1" t="s">
        <v>11</v>
      </c>
      <c r="F29" s="1" t="s">
        <v>11</v>
      </c>
      <c r="G29" s="92" t="s">
        <v>42</v>
      </c>
      <c r="H29" s="92" t="s">
        <v>308</v>
      </c>
      <c r="I29" s="92" t="s">
        <v>313</v>
      </c>
    </row>
    <row r="30" spans="3:9">
      <c r="C30" t="s">
        <v>58</v>
      </c>
      <c r="D30" t="s">
        <v>20</v>
      </c>
      <c r="E30" s="1" t="s">
        <v>11</v>
      </c>
      <c r="F30" s="1" t="s">
        <v>11</v>
      </c>
      <c r="G30" s="92" t="s">
        <v>42</v>
      </c>
      <c r="H30" s="92" t="s">
        <v>308</v>
      </c>
      <c r="I30" s="92" t="s">
        <v>314</v>
      </c>
    </row>
    <row r="31" spans="3:9">
      <c r="C31" t="s">
        <v>60</v>
      </c>
      <c r="D31" t="s">
        <v>60</v>
      </c>
      <c r="E31" s="1" t="s">
        <v>11</v>
      </c>
      <c r="F31" s="1" t="s">
        <v>11</v>
      </c>
      <c r="G31" s="92" t="s">
        <v>42</v>
      </c>
      <c r="H31" s="92" t="s">
        <v>218</v>
      </c>
      <c r="I31" s="92" t="s">
        <v>246</v>
      </c>
    </row>
    <row r="32" spans="3:9">
      <c r="G32" s="92" t="s">
        <v>42</v>
      </c>
      <c r="H32" s="92" t="s">
        <v>308</v>
      </c>
      <c r="I32" s="92" t="s">
        <v>315</v>
      </c>
    </row>
    <row r="33" spans="7:9">
      <c r="G33" s="92" t="s">
        <v>42</v>
      </c>
      <c r="H33" s="92" t="s">
        <v>308</v>
      </c>
      <c r="I33" s="92" t="s">
        <v>315</v>
      </c>
    </row>
    <row r="34" spans="7:9">
      <c r="G34" s="92" t="s">
        <v>103</v>
      </c>
      <c r="H34" s="92" t="s">
        <v>221</v>
      </c>
      <c r="I34" s="92" t="s">
        <v>316</v>
      </c>
    </row>
    <row r="35" spans="7:9">
      <c r="G35" s="92" t="s">
        <v>103</v>
      </c>
      <c r="H35" s="92" t="s">
        <v>221</v>
      </c>
      <c r="I35" s="92" t="s">
        <v>247</v>
      </c>
    </row>
    <row r="36" spans="7:9">
      <c r="G36" s="92" t="s">
        <v>103</v>
      </c>
      <c r="H36" s="92" t="s">
        <v>129</v>
      </c>
      <c r="I36" s="92" t="s">
        <v>129</v>
      </c>
    </row>
    <row r="37" spans="7:9">
      <c r="G37" s="92" t="s">
        <v>104</v>
      </c>
      <c r="H37" s="92" t="s">
        <v>225</v>
      </c>
      <c r="I37" s="92" t="s">
        <v>317</v>
      </c>
    </row>
    <row r="38" spans="7:9">
      <c r="G38" s="92" t="s">
        <v>104</v>
      </c>
      <c r="H38" s="92" t="s">
        <v>225</v>
      </c>
      <c r="I38" s="92" t="s">
        <v>225</v>
      </c>
    </row>
    <row r="39" spans="7:9">
      <c r="G39" s="92" t="s">
        <v>104</v>
      </c>
      <c r="H39" s="92" t="s">
        <v>226</v>
      </c>
      <c r="I39" s="92" t="s">
        <v>318</v>
      </c>
    </row>
    <row r="40" spans="7:9">
      <c r="G40" s="92" t="s">
        <v>104</v>
      </c>
      <c r="H40" s="92" t="s">
        <v>226</v>
      </c>
      <c r="I40" s="92" t="s">
        <v>226</v>
      </c>
    </row>
    <row r="41" spans="7:9">
      <c r="G41" s="92" t="s">
        <v>144</v>
      </c>
      <c r="H41" s="92" t="s">
        <v>228</v>
      </c>
      <c r="I41" s="92" t="s">
        <v>319</v>
      </c>
    </row>
    <row r="42" spans="7:9">
      <c r="G42" s="92" t="s">
        <v>144</v>
      </c>
      <c r="H42" s="92" t="s">
        <v>229</v>
      </c>
      <c r="I42" s="92" t="s">
        <v>229</v>
      </c>
    </row>
    <row r="43" spans="7:9">
      <c r="G43" s="92" t="s">
        <v>144</v>
      </c>
      <c r="H43" s="92" t="s">
        <v>227</v>
      </c>
      <c r="I43" s="92" t="s">
        <v>249</v>
      </c>
    </row>
    <row r="44" spans="7:9">
      <c r="G44" s="92" t="s">
        <v>144</v>
      </c>
      <c r="H44" s="92" t="s">
        <v>227</v>
      </c>
      <c r="I44" s="92" t="s">
        <v>227</v>
      </c>
    </row>
    <row r="45" spans="7:9">
      <c r="G45" s="92" t="s">
        <v>144</v>
      </c>
      <c r="H45" s="92" t="s">
        <v>223</v>
      </c>
      <c r="I45" s="92" t="s">
        <v>251</v>
      </c>
    </row>
    <row r="46" spans="7:9">
      <c r="G46" s="92" t="s">
        <v>144</v>
      </c>
      <c r="H46" s="92" t="s">
        <v>223</v>
      </c>
      <c r="I46" s="92" t="s">
        <v>250</v>
      </c>
    </row>
    <row r="47" spans="7:9">
      <c r="G47" s="92" t="s">
        <v>144</v>
      </c>
      <c r="H47" s="92" t="s">
        <v>223</v>
      </c>
      <c r="I47" s="92" t="s">
        <v>252</v>
      </c>
    </row>
    <row r="48" spans="7:9">
      <c r="G48" s="92" t="s">
        <v>230</v>
      </c>
      <c r="H48" s="92" t="s">
        <v>320</v>
      </c>
      <c r="I48" s="92" t="s">
        <v>321</v>
      </c>
    </row>
    <row r="49" spans="7:9">
      <c r="G49" s="92" t="s">
        <v>230</v>
      </c>
      <c r="H49" s="92" t="s">
        <v>320</v>
      </c>
      <c r="I49" s="92" t="s">
        <v>322</v>
      </c>
    </row>
    <row r="50" spans="7:9">
      <c r="G50" s="92" t="s">
        <v>230</v>
      </c>
      <c r="H50" s="92" t="s">
        <v>320</v>
      </c>
      <c r="I50" s="92" t="s">
        <v>323</v>
      </c>
    </row>
    <row r="51" spans="7:9">
      <c r="G51" s="92" t="s">
        <v>230</v>
      </c>
      <c r="H51" s="92" t="s">
        <v>320</v>
      </c>
      <c r="I51" s="92" t="s">
        <v>324</v>
      </c>
    </row>
    <row r="52" spans="7:9">
      <c r="G52" s="92" t="s">
        <v>230</v>
      </c>
      <c r="H52" s="92" t="s">
        <v>320</v>
      </c>
      <c r="I52" s="92" t="s">
        <v>325</v>
      </c>
    </row>
    <row r="53" spans="7:9">
      <c r="G53" s="92" t="s">
        <v>230</v>
      </c>
      <c r="H53" s="92" t="s">
        <v>231</v>
      </c>
      <c r="I53" s="92" t="s">
        <v>253</v>
      </c>
    </row>
    <row r="57" spans="7:9">
      <c r="G57" t="s">
        <v>326</v>
      </c>
    </row>
    <row r="58" spans="7:9" ht="13.5" thickBot="1">
      <c r="G58" s="91" t="s">
        <v>295</v>
      </c>
      <c r="H58" s="91" t="s">
        <v>296</v>
      </c>
      <c r="I58" s="91"/>
    </row>
    <row r="59" spans="7:9" ht="13.5" thickTop="1">
      <c r="G59" s="92" t="s">
        <v>220</v>
      </c>
      <c r="H59" s="92" t="s">
        <v>232</v>
      </c>
      <c r="I59" s="92"/>
    </row>
    <row r="60" spans="7:9">
      <c r="G60" s="92" t="s">
        <v>222</v>
      </c>
      <c r="H60" s="92" t="s">
        <v>298</v>
      </c>
      <c r="I60" s="92"/>
    </row>
    <row r="61" spans="7:9">
      <c r="G61" s="92" t="s">
        <v>42</v>
      </c>
      <c r="H61" s="92" t="s">
        <v>301</v>
      </c>
      <c r="I61" s="92"/>
    </row>
    <row r="62" spans="7:9">
      <c r="G62" s="92" t="s">
        <v>103</v>
      </c>
      <c r="H62" s="92" t="s">
        <v>106</v>
      </c>
      <c r="I62" s="92"/>
    </row>
    <row r="63" spans="7:9">
      <c r="G63" s="92" t="s">
        <v>104</v>
      </c>
      <c r="H63" s="92" t="s">
        <v>219</v>
      </c>
      <c r="I63" s="92"/>
    </row>
    <row r="64" spans="7:9">
      <c r="G64" s="92" t="s">
        <v>144</v>
      </c>
      <c r="H64" s="92" t="s">
        <v>228</v>
      </c>
      <c r="I64" s="92"/>
    </row>
    <row r="65" spans="7:9">
      <c r="G65" s="92" t="s">
        <v>230</v>
      </c>
      <c r="H65" s="92" t="s">
        <v>218</v>
      </c>
      <c r="I65" s="92"/>
    </row>
    <row r="66" spans="7:9">
      <c r="H66" s="92" t="s">
        <v>221</v>
      </c>
      <c r="I66" s="92"/>
    </row>
    <row r="67" spans="7:9">
      <c r="H67" s="92" t="s">
        <v>129</v>
      </c>
      <c r="I67" s="92"/>
    </row>
    <row r="68" spans="7:9">
      <c r="H68" s="92" t="s">
        <v>225</v>
      </c>
      <c r="I68" s="92"/>
    </row>
    <row r="69" spans="7:9">
      <c r="H69" s="92" t="s">
        <v>226</v>
      </c>
      <c r="I69" s="92"/>
    </row>
    <row r="70" spans="7:9">
      <c r="H70" s="92" t="s">
        <v>229</v>
      </c>
      <c r="I70" s="92"/>
    </row>
    <row r="71" spans="7:9">
      <c r="H71" s="92" t="s">
        <v>227</v>
      </c>
      <c r="I71" s="92"/>
    </row>
    <row r="72" spans="7:9">
      <c r="H72" s="92" t="s">
        <v>223</v>
      </c>
      <c r="I72" s="92"/>
    </row>
    <row r="73" spans="7:9">
      <c r="H73" s="92" t="s">
        <v>320</v>
      </c>
      <c r="I73" s="92"/>
    </row>
    <row r="74" spans="7:9">
      <c r="H74" s="92" t="s">
        <v>231</v>
      </c>
      <c r="I74" s="92"/>
    </row>
    <row r="75" spans="7:9">
      <c r="I75" s="92"/>
    </row>
    <row r="76" spans="7:9">
      <c r="I76" s="92"/>
    </row>
    <row r="77" spans="7:9">
      <c r="I77" s="92"/>
    </row>
    <row r="78" spans="7:9">
      <c r="I78" s="92"/>
    </row>
    <row r="79" spans="7:9">
      <c r="I79" s="92"/>
    </row>
    <row r="80" spans="7:9">
      <c r="I80" s="92"/>
    </row>
    <row r="81" spans="9:9">
      <c r="I81" s="92"/>
    </row>
    <row r="82" spans="9:9">
      <c r="I82" s="92"/>
    </row>
    <row r="83" spans="9:9">
      <c r="I83" s="92"/>
    </row>
    <row r="84" spans="9:9">
      <c r="I84" s="92"/>
    </row>
    <row r="85" spans="9:9">
      <c r="I85" s="92"/>
    </row>
    <row r="86" spans="9:9">
      <c r="I86" s="92"/>
    </row>
    <row r="87" spans="9:9">
      <c r="I87" s="92"/>
    </row>
    <row r="88" spans="9:9">
      <c r="I88" s="92"/>
    </row>
    <row r="89" spans="9:9">
      <c r="I89" s="92"/>
    </row>
    <row r="90" spans="9:9">
      <c r="I90" s="92"/>
    </row>
    <row r="91" spans="9:9">
      <c r="I91" s="92"/>
    </row>
    <row r="92" spans="9:9">
      <c r="I92" s="92"/>
    </row>
    <row r="93" spans="9:9">
      <c r="I93" s="92"/>
    </row>
    <row r="94" spans="9:9">
      <c r="I94" s="92"/>
    </row>
    <row r="95" spans="9:9">
      <c r="I95" s="92"/>
    </row>
    <row r="96" spans="9:9">
      <c r="I96" s="92"/>
    </row>
    <row r="97" spans="9:9">
      <c r="I97" s="92"/>
    </row>
    <row r="98" spans="9:9">
      <c r="I98" s="92"/>
    </row>
    <row r="99" spans="9:9">
      <c r="I99" s="92"/>
    </row>
    <row r="100" spans="9:9">
      <c r="I100" s="92"/>
    </row>
    <row r="101" spans="9:9">
      <c r="I101" s="92"/>
    </row>
  </sheetData>
  <phoneticPr fontId="0"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tabColor rgb="FFFF0000"/>
  </sheetPr>
  <dimension ref="A1:R74"/>
  <sheetViews>
    <sheetView topLeftCell="B1" workbookViewId="0">
      <selection activeCell="C63" sqref="C63"/>
    </sheetView>
  </sheetViews>
  <sheetFormatPr defaultColWidth="9.140625" defaultRowHeight="12.75" outlineLevelCol="1"/>
  <cols>
    <col min="1" max="1" width="8.140625" style="81" bestFit="1" customWidth="1"/>
    <col min="2" max="2" width="20.85546875" style="81" bestFit="1" customWidth="1"/>
    <col min="3" max="3" width="40.5703125" style="81" bestFit="1" customWidth="1"/>
    <col min="4" max="4" width="19.7109375" style="81" customWidth="1"/>
    <col min="5" max="5" width="29.85546875" style="81" bestFit="1" customWidth="1"/>
    <col min="6" max="6" width="10.28515625" style="81" hidden="1" customWidth="1" outlineLevel="1"/>
    <col min="7" max="7" width="9.28515625" style="81" hidden="1" customWidth="1" outlineLevel="1"/>
    <col min="8" max="8" width="9.140625" style="81" hidden="1" customWidth="1" outlineLevel="1"/>
    <col min="9" max="9" width="10.7109375" style="81" hidden="1" customWidth="1" outlineLevel="1"/>
    <col min="10" max="10" width="9.140625" style="81" customWidth="1" collapsed="1"/>
    <col min="11" max="11" width="9.85546875" style="81" hidden="1" customWidth="1" outlineLevel="1"/>
    <col min="12" max="12" width="10.7109375" style="81" hidden="1" customWidth="1" outlineLevel="1"/>
    <col min="13" max="13" width="6.28515625" style="81" hidden="1" customWidth="1" outlineLevel="1"/>
    <col min="14" max="14" width="9.140625" style="81" customWidth="1" collapsed="1"/>
    <col min="15" max="16" width="9.140625" style="81" customWidth="1"/>
    <col min="17" max="17" width="9.140625" style="109"/>
    <col min="18" max="16384" width="9.140625" style="81"/>
  </cols>
  <sheetData>
    <row r="1" spans="1:18" ht="39" thickBot="1">
      <c r="A1" s="96" t="s">
        <v>43</v>
      </c>
      <c r="B1" s="97" t="s">
        <v>217</v>
      </c>
      <c r="C1" s="97" t="s">
        <v>269</v>
      </c>
      <c r="D1" s="97" t="s">
        <v>141</v>
      </c>
      <c r="E1" s="97" t="s">
        <v>143</v>
      </c>
      <c r="F1" s="97" t="s">
        <v>142</v>
      </c>
      <c r="G1" s="97" t="s">
        <v>173</v>
      </c>
      <c r="H1" s="97" t="s">
        <v>393</v>
      </c>
      <c r="I1" s="97" t="s">
        <v>394</v>
      </c>
      <c r="J1" s="97" t="s">
        <v>395</v>
      </c>
      <c r="K1" s="97" t="s">
        <v>396</v>
      </c>
      <c r="L1" s="97" t="s">
        <v>397</v>
      </c>
      <c r="M1" s="97" t="s">
        <v>398</v>
      </c>
      <c r="N1" s="97" t="s">
        <v>399</v>
      </c>
      <c r="O1" s="97" t="s">
        <v>208</v>
      </c>
      <c r="P1" s="97" t="s">
        <v>209</v>
      </c>
      <c r="Q1" s="108" t="s">
        <v>37</v>
      </c>
    </row>
    <row r="2" spans="1:18" s="123" customFormat="1">
      <c r="A2" s="120" t="s">
        <v>234</v>
      </c>
      <c r="B2" s="121" t="s">
        <v>234</v>
      </c>
      <c r="C2" s="121" t="s">
        <v>240</v>
      </c>
      <c r="D2" s="121" t="s">
        <v>163</v>
      </c>
      <c r="E2" s="121" t="s">
        <v>268</v>
      </c>
      <c r="F2" s="121" t="s">
        <v>271</v>
      </c>
      <c r="G2" s="121" t="s">
        <v>271</v>
      </c>
      <c r="H2" s="121"/>
      <c r="I2" s="121" t="s">
        <v>212</v>
      </c>
      <c r="J2" s="121" t="s">
        <v>400</v>
      </c>
      <c r="K2" s="122" t="s">
        <v>212</v>
      </c>
      <c r="L2" s="122"/>
      <c r="M2" s="122" t="s">
        <v>212</v>
      </c>
      <c r="N2" s="122"/>
      <c r="Q2" s="123" t="s">
        <v>505</v>
      </c>
    </row>
    <row r="3" spans="1:18" s="126" customFormat="1">
      <c r="A3" s="127" t="s">
        <v>220</v>
      </c>
      <c r="B3" s="125" t="s">
        <v>232</v>
      </c>
      <c r="C3" s="125" t="s">
        <v>238</v>
      </c>
      <c r="D3" s="125" t="s">
        <v>167</v>
      </c>
      <c r="E3" s="125" t="s">
        <v>168</v>
      </c>
      <c r="F3" s="125" t="s">
        <v>271</v>
      </c>
      <c r="G3" s="125" t="s">
        <v>271</v>
      </c>
      <c r="H3" s="125"/>
      <c r="I3" s="124"/>
      <c r="J3" s="124"/>
      <c r="K3" s="124" t="s">
        <v>212</v>
      </c>
      <c r="L3" s="124"/>
      <c r="M3" s="124"/>
      <c r="N3" s="124" t="s">
        <v>508</v>
      </c>
      <c r="Q3" s="126" t="s">
        <v>536</v>
      </c>
    </row>
    <row r="4" spans="1:18" s="123" customFormat="1">
      <c r="A4" s="120" t="s">
        <v>220</v>
      </c>
      <c r="B4" s="121" t="s">
        <v>232</v>
      </c>
      <c r="C4" s="121" t="s">
        <v>239</v>
      </c>
      <c r="D4" s="121" t="s">
        <v>169</v>
      </c>
      <c r="E4" s="121" t="s">
        <v>170</v>
      </c>
      <c r="F4" s="121" t="s">
        <v>271</v>
      </c>
      <c r="G4" s="121" t="s">
        <v>271</v>
      </c>
      <c r="H4" s="121"/>
      <c r="I4" s="122"/>
      <c r="J4" s="122"/>
      <c r="K4" s="122" t="s">
        <v>212</v>
      </c>
      <c r="L4" s="122"/>
      <c r="M4" s="122"/>
      <c r="N4" s="122" t="s">
        <v>480</v>
      </c>
      <c r="Q4" s="123" t="s">
        <v>536</v>
      </c>
    </row>
    <row r="5" spans="1:18" s="123" customFormat="1">
      <c r="A5" s="120" t="s">
        <v>220</v>
      </c>
      <c r="B5" s="121" t="s">
        <v>232</v>
      </c>
      <c r="C5" s="121" t="s">
        <v>371</v>
      </c>
      <c r="D5" s="121" t="s">
        <v>169</v>
      </c>
      <c r="E5" s="121" t="s">
        <v>170</v>
      </c>
      <c r="F5" s="121" t="s">
        <v>271</v>
      </c>
      <c r="G5" s="121" t="s">
        <v>271</v>
      </c>
      <c r="H5" s="121"/>
      <c r="I5" s="122"/>
      <c r="J5" s="122"/>
      <c r="K5" s="122" t="s">
        <v>212</v>
      </c>
      <c r="L5" s="122"/>
      <c r="M5" s="122"/>
      <c r="N5" s="122"/>
      <c r="Q5" s="123" t="s">
        <v>536</v>
      </c>
    </row>
    <row r="6" spans="1:18" s="84" customFormat="1">
      <c r="A6" s="106" t="s">
        <v>220</v>
      </c>
      <c r="B6" s="107" t="s">
        <v>232</v>
      </c>
      <c r="C6" s="107" t="s">
        <v>372</v>
      </c>
      <c r="D6" s="107" t="s">
        <v>401</v>
      </c>
      <c r="E6" s="107" t="s">
        <v>402</v>
      </c>
      <c r="F6" s="101" t="s">
        <v>271</v>
      </c>
      <c r="G6" s="101" t="s">
        <v>271</v>
      </c>
      <c r="H6" s="101" t="s">
        <v>212</v>
      </c>
      <c r="K6" s="84" t="s">
        <v>212</v>
      </c>
      <c r="Q6" s="110" t="s">
        <v>474</v>
      </c>
    </row>
    <row r="7" spans="1:18" s="126" customFormat="1">
      <c r="A7" s="127" t="s">
        <v>220</v>
      </c>
      <c r="B7" s="125" t="s">
        <v>224</v>
      </c>
      <c r="C7" s="125" t="s">
        <v>236</v>
      </c>
      <c r="D7" s="125" t="s">
        <v>107</v>
      </c>
      <c r="E7" s="125" t="s">
        <v>264</v>
      </c>
      <c r="F7" s="125" t="s">
        <v>271</v>
      </c>
      <c r="G7" s="125" t="s">
        <v>271</v>
      </c>
      <c r="H7" s="125"/>
      <c r="I7" s="125" t="s">
        <v>212</v>
      </c>
      <c r="J7" s="124"/>
      <c r="K7" s="124" t="s">
        <v>212</v>
      </c>
      <c r="L7" s="124"/>
      <c r="M7" s="125"/>
      <c r="N7" s="124"/>
      <c r="Q7" s="126" t="s">
        <v>557</v>
      </c>
    </row>
    <row r="8" spans="1:18" s="84" customFormat="1">
      <c r="A8" s="106" t="s">
        <v>220</v>
      </c>
      <c r="B8" s="101" t="s">
        <v>403</v>
      </c>
      <c r="C8" s="101" t="s">
        <v>373</v>
      </c>
      <c r="D8" s="101" t="s">
        <v>404</v>
      </c>
      <c r="E8" s="101" t="s">
        <v>405</v>
      </c>
      <c r="F8" s="101" t="s">
        <v>271</v>
      </c>
      <c r="G8" s="101" t="s">
        <v>271</v>
      </c>
      <c r="H8" s="101" t="s">
        <v>212</v>
      </c>
      <c r="I8" s="101"/>
      <c r="K8" s="84" t="s">
        <v>212</v>
      </c>
      <c r="M8" s="101"/>
      <c r="N8" s="84" t="s">
        <v>406</v>
      </c>
      <c r="Q8" s="110" t="s">
        <v>528</v>
      </c>
    </row>
    <row r="9" spans="1:18">
      <c r="A9" s="106" t="s">
        <v>220</v>
      </c>
      <c r="B9" s="101" t="s">
        <v>403</v>
      </c>
      <c r="C9" s="101" t="s">
        <v>374</v>
      </c>
      <c r="D9" s="101" t="s">
        <v>407</v>
      </c>
      <c r="E9" s="101" t="s">
        <v>405</v>
      </c>
      <c r="F9" s="101" t="s">
        <v>271</v>
      </c>
      <c r="G9" s="101" t="s">
        <v>271</v>
      </c>
      <c r="H9" s="101" t="s">
        <v>212</v>
      </c>
      <c r="I9" s="101"/>
      <c r="J9" s="84"/>
      <c r="K9" s="84" t="s">
        <v>212</v>
      </c>
      <c r="L9" s="84"/>
      <c r="M9" s="101"/>
      <c r="N9" s="84" t="s">
        <v>482</v>
      </c>
      <c r="O9" s="84"/>
      <c r="P9" s="84"/>
      <c r="Q9" s="110" t="s">
        <v>520</v>
      </c>
      <c r="R9" s="84"/>
    </row>
    <row r="10" spans="1:18" s="123" customFormat="1">
      <c r="A10" s="120" t="s">
        <v>220</v>
      </c>
      <c r="B10" s="121" t="s">
        <v>403</v>
      </c>
      <c r="C10" s="121" t="s">
        <v>375</v>
      </c>
      <c r="D10" s="121" t="s">
        <v>408</v>
      </c>
      <c r="E10" s="121" t="s">
        <v>405</v>
      </c>
      <c r="F10" s="121" t="s">
        <v>271</v>
      </c>
      <c r="G10" s="121" t="s">
        <v>271</v>
      </c>
      <c r="H10" s="121" t="s">
        <v>212</v>
      </c>
      <c r="I10" s="121"/>
      <c r="J10" s="122"/>
      <c r="K10" s="122" t="s">
        <v>212</v>
      </c>
      <c r="L10" s="122"/>
      <c r="M10" s="121"/>
      <c r="N10" s="122" t="s">
        <v>409</v>
      </c>
      <c r="Q10" s="123" t="s">
        <v>539</v>
      </c>
    </row>
    <row r="11" spans="1:18" s="126" customFormat="1">
      <c r="A11" s="127" t="s">
        <v>222</v>
      </c>
      <c r="B11" s="125" t="s">
        <v>106</v>
      </c>
      <c r="C11" s="125" t="s">
        <v>145</v>
      </c>
      <c r="D11" s="125" t="s">
        <v>155</v>
      </c>
      <c r="E11" s="125" t="s">
        <v>156</v>
      </c>
      <c r="F11" s="125" t="s">
        <v>271</v>
      </c>
      <c r="G11" s="125" t="s">
        <v>271</v>
      </c>
      <c r="H11" s="125"/>
      <c r="I11" s="124"/>
      <c r="J11" s="124" t="s">
        <v>410</v>
      </c>
      <c r="K11" s="124" t="s">
        <v>212</v>
      </c>
      <c r="L11" s="124"/>
      <c r="M11" s="124"/>
      <c r="N11" s="124"/>
      <c r="Q11" s="126" t="s">
        <v>488</v>
      </c>
    </row>
    <row r="12" spans="1:18" s="126" customFormat="1">
      <c r="A12" s="127" t="s">
        <v>222</v>
      </c>
      <c r="B12" s="125" t="s">
        <v>106</v>
      </c>
      <c r="C12" s="125" t="s">
        <v>124</v>
      </c>
      <c r="D12" s="125" t="s">
        <v>158</v>
      </c>
      <c r="E12" s="125" t="s">
        <v>157</v>
      </c>
      <c r="F12" s="125" t="s">
        <v>271</v>
      </c>
      <c r="G12" s="125" t="s">
        <v>271</v>
      </c>
      <c r="H12" s="125"/>
      <c r="I12" s="124"/>
      <c r="J12" s="124" t="s">
        <v>481</v>
      </c>
      <c r="K12" s="124"/>
      <c r="L12" s="124"/>
      <c r="M12" s="124"/>
      <c r="N12" s="124"/>
      <c r="Q12" s="126" t="s">
        <v>488</v>
      </c>
    </row>
    <row r="13" spans="1:18" s="84" customFormat="1">
      <c r="A13" s="98" t="s">
        <v>42</v>
      </c>
      <c r="B13" s="10" t="s">
        <v>219</v>
      </c>
      <c r="C13" s="10" t="s">
        <v>237</v>
      </c>
      <c r="D13" s="10" t="s">
        <v>148</v>
      </c>
      <c r="E13" s="10" t="s">
        <v>172</v>
      </c>
      <c r="F13" s="10" t="s">
        <v>271</v>
      </c>
      <c r="G13" s="10" t="s">
        <v>272</v>
      </c>
      <c r="H13" s="10"/>
      <c r="I13" s="12">
        <v>2019</v>
      </c>
      <c r="J13"/>
      <c r="K13" t="s">
        <v>212</v>
      </c>
      <c r="L13" t="s">
        <v>212</v>
      </c>
      <c r="M13" s="12"/>
      <c r="N13"/>
      <c r="Q13" s="110"/>
    </row>
    <row r="14" spans="1:18" s="84" customFormat="1">
      <c r="A14" s="98" t="s">
        <v>42</v>
      </c>
      <c r="B14" s="10" t="s">
        <v>219</v>
      </c>
      <c r="C14" s="10" t="s">
        <v>237</v>
      </c>
      <c r="D14" s="10" t="s">
        <v>149</v>
      </c>
      <c r="E14" s="10" t="s">
        <v>172</v>
      </c>
      <c r="F14" s="10" t="s">
        <v>271</v>
      </c>
      <c r="G14" s="10" t="s">
        <v>272</v>
      </c>
      <c r="H14" s="10"/>
      <c r="I14" s="12">
        <v>2019</v>
      </c>
      <c r="J14"/>
      <c r="K14" t="s">
        <v>212</v>
      </c>
      <c r="L14" t="s">
        <v>212</v>
      </c>
      <c r="M14" s="12"/>
      <c r="N14"/>
      <c r="Q14" s="110"/>
    </row>
    <row r="15" spans="1:18" s="84" customFormat="1">
      <c r="A15" s="106" t="s">
        <v>42</v>
      </c>
      <c r="B15" s="107" t="s">
        <v>219</v>
      </c>
      <c r="C15" s="107" t="s">
        <v>237</v>
      </c>
      <c r="D15" s="107" t="s">
        <v>411</v>
      </c>
      <c r="E15" s="107" t="s">
        <v>172</v>
      </c>
      <c r="F15" s="107" t="s">
        <v>271</v>
      </c>
      <c r="G15" s="107" t="s">
        <v>272</v>
      </c>
      <c r="H15" s="107"/>
      <c r="I15" s="101">
        <v>2019</v>
      </c>
      <c r="K15" s="84" t="s">
        <v>212</v>
      </c>
      <c r="L15" s="84" t="s">
        <v>212</v>
      </c>
      <c r="M15" s="101"/>
      <c r="N15" s="84" t="s">
        <v>412</v>
      </c>
      <c r="Q15" s="110" t="s">
        <v>595</v>
      </c>
    </row>
    <row r="16" spans="1:18" s="84" customFormat="1">
      <c r="A16" s="98" t="s">
        <v>42</v>
      </c>
      <c r="B16" s="10" t="s">
        <v>219</v>
      </c>
      <c r="C16" s="10" t="s">
        <v>237</v>
      </c>
      <c r="D16" s="10" t="s">
        <v>150</v>
      </c>
      <c r="E16" s="10" t="s">
        <v>172</v>
      </c>
      <c r="F16" s="10" t="s">
        <v>271</v>
      </c>
      <c r="G16" s="10" t="s">
        <v>272</v>
      </c>
      <c r="H16" s="10"/>
      <c r="I16" s="12">
        <v>2019</v>
      </c>
      <c r="J16"/>
      <c r="K16" t="s">
        <v>212</v>
      </c>
      <c r="L16" t="s">
        <v>212</v>
      </c>
      <c r="M16" s="12"/>
      <c r="N16"/>
      <c r="Q16" s="110"/>
    </row>
    <row r="17" spans="1:17" s="84" customFormat="1">
      <c r="A17" s="106" t="s">
        <v>42</v>
      </c>
      <c r="B17" s="107" t="s">
        <v>219</v>
      </c>
      <c r="C17" s="107" t="s">
        <v>237</v>
      </c>
      <c r="D17" s="107" t="s">
        <v>413</v>
      </c>
      <c r="E17" s="107" t="s">
        <v>159</v>
      </c>
      <c r="F17" s="107" t="s">
        <v>271</v>
      </c>
      <c r="G17" s="107" t="s">
        <v>272</v>
      </c>
      <c r="H17" s="107"/>
      <c r="I17" s="101">
        <v>2019</v>
      </c>
      <c r="K17" s="84" t="s">
        <v>212</v>
      </c>
      <c r="L17" s="84" t="s">
        <v>212</v>
      </c>
      <c r="M17" s="101"/>
      <c r="Q17" s="110" t="s">
        <v>594</v>
      </c>
    </row>
    <row r="18" spans="1:17">
      <c r="A18" s="98" t="s">
        <v>42</v>
      </c>
      <c r="B18" s="10" t="s">
        <v>219</v>
      </c>
      <c r="C18" s="10" t="s">
        <v>237</v>
      </c>
      <c r="D18" s="10" t="s">
        <v>414</v>
      </c>
      <c r="E18" s="10" t="s">
        <v>159</v>
      </c>
      <c r="F18" s="10" t="s">
        <v>271</v>
      </c>
      <c r="G18" s="10" t="s">
        <v>272</v>
      </c>
      <c r="H18" s="10"/>
      <c r="I18" s="12">
        <v>2019</v>
      </c>
      <c r="J18"/>
      <c r="K18" t="s">
        <v>212</v>
      </c>
      <c r="L18" t="s">
        <v>212</v>
      </c>
      <c r="M18" s="12"/>
      <c r="N18"/>
      <c r="Q18" s="110"/>
    </row>
    <row r="19" spans="1:17">
      <c r="A19" s="98" t="s">
        <v>42</v>
      </c>
      <c r="B19" s="10" t="s">
        <v>219</v>
      </c>
      <c r="C19" s="10" t="s">
        <v>237</v>
      </c>
      <c r="D19" s="10" t="s">
        <v>152</v>
      </c>
      <c r="E19" s="10" t="s">
        <v>160</v>
      </c>
      <c r="F19" s="10" t="s">
        <v>271</v>
      </c>
      <c r="G19" s="10" t="s">
        <v>272</v>
      </c>
      <c r="H19" s="10"/>
      <c r="I19" s="12">
        <v>2019</v>
      </c>
      <c r="J19"/>
      <c r="K19" t="s">
        <v>212</v>
      </c>
      <c r="L19" t="s">
        <v>212</v>
      </c>
      <c r="M19" s="12"/>
      <c r="N19"/>
    </row>
    <row r="20" spans="1:17">
      <c r="A20" s="98" t="s">
        <v>42</v>
      </c>
      <c r="B20" s="10" t="s">
        <v>219</v>
      </c>
      <c r="C20" s="10" t="s">
        <v>376</v>
      </c>
      <c r="D20" s="10" t="s">
        <v>376</v>
      </c>
      <c r="E20" s="10" t="s">
        <v>415</v>
      </c>
      <c r="F20" s="10" t="s">
        <v>271</v>
      </c>
      <c r="G20" s="10" t="s">
        <v>272</v>
      </c>
      <c r="H20" s="12" t="s">
        <v>212</v>
      </c>
      <c r="I20" s="12"/>
      <c r="J20"/>
      <c r="K20"/>
      <c r="L20" t="s">
        <v>416</v>
      </c>
      <c r="M20"/>
      <c r="N20"/>
    </row>
    <row r="21" spans="1:17" s="84" customFormat="1">
      <c r="A21" s="106" t="s">
        <v>42</v>
      </c>
      <c r="B21" s="107" t="s">
        <v>219</v>
      </c>
      <c r="C21" s="107" t="s">
        <v>237</v>
      </c>
      <c r="D21" s="107" t="s">
        <v>148</v>
      </c>
      <c r="E21" s="107" t="s">
        <v>161</v>
      </c>
      <c r="F21" s="107" t="s">
        <v>271</v>
      </c>
      <c r="G21" s="107" t="s">
        <v>39</v>
      </c>
      <c r="H21" s="107" t="s">
        <v>212</v>
      </c>
      <c r="I21" s="101">
        <v>2019</v>
      </c>
      <c r="L21" s="84" t="s">
        <v>212</v>
      </c>
      <c r="N21" s="84" t="s">
        <v>417</v>
      </c>
      <c r="Q21" s="110" t="s">
        <v>576</v>
      </c>
    </row>
    <row r="22" spans="1:17" s="84" customFormat="1">
      <c r="A22" s="106" t="s">
        <v>42</v>
      </c>
      <c r="B22" s="107" t="s">
        <v>219</v>
      </c>
      <c r="C22" s="107" t="s">
        <v>237</v>
      </c>
      <c r="D22" s="107" t="s">
        <v>149</v>
      </c>
      <c r="E22" s="107" t="s">
        <v>161</v>
      </c>
      <c r="F22" s="107" t="s">
        <v>271</v>
      </c>
      <c r="G22" s="107" t="s">
        <v>39</v>
      </c>
      <c r="H22" s="107" t="s">
        <v>212</v>
      </c>
      <c r="I22" s="101">
        <v>2019</v>
      </c>
      <c r="L22" s="84" t="s">
        <v>212</v>
      </c>
      <c r="N22" s="84" t="s">
        <v>417</v>
      </c>
      <c r="Q22" s="110" t="s">
        <v>576</v>
      </c>
    </row>
    <row r="23" spans="1:17" s="84" customFormat="1">
      <c r="A23" s="106" t="s">
        <v>42</v>
      </c>
      <c r="B23" s="107" t="s">
        <v>219</v>
      </c>
      <c r="C23" s="107" t="s">
        <v>237</v>
      </c>
      <c r="D23" s="107" t="s">
        <v>150</v>
      </c>
      <c r="E23" s="107" t="s">
        <v>161</v>
      </c>
      <c r="F23" s="107" t="s">
        <v>271</v>
      </c>
      <c r="G23" s="107" t="s">
        <v>39</v>
      </c>
      <c r="H23" s="107" t="s">
        <v>212</v>
      </c>
      <c r="I23" s="101">
        <v>2019</v>
      </c>
      <c r="L23" s="84" t="s">
        <v>212</v>
      </c>
      <c r="N23" s="84" t="s">
        <v>417</v>
      </c>
      <c r="Q23" s="110" t="s">
        <v>576</v>
      </c>
    </row>
    <row r="24" spans="1:17" s="84" customFormat="1">
      <c r="A24" s="106" t="s">
        <v>42</v>
      </c>
      <c r="B24" s="107" t="s">
        <v>219</v>
      </c>
      <c r="C24" s="107" t="s">
        <v>237</v>
      </c>
      <c r="D24" s="107" t="s">
        <v>151</v>
      </c>
      <c r="E24" s="107" t="s">
        <v>161</v>
      </c>
      <c r="F24" s="107" t="s">
        <v>271</v>
      </c>
      <c r="G24" s="107" t="s">
        <v>39</v>
      </c>
      <c r="H24" s="101" t="s">
        <v>212</v>
      </c>
      <c r="I24" s="101">
        <v>2019</v>
      </c>
      <c r="L24" s="84" t="s">
        <v>212</v>
      </c>
      <c r="N24" s="84" t="s">
        <v>417</v>
      </c>
      <c r="Q24" s="110" t="s">
        <v>576</v>
      </c>
    </row>
    <row r="25" spans="1:17" s="84" customFormat="1">
      <c r="A25" s="106" t="s">
        <v>42</v>
      </c>
      <c r="B25" s="107" t="s">
        <v>219</v>
      </c>
      <c r="C25" s="107" t="s">
        <v>237</v>
      </c>
      <c r="D25" s="107" t="s">
        <v>152</v>
      </c>
      <c r="E25" s="107" t="s">
        <v>161</v>
      </c>
      <c r="F25" s="107" t="s">
        <v>271</v>
      </c>
      <c r="G25" s="107" t="s">
        <v>39</v>
      </c>
      <c r="H25" s="101" t="s">
        <v>212</v>
      </c>
      <c r="I25" s="101">
        <v>2019</v>
      </c>
      <c r="L25" s="84" t="s">
        <v>212</v>
      </c>
      <c r="N25" s="84" t="s">
        <v>417</v>
      </c>
      <c r="Q25" s="110" t="s">
        <v>576</v>
      </c>
    </row>
    <row r="26" spans="1:17" s="123" customFormat="1">
      <c r="A26" s="120" t="s">
        <v>42</v>
      </c>
      <c r="B26" s="121" t="s">
        <v>228</v>
      </c>
      <c r="C26" s="121" t="s">
        <v>377</v>
      </c>
      <c r="D26" s="121" t="s">
        <v>418</v>
      </c>
      <c r="E26" s="121" t="s">
        <v>267</v>
      </c>
      <c r="F26" s="121" t="s">
        <v>271</v>
      </c>
      <c r="G26" s="121" t="s">
        <v>39</v>
      </c>
      <c r="H26" s="121"/>
      <c r="I26" s="121" t="s">
        <v>416</v>
      </c>
      <c r="J26" s="122"/>
      <c r="K26" s="122"/>
      <c r="L26" s="122" t="s">
        <v>416</v>
      </c>
      <c r="M26" s="122"/>
      <c r="N26" s="122"/>
    </row>
    <row r="27" spans="1:17">
      <c r="A27" s="98" t="s">
        <v>42</v>
      </c>
      <c r="B27" s="10" t="s">
        <v>218</v>
      </c>
      <c r="C27" s="10" t="s">
        <v>237</v>
      </c>
      <c r="D27" s="10" t="s">
        <v>419</v>
      </c>
      <c r="E27" s="10" t="s">
        <v>172</v>
      </c>
      <c r="F27" s="10" t="s">
        <v>271</v>
      </c>
      <c r="G27" s="10" t="s">
        <v>272</v>
      </c>
      <c r="H27" s="10"/>
      <c r="I27" s="12"/>
      <c r="J27"/>
      <c r="K27" t="s">
        <v>212</v>
      </c>
      <c r="L27" t="s">
        <v>416</v>
      </c>
      <c r="M27"/>
      <c r="N27"/>
    </row>
    <row r="28" spans="1:17">
      <c r="A28" s="98" t="s">
        <v>42</v>
      </c>
      <c r="B28" s="10" t="s">
        <v>218</v>
      </c>
      <c r="C28" s="10" t="s">
        <v>242</v>
      </c>
      <c r="D28" s="10" t="s">
        <v>420</v>
      </c>
      <c r="E28" s="10" t="s">
        <v>421</v>
      </c>
      <c r="F28" s="10" t="s">
        <v>271</v>
      </c>
      <c r="G28" s="10" t="s">
        <v>271</v>
      </c>
      <c r="H28" s="10"/>
      <c r="I28" s="12">
        <v>2019</v>
      </c>
      <c r="J28"/>
      <c r="K28" t="s">
        <v>212</v>
      </c>
      <c r="L28" t="s">
        <v>212</v>
      </c>
      <c r="M28" t="s">
        <v>212</v>
      </c>
      <c r="N28"/>
    </row>
    <row r="29" spans="1:17">
      <c r="A29" s="98" t="s">
        <v>42</v>
      </c>
      <c r="B29" s="10" t="s">
        <v>218</v>
      </c>
      <c r="C29" s="10" t="s">
        <v>243</v>
      </c>
      <c r="D29" s="12" t="s">
        <v>581</v>
      </c>
      <c r="E29" s="10" t="s">
        <v>421</v>
      </c>
      <c r="F29" s="10" t="s">
        <v>271</v>
      </c>
      <c r="G29" s="10" t="s">
        <v>271</v>
      </c>
      <c r="H29" s="10"/>
      <c r="I29" s="12">
        <v>2019</v>
      </c>
      <c r="J29"/>
      <c r="K29" t="s">
        <v>212</v>
      </c>
      <c r="L29" t="s">
        <v>212</v>
      </c>
      <c r="M29"/>
      <c r="N29"/>
    </row>
    <row r="30" spans="1:17">
      <c r="A30" s="98" t="s">
        <v>42</v>
      </c>
      <c r="B30" s="10" t="s">
        <v>218</v>
      </c>
      <c r="C30" s="10" t="s">
        <v>378</v>
      </c>
      <c r="D30" s="10" t="s">
        <v>420</v>
      </c>
      <c r="E30" s="10" t="s">
        <v>421</v>
      </c>
      <c r="F30" s="10" t="s">
        <v>271</v>
      </c>
      <c r="G30" s="10" t="s">
        <v>271</v>
      </c>
      <c r="H30" s="12" t="s">
        <v>212</v>
      </c>
      <c r="I30" s="12"/>
      <c r="J30"/>
      <c r="K30" t="s">
        <v>212</v>
      </c>
      <c r="L30" t="s">
        <v>212</v>
      </c>
      <c r="M30" t="s">
        <v>212</v>
      </c>
      <c r="N30"/>
    </row>
    <row r="31" spans="1:17" s="84" customFormat="1">
      <c r="A31" s="98" t="s">
        <v>42</v>
      </c>
      <c r="B31" s="10" t="s">
        <v>218</v>
      </c>
      <c r="C31" s="10" t="s">
        <v>379</v>
      </c>
      <c r="D31" s="12" t="s">
        <v>581</v>
      </c>
      <c r="E31" s="10" t="s">
        <v>421</v>
      </c>
      <c r="F31" s="10" t="s">
        <v>271</v>
      </c>
      <c r="G31" s="10" t="s">
        <v>271</v>
      </c>
      <c r="H31" s="12" t="s">
        <v>212</v>
      </c>
      <c r="I31" s="12"/>
      <c r="J31"/>
      <c r="K31" t="s">
        <v>212</v>
      </c>
      <c r="L31" t="s">
        <v>212</v>
      </c>
      <c r="M31"/>
      <c r="N31"/>
      <c r="Q31" s="110"/>
    </row>
    <row r="32" spans="1:17" s="84" customFormat="1">
      <c r="A32" s="98" t="s">
        <v>42</v>
      </c>
      <c r="B32" s="10" t="s">
        <v>218</v>
      </c>
      <c r="C32" s="10" t="s">
        <v>243</v>
      </c>
      <c r="D32" s="10" t="s">
        <v>422</v>
      </c>
      <c r="E32" s="10" t="s">
        <v>147</v>
      </c>
      <c r="F32" s="10" t="s">
        <v>271</v>
      </c>
      <c r="G32" s="10" t="s">
        <v>272</v>
      </c>
      <c r="H32" s="10"/>
      <c r="I32" s="12">
        <v>2019</v>
      </c>
      <c r="J32"/>
      <c r="K32" t="s">
        <v>212</v>
      </c>
      <c r="L32" t="s">
        <v>212</v>
      </c>
      <c r="M32"/>
      <c r="N32"/>
      <c r="Q32" s="110"/>
    </row>
    <row r="33" spans="1:17">
      <c r="A33" s="98"/>
      <c r="B33" s="10"/>
      <c r="C33" s="10"/>
      <c r="D33" s="12"/>
      <c r="E33" s="10"/>
      <c r="F33" s="10"/>
      <c r="G33" s="10"/>
      <c r="H33" s="12"/>
      <c r="I33"/>
      <c r="J33"/>
      <c r="K33"/>
      <c r="L33"/>
      <c r="M33"/>
      <c r="N33"/>
    </row>
    <row r="34" spans="1:17" s="123" customFormat="1">
      <c r="A34" s="120" t="s">
        <v>42</v>
      </c>
      <c r="B34" s="121" t="s">
        <v>218</v>
      </c>
      <c r="C34" s="121" t="s">
        <v>575</v>
      </c>
      <c r="D34" s="121" t="s">
        <v>574</v>
      </c>
      <c r="E34" s="121" t="s">
        <v>580</v>
      </c>
      <c r="F34" s="121" t="s">
        <v>271</v>
      </c>
      <c r="G34" s="121" t="s">
        <v>271</v>
      </c>
      <c r="H34" s="121" t="s">
        <v>212</v>
      </c>
      <c r="I34" s="122"/>
      <c r="J34" s="122"/>
      <c r="K34" s="122" t="s">
        <v>212</v>
      </c>
      <c r="L34" s="122" t="s">
        <v>416</v>
      </c>
      <c r="M34" s="122"/>
      <c r="N34" s="122"/>
    </row>
    <row r="35" spans="1:17">
      <c r="A35" s="98" t="s">
        <v>42</v>
      </c>
      <c r="B35" s="10" t="s">
        <v>218</v>
      </c>
      <c r="C35" s="10" t="s">
        <v>244</v>
      </c>
      <c r="D35" s="10" t="s">
        <v>176</v>
      </c>
      <c r="E35" s="10" t="s">
        <v>146</v>
      </c>
      <c r="F35" s="10" t="s">
        <v>271</v>
      </c>
      <c r="G35" s="10" t="s">
        <v>272</v>
      </c>
      <c r="H35" s="10"/>
      <c r="I35" s="12">
        <v>2019</v>
      </c>
      <c r="J35"/>
      <c r="K35" t="s">
        <v>212</v>
      </c>
      <c r="L35" t="s">
        <v>212</v>
      </c>
      <c r="M35"/>
      <c r="N35"/>
      <c r="Q35" s="109" t="s">
        <v>565</v>
      </c>
    </row>
    <row r="36" spans="1:17">
      <c r="A36" s="98" t="s">
        <v>42</v>
      </c>
      <c r="B36" s="10" t="s">
        <v>218</v>
      </c>
      <c r="C36" s="10" t="s">
        <v>244</v>
      </c>
      <c r="D36" s="10" t="s">
        <v>176</v>
      </c>
      <c r="E36" s="10" t="s">
        <v>147</v>
      </c>
      <c r="F36" s="99" t="s">
        <v>423</v>
      </c>
      <c r="G36" s="10" t="s">
        <v>272</v>
      </c>
      <c r="H36" s="10"/>
      <c r="I36" s="12">
        <v>2019</v>
      </c>
      <c r="J36"/>
      <c r="K36" t="s">
        <v>212</v>
      </c>
      <c r="L36" t="s">
        <v>212</v>
      </c>
      <c r="M36"/>
      <c r="N36"/>
      <c r="Q36" s="109" t="s">
        <v>554</v>
      </c>
    </row>
    <row r="37" spans="1:17" s="123" customFormat="1">
      <c r="A37" s="120" t="s">
        <v>42</v>
      </c>
      <c r="B37" s="121" t="s">
        <v>218</v>
      </c>
      <c r="C37" s="121" t="s">
        <v>380</v>
      </c>
      <c r="D37" s="121" t="s">
        <v>424</v>
      </c>
      <c r="E37" s="121" t="s">
        <v>421</v>
      </c>
      <c r="F37" s="121" t="s">
        <v>175</v>
      </c>
      <c r="G37" s="121" t="s">
        <v>271</v>
      </c>
      <c r="H37" s="121"/>
      <c r="I37" s="121" t="s">
        <v>212</v>
      </c>
      <c r="J37" s="121"/>
      <c r="K37" s="121" t="s">
        <v>212</v>
      </c>
      <c r="L37" s="121" t="s">
        <v>212</v>
      </c>
      <c r="M37" s="121"/>
      <c r="N37" s="122"/>
    </row>
    <row r="38" spans="1:17">
      <c r="A38" s="98" t="s">
        <v>42</v>
      </c>
      <c r="B38" s="10" t="s">
        <v>218</v>
      </c>
      <c r="C38" s="10" t="s">
        <v>245</v>
      </c>
      <c r="D38" s="10" t="s">
        <v>174</v>
      </c>
      <c r="E38" s="10" t="s">
        <v>162</v>
      </c>
      <c r="F38" s="10" t="s">
        <v>271</v>
      </c>
      <c r="G38" s="10" t="s">
        <v>272</v>
      </c>
      <c r="H38" s="10"/>
      <c r="I38" s="12" t="s">
        <v>212</v>
      </c>
      <c r="J38"/>
      <c r="K38" t="s">
        <v>425</v>
      </c>
      <c r="L38" s="12" t="s">
        <v>416</v>
      </c>
      <c r="M38"/>
      <c r="N38"/>
    </row>
    <row r="39" spans="1:17" s="84" customFormat="1">
      <c r="A39" s="106" t="s">
        <v>42</v>
      </c>
      <c r="B39" s="107" t="s">
        <v>218</v>
      </c>
      <c r="C39" s="107" t="s">
        <v>255</v>
      </c>
      <c r="D39" s="107" t="s">
        <v>426</v>
      </c>
      <c r="E39" s="107" t="s">
        <v>211</v>
      </c>
      <c r="F39" s="107" t="s">
        <v>271</v>
      </c>
      <c r="G39" s="107" t="s">
        <v>271</v>
      </c>
      <c r="H39" s="101" t="s">
        <v>212</v>
      </c>
      <c r="K39" s="84" t="s">
        <v>416</v>
      </c>
      <c r="L39" s="101" t="s">
        <v>212</v>
      </c>
      <c r="N39" s="84" t="s">
        <v>490</v>
      </c>
      <c r="Q39" s="110"/>
    </row>
    <row r="40" spans="1:17" s="126" customFormat="1">
      <c r="A40" s="127" t="s">
        <v>42</v>
      </c>
      <c r="B40" s="125" t="s">
        <v>218</v>
      </c>
      <c r="C40" s="125" t="s">
        <v>254</v>
      </c>
      <c r="D40" s="125" t="s">
        <v>254</v>
      </c>
      <c r="E40" s="125" t="s">
        <v>266</v>
      </c>
      <c r="F40" s="125" t="s">
        <v>271</v>
      </c>
      <c r="G40" s="125" t="s">
        <v>271</v>
      </c>
      <c r="H40" s="125" t="s">
        <v>212</v>
      </c>
      <c r="I40" s="124"/>
      <c r="J40" s="124"/>
      <c r="K40" s="124"/>
      <c r="L40" s="125" t="s">
        <v>212</v>
      </c>
      <c r="M40" s="124"/>
      <c r="N40" s="124" t="s">
        <v>427</v>
      </c>
      <c r="Q40" s="126" t="s">
        <v>558</v>
      </c>
    </row>
    <row r="41" spans="1:17">
      <c r="A41" s="106" t="s">
        <v>42</v>
      </c>
      <c r="B41" s="107" t="s">
        <v>218</v>
      </c>
      <c r="C41" s="107" t="s">
        <v>381</v>
      </c>
      <c r="D41" s="107" t="s">
        <v>276</v>
      </c>
      <c r="E41" s="107" t="s">
        <v>428</v>
      </c>
      <c r="F41" s="10" t="s">
        <v>271</v>
      </c>
      <c r="G41" s="10" t="s">
        <v>271</v>
      </c>
      <c r="H41" s="12"/>
      <c r="I41" s="12">
        <v>2019</v>
      </c>
      <c r="J41"/>
      <c r="K41"/>
      <c r="L41" t="s">
        <v>212</v>
      </c>
      <c r="M41"/>
      <c r="N41"/>
      <c r="Q41" s="109" t="s">
        <v>577</v>
      </c>
    </row>
    <row r="42" spans="1:17" s="84" customFormat="1">
      <c r="A42" s="106" t="s">
        <v>42</v>
      </c>
      <c r="B42" s="107" t="s">
        <v>218</v>
      </c>
      <c r="C42" s="107" t="s">
        <v>382</v>
      </c>
      <c r="D42" s="107" t="s">
        <v>429</v>
      </c>
      <c r="E42" s="107" t="s">
        <v>430</v>
      </c>
      <c r="F42" s="107" t="s">
        <v>271</v>
      </c>
      <c r="G42" s="107" t="s">
        <v>271</v>
      </c>
      <c r="H42" s="101" t="s">
        <v>212</v>
      </c>
      <c r="I42" s="101"/>
      <c r="K42" s="84" t="s">
        <v>212</v>
      </c>
      <c r="N42" s="84" t="s">
        <v>431</v>
      </c>
      <c r="Q42" s="110" t="s">
        <v>515</v>
      </c>
    </row>
    <row r="43" spans="1:17" s="84" customFormat="1">
      <c r="A43" s="98" t="s">
        <v>42</v>
      </c>
      <c r="B43" s="10" t="s">
        <v>235</v>
      </c>
      <c r="C43" s="10" t="s">
        <v>246</v>
      </c>
      <c r="D43" s="10" t="s">
        <v>432</v>
      </c>
      <c r="E43" s="10" t="s">
        <v>433</v>
      </c>
      <c r="F43" s="10" t="s">
        <v>271</v>
      </c>
      <c r="G43" s="10" t="s">
        <v>271</v>
      </c>
      <c r="H43" s="10"/>
      <c r="I43" s="12">
        <v>2019</v>
      </c>
      <c r="J43"/>
      <c r="K43" t="s">
        <v>212</v>
      </c>
      <c r="L43"/>
      <c r="M43" t="s">
        <v>212</v>
      </c>
      <c r="N43"/>
      <c r="Q43" s="110"/>
    </row>
    <row r="44" spans="1:17" s="84" customFormat="1">
      <c r="A44" s="106" t="s">
        <v>270</v>
      </c>
      <c r="B44" s="107" t="s">
        <v>233</v>
      </c>
      <c r="C44" s="107" t="s">
        <v>383</v>
      </c>
      <c r="D44" s="107" t="s">
        <v>434</v>
      </c>
      <c r="E44" s="107" t="s">
        <v>210</v>
      </c>
      <c r="F44" s="107" t="s">
        <v>175</v>
      </c>
      <c r="G44" s="107" t="s">
        <v>39</v>
      </c>
      <c r="H44" s="101" t="s">
        <v>212</v>
      </c>
      <c r="M44" s="84" t="s">
        <v>212</v>
      </c>
      <c r="N44" s="84" t="s">
        <v>571</v>
      </c>
      <c r="Q44" s="110"/>
    </row>
    <row r="45" spans="1:17" s="84" customFormat="1">
      <c r="A45" s="98" t="s">
        <v>103</v>
      </c>
      <c r="B45" s="10" t="s">
        <v>221</v>
      </c>
      <c r="C45" s="10" t="s">
        <v>247</v>
      </c>
      <c r="D45" s="10" t="s">
        <v>435</v>
      </c>
      <c r="E45" s="12" t="s">
        <v>438</v>
      </c>
      <c r="F45" s="10" t="s">
        <v>271</v>
      </c>
      <c r="G45" s="10" t="s">
        <v>271</v>
      </c>
      <c r="H45" s="10"/>
      <c r="I45" s="12">
        <v>2019</v>
      </c>
      <c r="J45"/>
      <c r="K45" t="s">
        <v>212</v>
      </c>
      <c r="L45"/>
      <c r="M45"/>
      <c r="N45"/>
      <c r="Q45" s="110"/>
    </row>
    <row r="46" spans="1:17">
      <c r="A46" s="98" t="s">
        <v>103</v>
      </c>
      <c r="B46" s="10" t="s">
        <v>221</v>
      </c>
      <c r="C46" s="10" t="s">
        <v>247</v>
      </c>
      <c r="D46" s="10" t="s">
        <v>436</v>
      </c>
      <c r="E46" s="12" t="s">
        <v>438</v>
      </c>
      <c r="F46" s="10" t="s">
        <v>271</v>
      </c>
      <c r="G46" s="10" t="s">
        <v>271</v>
      </c>
      <c r="H46" s="10"/>
      <c r="I46" s="12">
        <v>2019</v>
      </c>
      <c r="J46"/>
      <c r="K46" t="s">
        <v>212</v>
      </c>
      <c r="L46"/>
      <c r="M46"/>
      <c r="N46"/>
    </row>
    <row r="47" spans="1:17">
      <c r="A47" s="98" t="s">
        <v>103</v>
      </c>
      <c r="B47" s="10" t="s">
        <v>221</v>
      </c>
      <c r="C47" s="12" t="s">
        <v>247</v>
      </c>
      <c r="D47" s="12" t="s">
        <v>437</v>
      </c>
      <c r="E47" s="12" t="s">
        <v>438</v>
      </c>
      <c r="F47" s="10" t="s">
        <v>271</v>
      </c>
      <c r="G47" s="10" t="s">
        <v>271</v>
      </c>
      <c r="H47" s="10"/>
      <c r="I47" s="12">
        <v>2019</v>
      </c>
      <c r="J47"/>
      <c r="K47" t="s">
        <v>212</v>
      </c>
      <c r="L47"/>
      <c r="M47"/>
      <c r="N47"/>
    </row>
    <row r="48" spans="1:17">
      <c r="A48" s="98" t="s">
        <v>103</v>
      </c>
      <c r="B48" s="10" t="s">
        <v>221</v>
      </c>
      <c r="C48" s="12" t="s">
        <v>316</v>
      </c>
      <c r="D48" s="12" t="s">
        <v>439</v>
      </c>
      <c r="E48" s="12" t="s">
        <v>438</v>
      </c>
      <c r="F48" s="10" t="s">
        <v>271</v>
      </c>
      <c r="G48" s="10" t="s">
        <v>271</v>
      </c>
      <c r="H48" s="10"/>
      <c r="I48" s="12">
        <v>2019</v>
      </c>
      <c r="J48"/>
      <c r="K48" t="s">
        <v>212</v>
      </c>
      <c r="L48"/>
      <c r="M48"/>
      <c r="N48"/>
    </row>
    <row r="49" spans="1:17">
      <c r="A49" s="106" t="s">
        <v>103</v>
      </c>
      <c r="B49" s="107" t="s">
        <v>221</v>
      </c>
      <c r="C49" s="101" t="s">
        <v>384</v>
      </c>
      <c r="D49" s="101" t="s">
        <v>440</v>
      </c>
      <c r="E49" s="101" t="s">
        <v>438</v>
      </c>
      <c r="F49" s="10" t="s">
        <v>271</v>
      </c>
      <c r="G49" s="10" t="s">
        <v>271</v>
      </c>
      <c r="H49" s="12" t="s">
        <v>212</v>
      </c>
      <c r="I49" s="12"/>
      <c r="J49"/>
      <c r="K49" t="s">
        <v>212</v>
      </c>
      <c r="L49"/>
      <c r="M49"/>
      <c r="N49" t="s">
        <v>441</v>
      </c>
    </row>
    <row r="50" spans="1:17" s="126" customFormat="1">
      <c r="A50" s="127"/>
      <c r="B50" s="125" t="s">
        <v>224</v>
      </c>
      <c r="C50" s="125" t="s">
        <v>590</v>
      </c>
      <c r="D50" s="125" t="s">
        <v>591</v>
      </c>
      <c r="E50" s="125" t="s">
        <v>592</v>
      </c>
      <c r="F50" s="125"/>
      <c r="G50" s="125"/>
      <c r="H50" s="125"/>
      <c r="I50" s="125"/>
      <c r="J50" s="124"/>
      <c r="K50" s="124"/>
      <c r="L50" s="124"/>
      <c r="M50" s="124"/>
      <c r="N50" s="124"/>
      <c r="Q50" s="126" t="s">
        <v>593</v>
      </c>
    </row>
    <row r="51" spans="1:17" s="126" customFormat="1">
      <c r="A51" s="127" t="s">
        <v>104</v>
      </c>
      <c r="B51" s="125" t="s">
        <v>225</v>
      </c>
      <c r="C51" s="125" t="s">
        <v>225</v>
      </c>
      <c r="D51" s="125" t="s">
        <v>166</v>
      </c>
      <c r="E51" s="125" t="s">
        <v>165</v>
      </c>
      <c r="F51" s="125" t="s">
        <v>271</v>
      </c>
      <c r="G51" s="125" t="s">
        <v>271</v>
      </c>
      <c r="H51" s="125"/>
      <c r="I51" s="125">
        <v>2019</v>
      </c>
      <c r="J51" s="125" t="s">
        <v>400</v>
      </c>
      <c r="K51" s="124" t="s">
        <v>212</v>
      </c>
      <c r="L51" s="124"/>
      <c r="M51" s="124"/>
      <c r="N51" s="124"/>
      <c r="Q51" s="126" t="s">
        <v>513</v>
      </c>
    </row>
    <row r="52" spans="1:17" s="126" customFormat="1">
      <c r="A52" s="127" t="s">
        <v>104</v>
      </c>
      <c r="B52" s="125" t="s">
        <v>226</v>
      </c>
      <c r="C52" s="125" t="s">
        <v>226</v>
      </c>
      <c r="D52" s="125" t="s">
        <v>164</v>
      </c>
      <c r="E52" s="125" t="s">
        <v>165</v>
      </c>
      <c r="F52" s="125" t="s">
        <v>271</v>
      </c>
      <c r="G52" s="125" t="s">
        <v>271</v>
      </c>
      <c r="H52" s="125"/>
      <c r="I52" s="125">
        <v>2019</v>
      </c>
      <c r="J52" s="125" t="s">
        <v>400</v>
      </c>
      <c r="K52" s="124" t="s">
        <v>212</v>
      </c>
      <c r="L52" s="124"/>
      <c r="M52" s="124"/>
      <c r="N52" s="124"/>
      <c r="Q52" s="126" t="s">
        <v>513</v>
      </c>
    </row>
    <row r="53" spans="1:17" s="126" customFormat="1">
      <c r="A53" s="127" t="s">
        <v>144</v>
      </c>
      <c r="B53" s="125" t="s">
        <v>229</v>
      </c>
      <c r="C53" s="125" t="s">
        <v>229</v>
      </c>
      <c r="D53" s="125" t="s">
        <v>171</v>
      </c>
      <c r="E53" s="125" t="s">
        <v>265</v>
      </c>
      <c r="F53" s="125" t="s">
        <v>271</v>
      </c>
      <c r="G53" s="125" t="s">
        <v>272</v>
      </c>
      <c r="H53" s="125" t="s">
        <v>212</v>
      </c>
      <c r="I53" s="124"/>
      <c r="J53" s="124"/>
      <c r="K53" s="124"/>
      <c r="L53" s="124"/>
      <c r="M53" s="124"/>
      <c r="N53" s="124" t="s">
        <v>442</v>
      </c>
      <c r="Q53" s="126" t="s">
        <v>513</v>
      </c>
    </row>
    <row r="54" spans="1:17" s="126" customFormat="1">
      <c r="A54" s="127" t="s">
        <v>144</v>
      </c>
      <c r="B54" s="125" t="s">
        <v>227</v>
      </c>
      <c r="C54" s="125" t="s">
        <v>248</v>
      </c>
      <c r="D54" s="125" t="s">
        <v>257</v>
      </c>
      <c r="E54" s="125" t="s">
        <v>256</v>
      </c>
      <c r="F54" s="125" t="s">
        <v>214</v>
      </c>
      <c r="G54" s="125" t="s">
        <v>39</v>
      </c>
      <c r="H54" s="125"/>
      <c r="I54" s="124"/>
      <c r="J54" s="124"/>
      <c r="K54" s="124"/>
      <c r="L54" s="124"/>
      <c r="M54" s="124"/>
      <c r="N54" s="124"/>
      <c r="Q54" s="126" t="s">
        <v>507</v>
      </c>
    </row>
    <row r="55" spans="1:17" s="123" customFormat="1">
      <c r="A55" s="120" t="s">
        <v>144</v>
      </c>
      <c r="B55" s="121" t="s">
        <v>227</v>
      </c>
      <c r="C55" s="121" t="s">
        <v>249</v>
      </c>
      <c r="D55" s="121" t="s">
        <v>443</v>
      </c>
      <c r="E55" s="121" t="s">
        <v>263</v>
      </c>
      <c r="F55" s="121" t="s">
        <v>271</v>
      </c>
      <c r="G55" s="121" t="s">
        <v>271</v>
      </c>
      <c r="H55" s="121"/>
      <c r="I55" s="121" t="s">
        <v>212</v>
      </c>
      <c r="J55" s="121" t="s">
        <v>444</v>
      </c>
      <c r="K55" s="122" t="s">
        <v>212</v>
      </c>
      <c r="L55" s="122" t="s">
        <v>212</v>
      </c>
      <c r="M55" s="122"/>
      <c r="N55" s="122"/>
      <c r="Q55" s="123" t="s">
        <v>504</v>
      </c>
    </row>
    <row r="56" spans="1:17" s="126" customFormat="1">
      <c r="A56" s="127" t="s">
        <v>144</v>
      </c>
      <c r="B56" s="125" t="s">
        <v>223</v>
      </c>
      <c r="C56" s="125" t="s">
        <v>250</v>
      </c>
      <c r="D56" s="125" t="s">
        <v>261</v>
      </c>
      <c r="E56" s="125" t="s">
        <v>445</v>
      </c>
      <c r="F56" s="125" t="s">
        <v>271</v>
      </c>
      <c r="G56" s="125" t="s">
        <v>271</v>
      </c>
      <c r="H56" s="125"/>
      <c r="I56" s="125" t="s">
        <v>212</v>
      </c>
      <c r="J56" s="124"/>
      <c r="K56" s="124" t="s">
        <v>212</v>
      </c>
      <c r="L56" s="124"/>
      <c r="M56" s="124"/>
      <c r="Q56" s="124" t="s">
        <v>476</v>
      </c>
    </row>
    <row r="57" spans="1:17" s="126" customFormat="1">
      <c r="A57" s="127" t="s">
        <v>144</v>
      </c>
      <c r="B57" s="125" t="s">
        <v>223</v>
      </c>
      <c r="C57" s="125" t="s">
        <v>251</v>
      </c>
      <c r="D57" s="125" t="s">
        <v>262</v>
      </c>
      <c r="E57" s="125" t="s">
        <v>446</v>
      </c>
      <c r="F57" s="125" t="s">
        <v>271</v>
      </c>
      <c r="G57" s="125" t="s">
        <v>271</v>
      </c>
      <c r="H57" s="125"/>
      <c r="I57" s="125" t="s">
        <v>212</v>
      </c>
      <c r="J57" s="124"/>
      <c r="K57" s="124" t="s">
        <v>212</v>
      </c>
      <c r="L57" s="124"/>
      <c r="M57" s="124"/>
      <c r="N57" s="124"/>
      <c r="Q57" s="126" t="s">
        <v>506</v>
      </c>
    </row>
    <row r="58" spans="1:17" s="123" customFormat="1">
      <c r="A58" s="120" t="s">
        <v>144</v>
      </c>
      <c r="B58" s="121" t="s">
        <v>223</v>
      </c>
      <c r="C58" s="121" t="s">
        <v>252</v>
      </c>
      <c r="D58" s="121" t="s">
        <v>154</v>
      </c>
      <c r="E58" s="121" t="s">
        <v>471</v>
      </c>
      <c r="F58" s="121" t="s">
        <v>271</v>
      </c>
      <c r="G58" s="121" t="s">
        <v>271</v>
      </c>
      <c r="H58" s="121"/>
      <c r="I58" s="121">
        <v>2019</v>
      </c>
      <c r="J58" s="122"/>
      <c r="K58" s="122" t="s">
        <v>212</v>
      </c>
      <c r="L58" s="122"/>
      <c r="M58" s="122"/>
      <c r="N58" s="122"/>
      <c r="Q58" s="123" t="s">
        <v>479</v>
      </c>
    </row>
    <row r="59" spans="1:17" s="126" customFormat="1">
      <c r="A59" s="127" t="s">
        <v>144</v>
      </c>
      <c r="B59" s="125" t="s">
        <v>223</v>
      </c>
      <c r="C59" s="125" t="s">
        <v>385</v>
      </c>
      <c r="D59" s="125" t="s">
        <v>385</v>
      </c>
      <c r="E59" s="125" t="s">
        <v>448</v>
      </c>
      <c r="F59" s="125" t="s">
        <v>271</v>
      </c>
      <c r="G59" s="125" t="s">
        <v>271</v>
      </c>
      <c r="H59" s="125" t="s">
        <v>212</v>
      </c>
      <c r="I59" s="125">
        <v>2019</v>
      </c>
      <c r="J59" s="124"/>
      <c r="K59" s="124"/>
      <c r="L59" s="124"/>
      <c r="M59" s="124"/>
      <c r="N59" s="124"/>
      <c r="Q59" s="126" t="s">
        <v>478</v>
      </c>
    </row>
    <row r="60" spans="1:17" s="126" customFormat="1">
      <c r="A60" s="127" t="s">
        <v>144</v>
      </c>
      <c r="B60" s="125" t="s">
        <v>223</v>
      </c>
      <c r="C60" s="125" t="s">
        <v>153</v>
      </c>
      <c r="D60" s="125" t="s">
        <v>258</v>
      </c>
      <c r="E60" s="125" t="s">
        <v>447</v>
      </c>
      <c r="F60" s="125" t="s">
        <v>271</v>
      </c>
      <c r="G60" s="125" t="s">
        <v>271</v>
      </c>
      <c r="H60" s="125"/>
      <c r="I60" s="125" t="s">
        <v>212</v>
      </c>
      <c r="J60" s="124"/>
      <c r="K60" s="124" t="s">
        <v>212</v>
      </c>
      <c r="L60" s="124"/>
      <c r="M60" s="124"/>
      <c r="N60" s="124"/>
      <c r="Q60" s="126" t="s">
        <v>478</v>
      </c>
    </row>
    <row r="61" spans="1:17" s="123" customFormat="1">
      <c r="A61" s="131" t="s">
        <v>144</v>
      </c>
      <c r="B61" s="132" t="s">
        <v>449</v>
      </c>
      <c r="C61" s="132" t="s">
        <v>386</v>
      </c>
      <c r="D61" s="132" t="s">
        <v>450</v>
      </c>
      <c r="E61" s="132" t="s">
        <v>451</v>
      </c>
      <c r="F61" s="132" t="s">
        <v>452</v>
      </c>
      <c r="G61" s="132" t="s">
        <v>272</v>
      </c>
      <c r="H61" s="132" t="s">
        <v>212</v>
      </c>
      <c r="I61" s="132" t="s">
        <v>212</v>
      </c>
      <c r="N61" s="123" t="s">
        <v>527</v>
      </c>
      <c r="Q61" s="123" t="s">
        <v>579</v>
      </c>
    </row>
    <row r="62" spans="1:17">
      <c r="A62" s="98" t="s">
        <v>230</v>
      </c>
      <c r="B62" s="10" t="s">
        <v>231</v>
      </c>
      <c r="C62" s="10" t="s">
        <v>253</v>
      </c>
      <c r="D62" s="10" t="s">
        <v>259</v>
      </c>
      <c r="E62" s="10" t="s">
        <v>260</v>
      </c>
      <c r="F62" s="10" t="s">
        <v>271</v>
      </c>
      <c r="G62" s="10" t="s">
        <v>271</v>
      </c>
      <c r="H62" s="10"/>
      <c r="I62"/>
      <c r="J62"/>
      <c r="K62"/>
      <c r="L62" t="s">
        <v>453</v>
      </c>
      <c r="M62"/>
      <c r="N62" t="s">
        <v>454</v>
      </c>
    </row>
    <row r="63" spans="1:17" s="126" customFormat="1">
      <c r="A63" s="127" t="s">
        <v>230</v>
      </c>
      <c r="B63" s="125" t="s">
        <v>224</v>
      </c>
      <c r="C63" s="125" t="s">
        <v>275</v>
      </c>
      <c r="D63" s="125" t="s">
        <v>569</v>
      </c>
      <c r="E63" s="125" t="s">
        <v>570</v>
      </c>
      <c r="F63" s="125" t="s">
        <v>175</v>
      </c>
      <c r="G63" s="125" t="s">
        <v>271</v>
      </c>
      <c r="H63" s="125"/>
      <c r="I63" s="125">
        <v>2019</v>
      </c>
      <c r="J63" s="125"/>
      <c r="K63" s="125" t="s">
        <v>212</v>
      </c>
      <c r="L63" s="125"/>
      <c r="M63" s="125" t="s">
        <v>455</v>
      </c>
      <c r="N63" s="124"/>
      <c r="Q63" s="126" t="s">
        <v>540</v>
      </c>
    </row>
    <row r="64" spans="1:17" s="84" customFormat="1">
      <c r="A64" s="100" t="s">
        <v>456</v>
      </c>
      <c r="B64" s="101" t="s">
        <v>387</v>
      </c>
      <c r="C64" s="101" t="s">
        <v>387</v>
      </c>
      <c r="D64" s="101" t="s">
        <v>457</v>
      </c>
      <c r="E64" s="101" t="s">
        <v>458</v>
      </c>
      <c r="F64" s="101" t="s">
        <v>271</v>
      </c>
      <c r="G64" s="101" t="s">
        <v>271</v>
      </c>
      <c r="H64" s="101" t="s">
        <v>212</v>
      </c>
      <c r="K64" s="101" t="s">
        <v>212</v>
      </c>
      <c r="N64" s="84" t="s">
        <v>464</v>
      </c>
      <c r="Q64" s="110" t="s">
        <v>477</v>
      </c>
    </row>
    <row r="65" spans="1:18" s="123" customFormat="1">
      <c r="A65" s="122" t="s">
        <v>456</v>
      </c>
      <c r="B65" s="122" t="s">
        <v>224</v>
      </c>
      <c r="C65" s="121" t="s">
        <v>388</v>
      </c>
      <c r="D65" s="121" t="s">
        <v>459</v>
      </c>
      <c r="E65" s="121" t="s">
        <v>405</v>
      </c>
      <c r="F65" s="121" t="s">
        <v>271</v>
      </c>
      <c r="G65" s="121" t="s">
        <v>271</v>
      </c>
      <c r="H65" s="121" t="s">
        <v>212</v>
      </c>
      <c r="I65" s="122"/>
      <c r="J65" s="122"/>
      <c r="K65" s="121" t="s">
        <v>212</v>
      </c>
      <c r="L65" s="122"/>
      <c r="M65" s="122"/>
      <c r="N65" s="122" t="s">
        <v>460</v>
      </c>
      <c r="Q65" s="123" t="s">
        <v>566</v>
      </c>
    </row>
    <row r="66" spans="1:18">
      <c r="A66" s="84" t="s">
        <v>456</v>
      </c>
      <c r="B66" s="84" t="s">
        <v>224</v>
      </c>
      <c r="C66" s="101" t="s">
        <v>389</v>
      </c>
      <c r="D66" s="101" t="s">
        <v>461</v>
      </c>
      <c r="E66" s="101" t="s">
        <v>462</v>
      </c>
      <c r="F66" s="101" t="s">
        <v>271</v>
      </c>
      <c r="G66" s="101" t="s">
        <v>271</v>
      </c>
      <c r="H66" s="101" t="s">
        <v>212</v>
      </c>
      <c r="I66" s="84"/>
      <c r="J66" s="84"/>
      <c r="K66" s="101" t="s">
        <v>212</v>
      </c>
      <c r="L66" s="84"/>
      <c r="M66" s="84"/>
      <c r="N66" s="84" t="s">
        <v>463</v>
      </c>
      <c r="O66" s="84"/>
      <c r="P66" s="84"/>
      <c r="Q66" s="110" t="s">
        <v>529</v>
      </c>
      <c r="R66" s="84"/>
    </row>
    <row r="67" spans="1:18" s="126" customFormat="1">
      <c r="A67" s="126" t="s">
        <v>456</v>
      </c>
      <c r="B67" s="126" t="s">
        <v>224</v>
      </c>
      <c r="C67" s="133" t="s">
        <v>522</v>
      </c>
      <c r="D67" s="133" t="s">
        <v>524</v>
      </c>
      <c r="E67" s="133" t="s">
        <v>525</v>
      </c>
      <c r="Q67" s="126" t="s">
        <v>526</v>
      </c>
    </row>
    <row r="68" spans="1:18">
      <c r="A68" s="76" t="s">
        <v>42</v>
      </c>
      <c r="B68" s="81" t="s">
        <v>218</v>
      </c>
      <c r="C68" s="76" t="s">
        <v>556</v>
      </c>
      <c r="E68" s="81" t="s">
        <v>568</v>
      </c>
      <c r="N68" s="81" t="s">
        <v>567</v>
      </c>
    </row>
    <row r="73" spans="1:18">
      <c r="B73" s="123" t="s">
        <v>586</v>
      </c>
    </row>
    <row r="74" spans="1:18">
      <c r="B74" s="126" t="s">
        <v>587</v>
      </c>
    </row>
  </sheetData>
  <autoFilter ref="A1:Q1" xr:uid="{00000000-0009-0000-0000-00000C000000}"/>
  <dataConsolidate/>
  <hyperlinks>
    <hyperlink ref="L27" r:id="rId1" display="http://e3tnw.org/ItemDetail.aspx?id=240" xr:uid="{00000000-0004-0000-0C00-000000000000}"/>
    <hyperlink ref="L28" r:id="rId2" display="http://e3tnw.org/ItemDetail.aspx?id=156 " xr:uid="{00000000-0004-0000-0C00-000001000000}"/>
  </hyperlinks>
  <pageMargins left="0.7" right="0.7" top="0.75" bottom="0.75" header="0.3" footer="0.3"/>
  <pageSetup orientation="portrait"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14"/>
  <sheetViews>
    <sheetView workbookViewId="0">
      <selection activeCell="A2" sqref="A2:D2"/>
    </sheetView>
  </sheetViews>
  <sheetFormatPr defaultRowHeight="12.75"/>
  <cols>
    <col min="1" max="1" width="9.140625" bestFit="1" customWidth="1"/>
    <col min="17" max="17" width="32.5703125" customWidth="1"/>
    <col min="18" max="18" width="11.28515625" customWidth="1"/>
    <col min="19" max="19" width="13.140625" customWidth="1"/>
  </cols>
  <sheetData>
    <row r="1" spans="1:19">
      <c r="A1" s="62" t="s">
        <v>465</v>
      </c>
      <c r="B1" s="35"/>
      <c r="C1" s="35"/>
      <c r="D1" s="35"/>
      <c r="E1" s="35"/>
      <c r="F1" s="35"/>
    </row>
    <row r="2" spans="1:19">
      <c r="A2" s="155">
        <v>43552</v>
      </c>
      <c r="B2" s="84" t="s">
        <v>466</v>
      </c>
      <c r="C2" s="84"/>
      <c r="D2" s="84"/>
    </row>
    <row r="8" spans="1:19">
      <c r="Q8" s="8"/>
      <c r="R8" s="63"/>
      <c r="S8" s="64"/>
    </row>
    <row r="14" spans="1:19">
      <c r="S14" s="8"/>
    </row>
  </sheetData>
  <phoneticPr fontId="1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B130"/>
  <sheetViews>
    <sheetView zoomScale="75" workbookViewId="0">
      <selection activeCell="B3" sqref="B3"/>
    </sheetView>
  </sheetViews>
  <sheetFormatPr defaultRowHeight="12.75"/>
  <cols>
    <col min="1" max="1" width="16.140625" customWidth="1"/>
    <col min="2" max="2" width="95.28515625" customWidth="1"/>
    <col min="3" max="3" width="13.7109375" customWidth="1"/>
  </cols>
  <sheetData>
    <row r="1" spans="1:2">
      <c r="A1" s="20" t="str">
        <f ca="1">CELL("filename")</f>
        <v>Q:\Eighth Plan\Conservation Analysis\Residential\[Res_Master2021P.xlsx]TURN</v>
      </c>
    </row>
    <row r="2" spans="1:2">
      <c r="A2" s="22" t="s">
        <v>3</v>
      </c>
      <c r="B2" s="30">
        <f ca="1">TODAY()</f>
        <v>44043</v>
      </c>
    </row>
    <row r="116" spans="1:2" ht="15.75">
      <c r="A116" s="65" t="s">
        <v>88</v>
      </c>
      <c r="B116" s="65" t="s">
        <v>4</v>
      </c>
    </row>
    <row r="117" spans="1:2" ht="15">
      <c r="A117" s="66" t="s">
        <v>5</v>
      </c>
      <c r="B117" s="66" t="s">
        <v>91</v>
      </c>
    </row>
    <row r="118" spans="1:2" ht="15">
      <c r="A118" s="66" t="s">
        <v>96</v>
      </c>
      <c r="B118" s="67" t="s">
        <v>95</v>
      </c>
    </row>
    <row r="119" spans="1:2" ht="15">
      <c r="A119" s="66" t="s">
        <v>27</v>
      </c>
      <c r="B119" s="66" t="s">
        <v>90</v>
      </c>
    </row>
    <row r="120" spans="1:2" ht="15">
      <c r="A120" s="66" t="s">
        <v>29</v>
      </c>
      <c r="B120" s="66" t="s">
        <v>101</v>
      </c>
    </row>
    <row r="121" spans="1:2" ht="15">
      <c r="A121" s="66" t="s">
        <v>80</v>
      </c>
      <c r="B121" s="66" t="s">
        <v>100</v>
      </c>
    </row>
    <row r="122" spans="1:2" ht="15">
      <c r="A122" s="66" t="s">
        <v>81</v>
      </c>
      <c r="B122" s="66" t="s">
        <v>99</v>
      </c>
    </row>
    <row r="123" spans="1:2" ht="15">
      <c r="A123" s="66" t="s">
        <v>83</v>
      </c>
      <c r="B123" s="66" t="s">
        <v>98</v>
      </c>
    </row>
    <row r="124" spans="1:2" ht="15">
      <c r="A124" s="66" t="s">
        <v>84</v>
      </c>
      <c r="B124" s="66" t="s">
        <v>89</v>
      </c>
    </row>
    <row r="125" spans="1:2" ht="15">
      <c r="A125" s="66" t="s">
        <v>22</v>
      </c>
      <c r="B125" s="66" t="s">
        <v>33</v>
      </c>
    </row>
    <row r="126" spans="1:2" ht="15">
      <c r="A126" s="66" t="s">
        <v>369</v>
      </c>
      <c r="B126" s="66" t="s">
        <v>370</v>
      </c>
    </row>
    <row r="127" spans="1:2" ht="15">
      <c r="A127" s="66" t="s">
        <v>70</v>
      </c>
      <c r="B127" s="66" t="s">
        <v>97</v>
      </c>
    </row>
    <row r="128" spans="1:2" ht="15">
      <c r="A128" s="66"/>
      <c r="B128" s="66"/>
    </row>
    <row r="129" spans="1:2" ht="15">
      <c r="A129" s="66"/>
      <c r="B129" s="66"/>
    </row>
    <row r="130" spans="1:2" ht="15">
      <c r="A130" s="66"/>
      <c r="B130" s="66"/>
    </row>
  </sheetData>
  <phoneticPr fontId="0"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tabColor rgb="FFFF0000"/>
  </sheetPr>
  <dimension ref="A1:H171"/>
  <sheetViews>
    <sheetView zoomScale="115" zoomScaleNormal="115" workbookViewId="0">
      <selection activeCell="B11" sqref="B11"/>
    </sheetView>
  </sheetViews>
  <sheetFormatPr defaultRowHeight="12.75"/>
  <cols>
    <col min="1" max="1" width="14.42578125" customWidth="1"/>
    <col min="2" max="2" width="38.85546875" customWidth="1"/>
    <col min="3" max="3" width="9.28515625" customWidth="1"/>
    <col min="4" max="4" width="41.42578125" customWidth="1"/>
    <col min="5" max="5" width="13.42578125" customWidth="1"/>
    <col min="6" max="6" width="87" customWidth="1"/>
    <col min="8" max="8" width="40" customWidth="1"/>
  </cols>
  <sheetData>
    <row r="1" spans="1:8">
      <c r="A1" t="s">
        <v>27</v>
      </c>
      <c r="B1" t="s">
        <v>32</v>
      </c>
    </row>
    <row r="4" spans="1:8">
      <c r="A4">
        <v>1</v>
      </c>
      <c r="B4">
        <v>2</v>
      </c>
      <c r="C4">
        <v>3</v>
      </c>
      <c r="D4">
        <v>4</v>
      </c>
      <c r="E4">
        <v>5</v>
      </c>
      <c r="F4">
        <v>6</v>
      </c>
      <c r="G4">
        <v>7</v>
      </c>
    </row>
    <row r="7" spans="1:8">
      <c r="D7" s="34" t="s">
        <v>31</v>
      </c>
    </row>
    <row r="8" spans="1:8" s="9" customFormat="1" ht="51">
      <c r="A8" s="27" t="s">
        <v>43</v>
      </c>
      <c r="B8" s="27" t="s">
        <v>67</v>
      </c>
      <c r="C8" s="27" t="s">
        <v>44</v>
      </c>
      <c r="D8" s="27" t="s">
        <v>68</v>
      </c>
      <c r="E8" s="27" t="s">
        <v>30</v>
      </c>
      <c r="F8" s="27" t="s">
        <v>34</v>
      </c>
      <c r="G8" s="27" t="s">
        <v>35</v>
      </c>
      <c r="H8" s="27" t="s">
        <v>2</v>
      </c>
    </row>
    <row r="9" spans="1:8">
      <c r="A9" s="12" t="s">
        <v>103</v>
      </c>
      <c r="B9" s="69" t="s">
        <v>606</v>
      </c>
      <c r="C9" s="12" t="s">
        <v>39</v>
      </c>
      <c r="D9" s="69" t="str">
        <f>CONCATENATE(B9," - ",C9)</f>
        <v>Pin Lamps - New</v>
      </c>
      <c r="G9" s="1"/>
    </row>
    <row r="10" spans="1:8">
      <c r="A10" s="12" t="s">
        <v>103</v>
      </c>
      <c r="B10" s="69" t="s">
        <v>606</v>
      </c>
      <c r="C10" s="12" t="s">
        <v>40</v>
      </c>
      <c r="D10" s="69" t="str">
        <f t="shared" ref="D10:D54" si="0">CONCATENATE(B10," - ",C10)</f>
        <v>Pin Lamps - NR</v>
      </c>
      <c r="G10" s="1"/>
    </row>
    <row r="11" spans="1:8">
      <c r="A11" s="12" t="s">
        <v>103</v>
      </c>
      <c r="B11" s="76" t="s">
        <v>247</v>
      </c>
      <c r="C11" s="12" t="s">
        <v>40</v>
      </c>
      <c r="D11" s="69" t="str">
        <f t="shared" si="0"/>
        <v>Lamps - NR</v>
      </c>
      <c r="G11" s="1"/>
    </row>
    <row r="12" spans="1:8">
      <c r="A12" s="12" t="s">
        <v>144</v>
      </c>
      <c r="B12" s="69" t="s">
        <v>123</v>
      </c>
      <c r="C12" s="12" t="s">
        <v>39</v>
      </c>
      <c r="D12" s="69" t="str">
        <f t="shared" si="0"/>
        <v>Dishwasher - New</v>
      </c>
      <c r="G12" s="1"/>
    </row>
    <row r="13" spans="1:8">
      <c r="A13" s="12" t="s">
        <v>144</v>
      </c>
      <c r="B13" s="69" t="s">
        <v>123</v>
      </c>
      <c r="C13" s="12" t="s">
        <v>40</v>
      </c>
      <c r="D13" s="69" t="str">
        <f t="shared" si="0"/>
        <v>Dishwasher - NR</v>
      </c>
      <c r="G13" s="1"/>
    </row>
    <row r="14" spans="1:8">
      <c r="A14" s="12" t="s">
        <v>144</v>
      </c>
      <c r="B14" s="69" t="s">
        <v>332</v>
      </c>
      <c r="C14" s="12" t="s">
        <v>39</v>
      </c>
      <c r="D14" s="69" t="str">
        <f t="shared" si="0"/>
        <v>Clothes Washer - New</v>
      </c>
      <c r="G14" s="1"/>
    </row>
    <row r="15" spans="1:8">
      <c r="A15" s="12" t="s">
        <v>144</v>
      </c>
      <c r="B15" s="69" t="s">
        <v>332</v>
      </c>
      <c r="C15" s="12" t="s">
        <v>40</v>
      </c>
      <c r="D15" s="69" t="str">
        <f t="shared" si="0"/>
        <v>Clothes Washer - NR</v>
      </c>
      <c r="G15" s="1"/>
    </row>
    <row r="16" spans="1:8">
      <c r="A16" s="12" t="s">
        <v>144</v>
      </c>
      <c r="B16" s="69" t="s">
        <v>330</v>
      </c>
      <c r="C16" s="12" t="s">
        <v>39</v>
      </c>
      <c r="D16" s="69" t="str">
        <f t="shared" si="0"/>
        <v>WasteWater Heat Recovery - New</v>
      </c>
      <c r="G16" s="1"/>
    </row>
    <row r="17" spans="1:7">
      <c r="A17" s="12" t="s">
        <v>144</v>
      </c>
      <c r="B17" s="69" t="s">
        <v>252</v>
      </c>
      <c r="C17" s="12" t="s">
        <v>39</v>
      </c>
      <c r="D17" s="69" t="str">
        <f t="shared" si="0"/>
        <v>Showerheads - New</v>
      </c>
      <c r="G17" s="1"/>
    </row>
    <row r="18" spans="1:7">
      <c r="A18" s="12" t="s">
        <v>144</v>
      </c>
      <c r="B18" s="69" t="s">
        <v>252</v>
      </c>
      <c r="C18" s="12" t="s">
        <v>40</v>
      </c>
      <c r="D18" s="69" t="str">
        <f t="shared" si="0"/>
        <v>Showerheads - NR</v>
      </c>
      <c r="G18" s="1"/>
    </row>
    <row r="19" spans="1:7">
      <c r="A19" s="12" t="s">
        <v>144</v>
      </c>
      <c r="B19" s="69" t="s">
        <v>385</v>
      </c>
      <c r="C19" s="12" t="s">
        <v>39</v>
      </c>
      <c r="D19" s="69" t="str">
        <f t="shared" si="0"/>
        <v>TSRV - New</v>
      </c>
      <c r="G19" s="1"/>
    </row>
    <row r="20" spans="1:7">
      <c r="A20" s="12" t="s">
        <v>144</v>
      </c>
      <c r="B20" s="69" t="s">
        <v>385</v>
      </c>
      <c r="C20" s="12" t="s">
        <v>41</v>
      </c>
      <c r="D20" s="69" t="str">
        <f t="shared" ref="D20" si="1">CONCATENATE(B20," - ",C20)</f>
        <v>TSRV - Retro</v>
      </c>
      <c r="G20" s="1"/>
    </row>
    <row r="21" spans="1:7">
      <c r="A21" s="12" t="s">
        <v>144</v>
      </c>
      <c r="B21" s="70" t="s">
        <v>279</v>
      </c>
      <c r="C21" s="12" t="s">
        <v>39</v>
      </c>
      <c r="D21" s="69" t="str">
        <f t="shared" si="0"/>
        <v>HPWH - New</v>
      </c>
      <c r="G21" s="1"/>
    </row>
    <row r="22" spans="1:7">
      <c r="A22" s="12" t="s">
        <v>144</v>
      </c>
      <c r="B22" s="70" t="s">
        <v>279</v>
      </c>
      <c r="C22" s="12" t="s">
        <v>40</v>
      </c>
      <c r="D22" s="69" t="str">
        <f t="shared" si="0"/>
        <v>HPWH - NR</v>
      </c>
      <c r="G22" s="1"/>
    </row>
    <row r="23" spans="1:7">
      <c r="A23" s="12" t="s">
        <v>144</v>
      </c>
      <c r="B23" s="70" t="s">
        <v>140</v>
      </c>
      <c r="C23" s="12" t="s">
        <v>39</v>
      </c>
      <c r="D23" s="69" t="str">
        <f>CONCATENATE(B23," - ",C23)</f>
        <v>Aerator - New</v>
      </c>
      <c r="G23" s="1"/>
    </row>
    <row r="24" spans="1:7">
      <c r="A24" s="12" t="s">
        <v>144</v>
      </c>
      <c r="B24" s="70" t="s">
        <v>140</v>
      </c>
      <c r="C24" s="12" t="s">
        <v>41</v>
      </c>
      <c r="D24" s="69" t="str">
        <f>CONCATENATE(B24," - ",C24)</f>
        <v>Aerator - Retro</v>
      </c>
      <c r="G24" s="1"/>
    </row>
    <row r="25" spans="1:7">
      <c r="A25" s="12" t="s">
        <v>328</v>
      </c>
      <c r="B25" s="70" t="s">
        <v>109</v>
      </c>
      <c r="C25" s="12" t="s">
        <v>39</v>
      </c>
      <c r="D25" s="69" t="str">
        <f>CONCATENATE(B25," - ",C25)</f>
        <v>WH Pipe insulation - New</v>
      </c>
      <c r="G25" s="1"/>
    </row>
    <row r="26" spans="1:7">
      <c r="A26" s="12" t="s">
        <v>328</v>
      </c>
      <c r="B26" s="70" t="s">
        <v>109</v>
      </c>
      <c r="C26" s="12" t="s">
        <v>41</v>
      </c>
      <c r="D26" s="69" t="str">
        <f>CONCATENATE(B26," - ",C26)</f>
        <v>WH Pipe insulation - Retro</v>
      </c>
      <c r="G26" s="1"/>
    </row>
    <row r="27" spans="1:7">
      <c r="A27" s="12" t="s">
        <v>144</v>
      </c>
      <c r="B27" s="69" t="s">
        <v>584</v>
      </c>
      <c r="C27" s="12" t="s">
        <v>39</v>
      </c>
      <c r="D27" s="69" t="str">
        <f t="shared" ref="D27:D28" si="2">CONCATENATE(B27," - ",C27)</f>
        <v>Circulators - New</v>
      </c>
      <c r="G27" s="1"/>
    </row>
    <row r="28" spans="1:7">
      <c r="A28" s="12" t="s">
        <v>144</v>
      </c>
      <c r="B28" s="69" t="s">
        <v>584</v>
      </c>
      <c r="C28" s="12" t="s">
        <v>40</v>
      </c>
      <c r="D28" s="69" t="str">
        <f t="shared" si="2"/>
        <v>Circulators - NR</v>
      </c>
      <c r="G28" s="1"/>
    </row>
    <row r="29" spans="1:7">
      <c r="A29" s="12" t="s">
        <v>327</v>
      </c>
      <c r="B29" s="69" t="s">
        <v>240</v>
      </c>
      <c r="C29" s="12" t="s">
        <v>39</v>
      </c>
      <c r="D29" s="69" t="str">
        <f t="shared" si="0"/>
        <v>Clothes Dryer - New</v>
      </c>
      <c r="G29" s="48"/>
    </row>
    <row r="30" spans="1:7">
      <c r="A30" s="12" t="s">
        <v>327</v>
      </c>
      <c r="B30" s="69" t="s">
        <v>240</v>
      </c>
      <c r="C30" s="12" t="s">
        <v>40</v>
      </c>
      <c r="D30" s="69" t="str">
        <f t="shared" si="0"/>
        <v>Clothes Dryer - NR</v>
      </c>
      <c r="G30" s="1"/>
    </row>
    <row r="31" spans="1:7">
      <c r="A31" s="12" t="s">
        <v>104</v>
      </c>
      <c r="B31" s="69" t="s">
        <v>122</v>
      </c>
      <c r="C31" s="12" t="s">
        <v>39</v>
      </c>
      <c r="D31" s="69" t="str">
        <f t="shared" si="0"/>
        <v>Refrigerator - New</v>
      </c>
      <c r="G31" s="48"/>
    </row>
    <row r="32" spans="1:7">
      <c r="A32" s="12" t="s">
        <v>104</v>
      </c>
      <c r="B32" s="69" t="s">
        <v>122</v>
      </c>
      <c r="C32" s="12" t="s">
        <v>40</v>
      </c>
      <c r="D32" s="69" t="str">
        <f t="shared" si="0"/>
        <v>Refrigerator - NR</v>
      </c>
      <c r="G32" s="1"/>
    </row>
    <row r="33" spans="1:7">
      <c r="A33" s="12" t="s">
        <v>104</v>
      </c>
      <c r="B33" s="69" t="s">
        <v>105</v>
      </c>
      <c r="C33" s="12" t="s">
        <v>39</v>
      </c>
      <c r="D33" s="69" t="str">
        <f t="shared" si="0"/>
        <v>Freezer - New</v>
      </c>
      <c r="G33" s="1"/>
    </row>
    <row r="34" spans="1:7">
      <c r="A34" s="12" t="s">
        <v>104</v>
      </c>
      <c r="B34" s="69" t="s">
        <v>105</v>
      </c>
      <c r="C34" s="12" t="s">
        <v>40</v>
      </c>
      <c r="D34" s="69" t="str">
        <f t="shared" si="0"/>
        <v>Freezer - NR</v>
      </c>
      <c r="G34" s="1"/>
    </row>
    <row r="35" spans="1:7">
      <c r="A35" s="12" t="s">
        <v>222</v>
      </c>
      <c r="B35" s="69" t="s">
        <v>125</v>
      </c>
      <c r="C35" s="12" t="s">
        <v>39</v>
      </c>
      <c r="D35" s="69" t="str">
        <f>CONCATENATE(B35," - ",C35)</f>
        <v>Electric Oven - New</v>
      </c>
      <c r="G35" s="48"/>
    </row>
    <row r="36" spans="1:7">
      <c r="A36" s="12" t="s">
        <v>222</v>
      </c>
      <c r="B36" s="69" t="s">
        <v>125</v>
      </c>
      <c r="C36" s="12" t="s">
        <v>40</v>
      </c>
      <c r="D36" s="69" t="str">
        <f>CONCATENATE(B36," - ",C36)</f>
        <v>Electric Oven - NR</v>
      </c>
      <c r="G36" s="48"/>
    </row>
    <row r="37" spans="1:7">
      <c r="A37" s="12" t="s">
        <v>222</v>
      </c>
      <c r="B37" s="69" t="s">
        <v>124</v>
      </c>
      <c r="C37" s="12" t="s">
        <v>39</v>
      </c>
      <c r="D37" s="69" t="str">
        <f t="shared" si="0"/>
        <v>Microwave - New</v>
      </c>
      <c r="G37" s="1"/>
    </row>
    <row r="38" spans="1:7">
      <c r="A38" s="12" t="s">
        <v>222</v>
      </c>
      <c r="B38" s="69" t="s">
        <v>124</v>
      </c>
      <c r="C38" s="12" t="s">
        <v>40</v>
      </c>
      <c r="D38" s="69" t="str">
        <f>CONCATENATE(B38," - ",C38)</f>
        <v>Microwave - NR</v>
      </c>
      <c r="G38" s="1"/>
    </row>
    <row r="39" spans="1:7">
      <c r="A39" s="12" t="s">
        <v>220</v>
      </c>
      <c r="B39" s="69" t="s">
        <v>128</v>
      </c>
      <c r="C39" s="12" t="s">
        <v>39</v>
      </c>
      <c r="D39" s="69" t="str">
        <f t="shared" si="0"/>
        <v>Monitor - New</v>
      </c>
      <c r="G39" s="48"/>
    </row>
    <row r="40" spans="1:7">
      <c r="A40" s="12" t="s">
        <v>220</v>
      </c>
      <c r="B40" s="69" t="s">
        <v>128</v>
      </c>
      <c r="C40" s="12" t="s">
        <v>40</v>
      </c>
      <c r="D40" s="69" t="str">
        <f t="shared" si="0"/>
        <v>Monitor - NR</v>
      </c>
      <c r="G40" s="1"/>
    </row>
    <row r="41" spans="1:7">
      <c r="A41" s="12" t="s">
        <v>220</v>
      </c>
      <c r="B41" s="69" t="s">
        <v>273</v>
      </c>
      <c r="C41" s="12" t="s">
        <v>39</v>
      </c>
      <c r="D41" s="69" t="str">
        <f t="shared" si="0"/>
        <v>Desktop - New</v>
      </c>
      <c r="G41" s="1"/>
    </row>
    <row r="42" spans="1:7">
      <c r="A42" s="12" t="s">
        <v>220</v>
      </c>
      <c r="B42" s="69" t="s">
        <v>273</v>
      </c>
      <c r="C42" s="12" t="s">
        <v>40</v>
      </c>
      <c r="D42" s="69" t="str">
        <f t="shared" si="0"/>
        <v>Desktop - NR</v>
      </c>
      <c r="G42" s="1"/>
    </row>
    <row r="43" spans="1:7">
      <c r="A43" s="12" t="s">
        <v>220</v>
      </c>
      <c r="B43" s="69" t="s">
        <v>274</v>
      </c>
      <c r="C43" s="12" t="s">
        <v>39</v>
      </c>
      <c r="D43" s="69" t="str">
        <f t="shared" ref="D43:D50" si="3">CONCATENATE(B43," - ",C43)</f>
        <v>Laptop - New</v>
      </c>
      <c r="G43" s="1"/>
    </row>
    <row r="44" spans="1:7">
      <c r="A44" s="12" t="s">
        <v>220</v>
      </c>
      <c r="B44" s="69" t="s">
        <v>274</v>
      </c>
      <c r="C44" s="12" t="s">
        <v>40</v>
      </c>
      <c r="D44" s="69" t="str">
        <f t="shared" si="3"/>
        <v>Laptop - NR</v>
      </c>
      <c r="G44" s="1"/>
    </row>
    <row r="45" spans="1:7">
      <c r="A45" s="12" t="s">
        <v>220</v>
      </c>
      <c r="B45" s="76" t="s">
        <v>127</v>
      </c>
      <c r="C45" s="12" t="s">
        <v>39</v>
      </c>
      <c r="D45" s="69" t="str">
        <f t="shared" si="3"/>
        <v>Computer - New</v>
      </c>
      <c r="G45" s="1"/>
    </row>
    <row r="46" spans="1:7">
      <c r="A46" s="12" t="s">
        <v>220</v>
      </c>
      <c r="B46" s="76" t="s">
        <v>127</v>
      </c>
      <c r="C46" s="12" t="s">
        <v>40</v>
      </c>
      <c r="D46" s="69" t="str">
        <f t="shared" si="3"/>
        <v>Computer - NR</v>
      </c>
      <c r="G46" s="1"/>
    </row>
    <row r="47" spans="1:7">
      <c r="A47" s="12" t="s">
        <v>220</v>
      </c>
      <c r="B47" s="76" t="s">
        <v>107</v>
      </c>
      <c r="C47" s="12" t="s">
        <v>39</v>
      </c>
      <c r="D47" s="76" t="str">
        <f t="shared" si="3"/>
        <v>Advanced Power Strips - New</v>
      </c>
      <c r="G47" s="1"/>
    </row>
    <row r="48" spans="1:7">
      <c r="A48" s="12" t="s">
        <v>220</v>
      </c>
      <c r="B48" s="76" t="s">
        <v>107</v>
      </c>
      <c r="C48" s="12" t="s">
        <v>41</v>
      </c>
      <c r="D48" s="76" t="str">
        <f t="shared" si="3"/>
        <v>Advanced Power Strips - Retro</v>
      </c>
      <c r="G48" s="1"/>
    </row>
    <row r="49" spans="1:7">
      <c r="A49" s="12" t="s">
        <v>220</v>
      </c>
      <c r="B49" s="76" t="s">
        <v>392</v>
      </c>
      <c r="C49" s="12" t="s">
        <v>39</v>
      </c>
      <c r="D49" s="69" t="str">
        <f t="shared" si="3"/>
        <v>UHD TV - New</v>
      </c>
      <c r="G49" s="1"/>
    </row>
    <row r="50" spans="1:7">
      <c r="A50" s="12" t="s">
        <v>220</v>
      </c>
      <c r="B50" s="76" t="s">
        <v>392</v>
      </c>
      <c r="C50" s="12" t="s">
        <v>40</v>
      </c>
      <c r="D50" s="69" t="str">
        <f t="shared" si="3"/>
        <v>UHD TV - NR</v>
      </c>
      <c r="G50" s="1"/>
    </row>
    <row r="51" spans="1:7">
      <c r="A51" s="12" t="s">
        <v>103</v>
      </c>
      <c r="B51" s="76" t="s">
        <v>316</v>
      </c>
      <c r="C51" s="12" t="s">
        <v>39</v>
      </c>
      <c r="D51" s="69" t="str">
        <f>CONCATENATE(B51," - ",C51)</f>
        <v>Fixtures - New</v>
      </c>
      <c r="G51" s="1"/>
    </row>
    <row r="52" spans="1:7">
      <c r="A52" s="12" t="s">
        <v>103</v>
      </c>
      <c r="B52" s="76" t="s">
        <v>316</v>
      </c>
      <c r="C52" s="12" t="s">
        <v>40</v>
      </c>
      <c r="D52" s="69" t="str">
        <f>CONCATENATE(B52," - ",C52)</f>
        <v>Fixtures - NR</v>
      </c>
      <c r="G52" s="1"/>
    </row>
    <row r="53" spans="1:7">
      <c r="A53" s="12" t="s">
        <v>42</v>
      </c>
      <c r="B53" s="69" t="s">
        <v>560</v>
      </c>
      <c r="C53" s="12" t="s">
        <v>39</v>
      </c>
      <c r="D53" s="69" t="str">
        <f t="shared" si="0"/>
        <v>ASHP Upgrade - New</v>
      </c>
      <c r="G53" s="1"/>
    </row>
    <row r="54" spans="1:7">
      <c r="A54" s="12" t="s">
        <v>42</v>
      </c>
      <c r="B54" s="69" t="s">
        <v>560</v>
      </c>
      <c r="C54" s="12" t="s">
        <v>40</v>
      </c>
      <c r="D54" s="69" t="str">
        <f t="shared" si="0"/>
        <v>ASHP Upgrade - NR</v>
      </c>
      <c r="G54" s="1"/>
    </row>
    <row r="55" spans="1:7">
      <c r="A55" s="12" t="s">
        <v>42</v>
      </c>
      <c r="B55" s="69" t="s">
        <v>561</v>
      </c>
      <c r="C55" s="12" t="s">
        <v>39</v>
      </c>
      <c r="D55" s="69" t="str">
        <f t="shared" ref="D55:D67" si="4">CONCATENATE(B55," - ",C55)</f>
        <v>ASHP Conversion - New</v>
      </c>
      <c r="G55" s="1"/>
    </row>
    <row r="56" spans="1:7">
      <c r="A56" s="12" t="s">
        <v>42</v>
      </c>
      <c r="B56" s="69" t="s">
        <v>561</v>
      </c>
      <c r="C56" s="12" t="s">
        <v>41</v>
      </c>
      <c r="D56" s="69" t="str">
        <f t="shared" si="4"/>
        <v>ASHP Conversion - Retro</v>
      </c>
      <c r="G56" s="1"/>
    </row>
    <row r="57" spans="1:7">
      <c r="A57" s="12" t="s">
        <v>42</v>
      </c>
      <c r="B57" s="70" t="s">
        <v>278</v>
      </c>
      <c r="C57" s="12" t="s">
        <v>39</v>
      </c>
      <c r="D57" s="69" t="str">
        <f t="shared" si="4"/>
        <v>DHP - New</v>
      </c>
      <c r="G57" s="1"/>
    </row>
    <row r="58" spans="1:7">
      <c r="A58" s="12" t="s">
        <v>42</v>
      </c>
      <c r="B58" s="70" t="s">
        <v>278</v>
      </c>
      <c r="C58" s="12" t="s">
        <v>41</v>
      </c>
      <c r="D58" s="69" t="str">
        <f t="shared" si="4"/>
        <v>DHP - Retro</v>
      </c>
      <c r="G58" s="1"/>
    </row>
    <row r="59" spans="1:7">
      <c r="A59" s="12" t="s">
        <v>42</v>
      </c>
      <c r="B59" s="70" t="s">
        <v>280</v>
      </c>
      <c r="C59" s="12" t="s">
        <v>41</v>
      </c>
      <c r="D59" s="70" t="str">
        <f t="shared" si="4"/>
        <v>DHP Ducted - Retro</v>
      </c>
      <c r="G59" s="1"/>
    </row>
    <row r="60" spans="1:7">
      <c r="A60" s="12" t="s">
        <v>42</v>
      </c>
      <c r="B60" s="69" t="s">
        <v>245</v>
      </c>
      <c r="C60" s="12" t="s">
        <v>39</v>
      </c>
      <c r="D60" s="69" t="str">
        <f t="shared" si="4"/>
        <v>Duct Sealing - New</v>
      </c>
      <c r="G60" s="1"/>
    </row>
    <row r="61" spans="1:7">
      <c r="A61" s="12" t="s">
        <v>42</v>
      </c>
      <c r="B61" s="8" t="s">
        <v>245</v>
      </c>
      <c r="C61" s="12" t="s">
        <v>41</v>
      </c>
      <c r="D61" s="69" t="str">
        <f t="shared" si="4"/>
        <v>Duct Sealing - Retro</v>
      </c>
      <c r="G61" s="1"/>
    </row>
    <row r="62" spans="1:7">
      <c r="A62" s="12" t="s">
        <v>42</v>
      </c>
      <c r="B62" s="8" t="s">
        <v>390</v>
      </c>
      <c r="C62" s="12" t="s">
        <v>39</v>
      </c>
      <c r="D62" s="69" t="str">
        <f t="shared" si="4"/>
        <v>Smart tstats - New</v>
      </c>
      <c r="G62" s="1"/>
    </row>
    <row r="63" spans="1:7">
      <c r="A63" s="12" t="s">
        <v>42</v>
      </c>
      <c r="B63" s="8" t="s">
        <v>390</v>
      </c>
      <c r="C63" s="12" t="s">
        <v>41</v>
      </c>
      <c r="D63" s="69" t="str">
        <f t="shared" si="4"/>
        <v>Smart tstats - Retro</v>
      </c>
      <c r="G63" s="1"/>
    </row>
    <row r="64" spans="1:7">
      <c r="A64" s="12" t="s">
        <v>42</v>
      </c>
      <c r="B64" s="134" t="s">
        <v>556</v>
      </c>
      <c r="C64" s="12" t="s">
        <v>39</v>
      </c>
      <c r="D64" s="76" t="str">
        <f t="shared" si="4"/>
        <v>Cellular Shades - New</v>
      </c>
      <c r="G64" s="1"/>
    </row>
    <row r="65" spans="1:7">
      <c r="A65" s="12" t="s">
        <v>42</v>
      </c>
      <c r="B65" s="134" t="s">
        <v>556</v>
      </c>
      <c r="C65" s="12" t="s">
        <v>41</v>
      </c>
      <c r="D65" s="76" t="str">
        <f t="shared" si="4"/>
        <v>Cellular Shades - Retro</v>
      </c>
      <c r="G65" s="1"/>
    </row>
    <row r="66" spans="1:7">
      <c r="A66" s="12" t="s">
        <v>42</v>
      </c>
      <c r="B66" s="76" t="s">
        <v>391</v>
      </c>
      <c r="C66" s="12" t="s">
        <v>39</v>
      </c>
      <c r="D66" s="76" t="str">
        <f t="shared" si="4"/>
        <v>CAC - New</v>
      </c>
      <c r="G66" s="1"/>
    </row>
    <row r="67" spans="1:7">
      <c r="A67" s="12" t="s">
        <v>42</v>
      </c>
      <c r="B67" s="76" t="s">
        <v>391</v>
      </c>
      <c r="C67" s="12" t="s">
        <v>40</v>
      </c>
      <c r="D67" s="76" t="str">
        <f t="shared" si="4"/>
        <v>CAC - NR</v>
      </c>
      <c r="G67" s="1"/>
    </row>
    <row r="68" spans="1:7">
      <c r="A68" s="12" t="s">
        <v>42</v>
      </c>
      <c r="B68" s="70" t="s">
        <v>368</v>
      </c>
      <c r="C68" s="12" t="s">
        <v>39</v>
      </c>
      <c r="D68" s="69" t="str">
        <f>CONCATENATE(B68," - ",C68)</f>
        <v>Heat Recovery Ventilation - New</v>
      </c>
      <c r="G68" s="1"/>
    </row>
    <row r="69" spans="1:7">
      <c r="A69" s="12" t="s">
        <v>42</v>
      </c>
      <c r="B69" s="76" t="s">
        <v>329</v>
      </c>
      <c r="C69" s="12" t="s">
        <v>39</v>
      </c>
      <c r="D69" s="76" t="str">
        <f>CONCATENATE(B69," - ",C69)</f>
        <v>GSHP - New</v>
      </c>
      <c r="G69" s="1"/>
    </row>
    <row r="70" spans="1:7">
      <c r="A70" s="12" t="s">
        <v>42</v>
      </c>
      <c r="B70" s="76" t="s">
        <v>329</v>
      </c>
      <c r="C70" s="12" t="s">
        <v>40</v>
      </c>
      <c r="D70" s="76" t="str">
        <f>CONCATENATE(B70," - ",C70)</f>
        <v>GSHP - NR</v>
      </c>
      <c r="G70" s="1"/>
    </row>
    <row r="71" spans="1:7">
      <c r="A71" s="12" t="s">
        <v>42</v>
      </c>
      <c r="B71" s="76" t="s">
        <v>254</v>
      </c>
      <c r="C71" s="12" t="s">
        <v>41</v>
      </c>
      <c r="D71" s="76" t="str">
        <f>CONCATENATE(B71," - ",C71)</f>
        <v>Whole House Fan - Retro</v>
      </c>
      <c r="G71" s="1"/>
    </row>
    <row r="72" spans="1:7">
      <c r="A72" s="12" t="s">
        <v>42</v>
      </c>
      <c r="B72" s="76" t="s">
        <v>254</v>
      </c>
      <c r="C72" s="12" t="s">
        <v>39</v>
      </c>
      <c r="D72" s="76" t="str">
        <f>CONCATENATE(B72," - ",C72)</f>
        <v>Whole House Fan - New</v>
      </c>
      <c r="G72" s="1"/>
    </row>
    <row r="73" spans="1:7">
      <c r="A73" s="12" t="s">
        <v>144</v>
      </c>
      <c r="B73" s="76" t="s">
        <v>585</v>
      </c>
      <c r="C73" s="12" t="s">
        <v>39</v>
      </c>
      <c r="D73" s="76" t="str">
        <f t="shared" ref="D73:D74" si="5">CONCATENATE(B73," - ",C73)</f>
        <v>Circulator Controls - New</v>
      </c>
      <c r="G73" s="1"/>
    </row>
    <row r="74" spans="1:7">
      <c r="A74" s="12" t="s">
        <v>144</v>
      </c>
      <c r="B74" s="76" t="s">
        <v>585</v>
      </c>
      <c r="C74" s="12" t="s">
        <v>40</v>
      </c>
      <c r="D74" s="76" t="str">
        <f t="shared" si="5"/>
        <v>Circulator Controls - NR</v>
      </c>
      <c r="G74" s="1"/>
    </row>
    <row r="75" spans="1:7">
      <c r="A75" s="12" t="s">
        <v>230</v>
      </c>
      <c r="B75" s="70" t="s">
        <v>108</v>
      </c>
      <c r="C75" s="12" t="s">
        <v>41</v>
      </c>
      <c r="D75" s="69" t="str">
        <f t="shared" ref="D75:D76" si="6">CONCATENATE(B75," - ",C75)</f>
        <v>Behavior - Retro</v>
      </c>
      <c r="G75" s="1"/>
    </row>
    <row r="76" spans="1:7">
      <c r="A76" s="12" t="s">
        <v>230</v>
      </c>
      <c r="B76" s="76" t="s">
        <v>108</v>
      </c>
      <c r="C76" s="12" t="s">
        <v>39</v>
      </c>
      <c r="D76" s="76" t="str">
        <f t="shared" si="6"/>
        <v>Behavior - New</v>
      </c>
    </row>
    <row r="77" spans="1:7">
      <c r="A77" s="12" t="s">
        <v>230</v>
      </c>
      <c r="B77" s="76" t="s">
        <v>331</v>
      </c>
      <c r="C77" s="12" t="s">
        <v>39</v>
      </c>
      <c r="D77" s="76" t="str">
        <f t="shared" ref="D77:D85" si="7">CONCATENATE(B77," - ",C77)</f>
        <v>EV Supply Equip - New</v>
      </c>
    </row>
    <row r="78" spans="1:7">
      <c r="A78" s="12" t="s">
        <v>230</v>
      </c>
      <c r="B78" s="76" t="s">
        <v>331</v>
      </c>
      <c r="C78" s="12" t="s">
        <v>40</v>
      </c>
      <c r="D78" s="76" t="str">
        <f t="shared" si="7"/>
        <v>EV Supply Equip - NR</v>
      </c>
      <c r="G78" s="1"/>
    </row>
    <row r="79" spans="1:7">
      <c r="A79" s="12" t="s">
        <v>60</v>
      </c>
      <c r="B79" s="76" t="s">
        <v>388</v>
      </c>
      <c r="C79" s="12" t="s">
        <v>39</v>
      </c>
      <c r="D79" s="76" t="str">
        <f t="shared" si="7"/>
        <v>Air cleaners - New</v>
      </c>
      <c r="G79" s="1"/>
    </row>
    <row r="80" spans="1:7">
      <c r="A80" s="12" t="s">
        <v>60</v>
      </c>
      <c r="B80" s="76" t="s">
        <v>388</v>
      </c>
      <c r="C80" s="12" t="s">
        <v>40</v>
      </c>
      <c r="D80" s="76" t="str">
        <f t="shared" si="7"/>
        <v>Air cleaners - NR</v>
      </c>
    </row>
    <row r="81" spans="1:7">
      <c r="A81" s="12" t="s">
        <v>42</v>
      </c>
      <c r="B81" s="76" t="s">
        <v>613</v>
      </c>
      <c r="C81" s="12" t="s">
        <v>39</v>
      </c>
      <c r="D81" s="76" t="str">
        <f t="shared" si="7"/>
        <v>RAC - New</v>
      </c>
    </row>
    <row r="82" spans="1:7">
      <c r="A82" s="12" t="s">
        <v>42</v>
      </c>
      <c r="B82" s="76" t="s">
        <v>613</v>
      </c>
      <c r="C82" s="12" t="s">
        <v>40</v>
      </c>
      <c r="D82" s="76" t="str">
        <f t="shared" si="7"/>
        <v>RAC - NR</v>
      </c>
    </row>
    <row r="83" spans="1:7">
      <c r="A83" s="12" t="s">
        <v>60</v>
      </c>
      <c r="B83" s="76" t="s">
        <v>521</v>
      </c>
      <c r="C83" s="12" t="s">
        <v>39</v>
      </c>
      <c r="D83" s="76" t="str">
        <f t="shared" si="7"/>
        <v>Well Pump - New</v>
      </c>
    </row>
    <row r="84" spans="1:7">
      <c r="A84" s="12" t="s">
        <v>60</v>
      </c>
      <c r="B84" s="76" t="s">
        <v>521</v>
      </c>
      <c r="C84" s="12" t="s">
        <v>40</v>
      </c>
      <c r="D84" s="76" t="str">
        <f t="shared" si="7"/>
        <v>Well Pump - NR</v>
      </c>
    </row>
    <row r="85" spans="1:7">
      <c r="A85" s="12" t="s">
        <v>42</v>
      </c>
      <c r="B85" t="s">
        <v>138</v>
      </c>
      <c r="C85" s="12" t="s">
        <v>41</v>
      </c>
      <c r="D85" s="69" t="str">
        <f t="shared" si="7"/>
        <v>ResWx - Retro</v>
      </c>
    </row>
    <row r="86" spans="1:7">
      <c r="A86" s="12"/>
      <c r="B86" s="75"/>
      <c r="C86" s="12"/>
      <c r="D86" s="69"/>
    </row>
    <row r="87" spans="1:7">
      <c r="A87" s="12"/>
      <c r="B87" s="75"/>
      <c r="C87" s="12"/>
      <c r="D87" s="69"/>
    </row>
    <row r="88" spans="1:7">
      <c r="A88" s="12"/>
      <c r="B88" s="75"/>
      <c r="C88" s="12"/>
      <c r="D88" s="69"/>
    </row>
    <row r="89" spans="1:7">
      <c r="A89" s="12"/>
      <c r="B89" s="75"/>
      <c r="C89" s="12"/>
      <c r="D89" s="69"/>
      <c r="F89" s="26"/>
    </row>
    <row r="90" spans="1:7">
      <c r="A90" s="12"/>
      <c r="B90" s="75"/>
      <c r="C90" s="12"/>
      <c r="D90" s="69"/>
      <c r="F90" s="26"/>
    </row>
    <row r="91" spans="1:7">
      <c r="A91" s="12"/>
      <c r="B91" s="75"/>
      <c r="C91" s="12"/>
      <c r="D91" s="69"/>
      <c r="G91" s="1"/>
    </row>
    <row r="92" spans="1:7">
      <c r="A92" s="12"/>
      <c r="B92" s="75"/>
      <c r="C92" s="12"/>
      <c r="D92" s="69"/>
      <c r="G92" s="1"/>
    </row>
    <row r="93" spans="1:7">
      <c r="A93" s="12"/>
      <c r="B93" s="75"/>
      <c r="C93" s="12"/>
      <c r="D93" s="69"/>
      <c r="G93" s="1"/>
    </row>
    <row r="94" spans="1:7">
      <c r="A94" s="12"/>
      <c r="B94" s="75"/>
      <c r="C94" s="12"/>
      <c r="D94" s="69"/>
      <c r="G94" s="1"/>
    </row>
    <row r="95" spans="1:7">
      <c r="A95" s="10"/>
      <c r="B95" s="75"/>
      <c r="C95" s="12"/>
      <c r="D95" s="69"/>
      <c r="G95" s="1"/>
    </row>
    <row r="96" spans="1:7">
      <c r="A96" s="10"/>
      <c r="B96" s="75"/>
      <c r="C96" s="12"/>
      <c r="D96" s="69"/>
      <c r="G96" s="1"/>
    </row>
    <row r="97" spans="1:7">
      <c r="A97" s="10"/>
      <c r="B97" s="75"/>
      <c r="C97" s="12"/>
      <c r="D97" s="69"/>
      <c r="G97" s="1"/>
    </row>
    <row r="98" spans="1:7">
      <c r="A98" s="10"/>
      <c r="B98" s="75"/>
      <c r="C98" s="12"/>
      <c r="D98" s="69"/>
      <c r="G98" s="1"/>
    </row>
    <row r="99" spans="1:7">
      <c r="A99" s="10"/>
      <c r="B99" s="75"/>
      <c r="C99" s="12"/>
      <c r="D99" s="69"/>
      <c r="G99" s="1"/>
    </row>
    <row r="100" spans="1:7">
      <c r="A100" s="10"/>
      <c r="B100" s="75"/>
      <c r="C100" s="12"/>
      <c r="D100" s="69"/>
      <c r="G100" s="1"/>
    </row>
    <row r="101" spans="1:7">
      <c r="A101" s="10"/>
      <c r="B101" s="75"/>
      <c r="C101" s="12"/>
      <c r="D101" s="69"/>
      <c r="G101" s="1"/>
    </row>
    <row r="102" spans="1:7">
      <c r="A102" s="10"/>
      <c r="B102" s="75"/>
      <c r="C102" s="12"/>
      <c r="D102" s="69"/>
      <c r="G102" s="1"/>
    </row>
    <row r="103" spans="1:7">
      <c r="A103" s="10"/>
      <c r="B103" s="75"/>
      <c r="C103" s="12"/>
      <c r="D103" s="69"/>
      <c r="G103" s="1"/>
    </row>
    <row r="104" spans="1:7">
      <c r="A104" s="10"/>
      <c r="B104" s="75"/>
      <c r="C104" s="12"/>
      <c r="D104" s="69"/>
      <c r="G104" s="1"/>
    </row>
    <row r="105" spans="1:7">
      <c r="A105" s="10"/>
      <c r="B105" s="75"/>
      <c r="C105" s="12"/>
      <c r="D105" s="69"/>
      <c r="G105" s="1"/>
    </row>
    <row r="106" spans="1:7">
      <c r="A106" s="10"/>
      <c r="B106" s="75"/>
      <c r="C106" s="12"/>
      <c r="D106" s="69"/>
      <c r="G106" s="1"/>
    </row>
    <row r="107" spans="1:7">
      <c r="A107" s="10"/>
      <c r="B107" s="75"/>
      <c r="C107" s="12"/>
      <c r="D107" s="69"/>
      <c r="G107" s="1"/>
    </row>
    <row r="108" spans="1:7">
      <c r="A108" s="10"/>
      <c r="B108" s="75"/>
      <c r="C108" s="12"/>
      <c r="D108" s="69"/>
      <c r="G108" s="1"/>
    </row>
    <row r="109" spans="1:7">
      <c r="A109" s="10"/>
      <c r="B109" s="75"/>
      <c r="C109" s="12"/>
      <c r="D109" s="69"/>
      <c r="G109" s="1"/>
    </row>
    <row r="110" spans="1:7">
      <c r="A110" s="10"/>
      <c r="B110" s="75"/>
      <c r="C110" s="12"/>
      <c r="D110" s="69"/>
      <c r="G110" s="1"/>
    </row>
    <row r="111" spans="1:7">
      <c r="A111" s="10"/>
      <c r="B111" s="75"/>
      <c r="C111" s="12"/>
      <c r="D111" s="69"/>
      <c r="G111" s="1"/>
    </row>
    <row r="112" spans="1:7">
      <c r="A112" s="10"/>
      <c r="B112" s="119"/>
      <c r="C112" s="12"/>
      <c r="D112" s="69"/>
      <c r="G112" s="1"/>
    </row>
    <row r="113" spans="1:7">
      <c r="A113" s="12"/>
      <c r="B113" s="75"/>
      <c r="C113" s="12"/>
      <c r="D113" s="69"/>
      <c r="G113" s="1"/>
    </row>
    <row r="114" spans="1:7">
      <c r="A114" s="10"/>
      <c r="B114" s="119"/>
      <c r="C114" s="12"/>
      <c r="D114" s="76"/>
    </row>
    <row r="115" spans="1:7">
      <c r="A115" s="10"/>
      <c r="B115" s="103"/>
      <c r="C115" s="12"/>
      <c r="D115" s="76"/>
    </row>
    <row r="116" spans="1:7">
      <c r="A116" s="10"/>
      <c r="B116" s="10"/>
      <c r="C116" s="12"/>
      <c r="D116" s="69"/>
    </row>
    <row r="117" spans="1:7">
      <c r="A117" s="10"/>
      <c r="B117" s="10"/>
      <c r="C117" s="12"/>
      <c r="D117" s="69"/>
    </row>
    <row r="118" spans="1:7">
      <c r="A118" s="10"/>
      <c r="B118" s="10"/>
      <c r="C118" s="12"/>
      <c r="D118" s="69"/>
    </row>
    <row r="119" spans="1:7">
      <c r="A119" s="10"/>
      <c r="B119" s="10"/>
      <c r="C119" s="12"/>
      <c r="D119" s="69"/>
    </row>
    <row r="120" spans="1:7">
      <c r="A120" s="10"/>
      <c r="B120" s="10"/>
      <c r="C120" s="12"/>
      <c r="D120" s="69"/>
    </row>
    <row r="121" spans="1:7">
      <c r="A121" s="10"/>
      <c r="B121" s="10"/>
      <c r="C121" s="12"/>
      <c r="D121" s="69"/>
    </row>
    <row r="122" spans="1:7">
      <c r="A122" s="10"/>
      <c r="B122" s="10"/>
      <c r="C122" s="12"/>
      <c r="D122" s="69"/>
    </row>
    <row r="123" spans="1:7">
      <c r="A123" s="10"/>
      <c r="B123" s="10"/>
      <c r="C123" s="12"/>
      <c r="D123" s="69"/>
    </row>
    <row r="124" spans="1:7">
      <c r="A124" s="10"/>
      <c r="B124" s="10"/>
      <c r="C124" s="12"/>
      <c r="D124" s="69"/>
    </row>
    <row r="125" spans="1:7">
      <c r="A125" s="10"/>
      <c r="B125" s="10"/>
      <c r="C125" s="12"/>
      <c r="D125" s="69"/>
    </row>
    <row r="126" spans="1:7">
      <c r="A126" s="10"/>
      <c r="B126" s="10"/>
      <c r="C126" s="12"/>
      <c r="D126" s="69"/>
    </row>
    <row r="127" spans="1:7">
      <c r="A127" s="10"/>
      <c r="B127" s="10"/>
      <c r="C127" s="12"/>
      <c r="D127" s="69"/>
    </row>
    <row r="128" spans="1:7">
      <c r="A128" s="10"/>
      <c r="B128" s="10"/>
      <c r="C128" s="12"/>
      <c r="D128" s="69"/>
    </row>
    <row r="129" spans="1:4">
      <c r="A129" s="10"/>
      <c r="B129" s="10"/>
      <c r="C129" s="12"/>
      <c r="D129" s="69"/>
    </row>
    <row r="130" spans="1:4">
      <c r="A130" s="10"/>
      <c r="B130" s="10"/>
      <c r="C130" s="12"/>
      <c r="D130" s="69"/>
    </row>
    <row r="131" spans="1:4">
      <c r="A131" s="10"/>
      <c r="B131" s="10"/>
      <c r="C131" s="12"/>
      <c r="D131" s="69"/>
    </row>
    <row r="132" spans="1:4">
      <c r="A132" s="10"/>
      <c r="B132" s="10"/>
      <c r="C132" s="12"/>
      <c r="D132" s="69"/>
    </row>
    <row r="133" spans="1:4">
      <c r="A133" s="10"/>
      <c r="B133" s="10"/>
      <c r="C133" s="12"/>
      <c r="D133" s="69"/>
    </row>
    <row r="134" spans="1:4">
      <c r="A134" s="10"/>
      <c r="B134" s="10"/>
      <c r="C134" s="12"/>
      <c r="D134" s="69"/>
    </row>
    <row r="135" spans="1:4">
      <c r="A135" s="10"/>
      <c r="B135" s="10"/>
      <c r="C135" s="12"/>
      <c r="D135" s="69"/>
    </row>
    <row r="136" spans="1:4">
      <c r="A136" s="10"/>
      <c r="B136" s="10"/>
      <c r="C136" s="12"/>
      <c r="D136" s="69"/>
    </row>
    <row r="137" spans="1:4">
      <c r="A137" s="10"/>
      <c r="B137" s="10"/>
      <c r="C137" s="12"/>
      <c r="D137" s="69"/>
    </row>
    <row r="138" spans="1:4">
      <c r="A138" s="10"/>
      <c r="B138" s="10"/>
      <c r="C138" s="12"/>
      <c r="D138" s="69"/>
    </row>
    <row r="139" spans="1:4">
      <c r="A139" s="10"/>
      <c r="B139" s="10"/>
      <c r="C139" s="12"/>
      <c r="D139" s="69"/>
    </row>
    <row r="140" spans="1:4">
      <c r="A140" s="10"/>
      <c r="B140" s="10"/>
      <c r="C140" s="12"/>
      <c r="D140" s="69"/>
    </row>
    <row r="141" spans="1:4">
      <c r="A141" s="10"/>
      <c r="B141" s="10"/>
      <c r="C141" s="12"/>
      <c r="D141" s="69"/>
    </row>
    <row r="142" spans="1:4">
      <c r="A142" s="10"/>
      <c r="B142" s="10"/>
      <c r="C142" s="12"/>
      <c r="D142" s="69"/>
    </row>
    <row r="143" spans="1:4">
      <c r="A143" s="10"/>
      <c r="B143" s="10"/>
      <c r="C143" s="12"/>
      <c r="D143" s="69"/>
    </row>
    <row r="144" spans="1:4">
      <c r="A144" s="10"/>
      <c r="B144" s="10"/>
      <c r="C144" s="12"/>
      <c r="D144" s="69"/>
    </row>
    <row r="145" spans="1:4">
      <c r="A145" s="10"/>
      <c r="B145" s="10"/>
      <c r="C145" s="12"/>
      <c r="D145" s="69"/>
    </row>
    <row r="146" spans="1:4">
      <c r="A146" s="10"/>
      <c r="B146" s="10"/>
      <c r="C146" s="12"/>
      <c r="D146" s="69"/>
    </row>
    <row r="147" spans="1:4">
      <c r="A147" s="10"/>
      <c r="B147" s="10"/>
      <c r="C147" s="12"/>
      <c r="D147" s="69"/>
    </row>
    <row r="148" spans="1:4" ht="13.5" thickBot="1">
      <c r="A148" s="91" t="s">
        <v>295</v>
      </c>
      <c r="B148" s="10"/>
      <c r="C148" s="12"/>
      <c r="D148" s="69"/>
    </row>
    <row r="149" spans="1:4" ht="13.5" thickTop="1">
      <c r="A149" s="92" t="s">
        <v>220</v>
      </c>
      <c r="B149" s="10"/>
      <c r="C149" s="12"/>
      <c r="D149" s="69"/>
    </row>
    <row r="150" spans="1:4">
      <c r="A150" s="92" t="s">
        <v>222</v>
      </c>
      <c r="B150" s="10"/>
      <c r="C150" s="12"/>
      <c r="D150" s="69"/>
    </row>
    <row r="151" spans="1:4">
      <c r="A151" s="92" t="s">
        <v>42</v>
      </c>
      <c r="B151" s="10"/>
      <c r="C151" s="12"/>
      <c r="D151" s="69"/>
    </row>
    <row r="152" spans="1:4">
      <c r="A152" s="92" t="s">
        <v>103</v>
      </c>
      <c r="B152" s="10"/>
      <c r="C152" s="12"/>
      <c r="D152" s="69"/>
    </row>
    <row r="153" spans="1:4">
      <c r="A153" s="92" t="s">
        <v>104</v>
      </c>
      <c r="B153" s="10"/>
      <c r="C153" s="12"/>
      <c r="D153" s="69"/>
    </row>
    <row r="154" spans="1:4">
      <c r="A154" s="92" t="s">
        <v>327</v>
      </c>
      <c r="B154" s="10"/>
      <c r="C154" s="12"/>
      <c r="D154" s="69"/>
    </row>
    <row r="155" spans="1:4">
      <c r="A155" s="92" t="s">
        <v>144</v>
      </c>
      <c r="B155" s="10"/>
      <c r="C155" s="12"/>
      <c r="D155" s="69"/>
    </row>
    <row r="156" spans="1:4">
      <c r="A156" s="92" t="s">
        <v>230</v>
      </c>
      <c r="B156" s="10"/>
      <c r="C156" s="12"/>
      <c r="D156" s="69"/>
    </row>
    <row r="157" spans="1:4">
      <c r="A157" s="94" t="s">
        <v>60</v>
      </c>
      <c r="B157" s="10"/>
      <c r="C157" s="12"/>
      <c r="D157" s="69"/>
    </row>
    <row r="158" spans="1:4">
      <c r="A158" s="10"/>
      <c r="B158" s="10"/>
      <c r="C158" s="12"/>
      <c r="D158" s="69"/>
    </row>
    <row r="159" spans="1:4">
      <c r="A159" s="10"/>
      <c r="B159" s="10"/>
      <c r="C159" s="12"/>
      <c r="D159" s="69"/>
    </row>
    <row r="160" spans="1:4">
      <c r="A160" s="10"/>
      <c r="B160" s="10"/>
      <c r="C160" s="12"/>
      <c r="D160" s="69"/>
    </row>
    <row r="161" spans="1:4">
      <c r="A161" s="10"/>
      <c r="B161" s="10"/>
      <c r="C161" s="12"/>
      <c r="D161" s="69"/>
    </row>
    <row r="162" spans="1:4">
      <c r="C162" s="12"/>
      <c r="D162" s="69"/>
    </row>
    <row r="163" spans="1:4">
      <c r="C163" s="12"/>
      <c r="D163" s="69"/>
    </row>
    <row r="164" spans="1:4">
      <c r="C164" s="12"/>
      <c r="D164" s="69"/>
    </row>
    <row r="165" spans="1:4">
      <c r="C165" s="12"/>
      <c r="D165" s="69"/>
    </row>
    <row r="166" spans="1:4">
      <c r="C166" s="12"/>
      <c r="D166" s="69"/>
    </row>
    <row r="167" spans="1:4">
      <c r="C167" s="12"/>
      <c r="D167" s="69"/>
    </row>
    <row r="168" spans="1:4">
      <c r="C168" s="12"/>
      <c r="D168" s="69"/>
    </row>
    <row r="169" spans="1:4">
      <c r="C169" s="12"/>
      <c r="D169" s="69"/>
    </row>
    <row r="170" spans="1:4">
      <c r="C170" s="12"/>
      <c r="D170" s="69"/>
    </row>
    <row r="171" spans="1:4">
      <c r="C171" s="12"/>
      <c r="D171" s="69"/>
    </row>
  </sheetData>
  <phoneticPr fontId="0" type="noConversion"/>
  <dataValidations count="1">
    <dataValidation type="list" allowBlank="1" showInputMessage="1" showErrorMessage="1" sqref="A9:A90" xr:uid="{00000000-0002-0000-0200-000000000000}">
      <formula1>$A$149:$A$157</formula1>
    </dataValidation>
  </dataValidation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indexed="43"/>
  </sheetPr>
  <dimension ref="A1:Q113"/>
  <sheetViews>
    <sheetView topLeftCell="B1" workbookViewId="0">
      <pane xSplit="2" ySplit="9" topLeftCell="D10" activePane="bottomRight" state="frozen"/>
      <selection activeCell="B87" sqref="B87"/>
      <selection pane="topRight" activeCell="B87" sqref="B87"/>
      <selection pane="bottomLeft" activeCell="B87" sqref="B87"/>
      <selection pane="bottomRight" activeCell="C22" sqref="C22"/>
    </sheetView>
  </sheetViews>
  <sheetFormatPr defaultRowHeight="12.75"/>
  <cols>
    <col min="1" max="1" width="18" customWidth="1"/>
    <col min="2" max="2" width="42.42578125" customWidth="1"/>
    <col min="3" max="3" width="38.28515625" customWidth="1"/>
    <col min="4" max="4" width="31.140625" customWidth="1"/>
    <col min="5" max="5" width="11.85546875" customWidth="1"/>
    <col min="6" max="6" width="13.140625" customWidth="1"/>
    <col min="7" max="7" width="9.42578125" customWidth="1"/>
    <col min="8" max="8" width="10.5703125" style="1" customWidth="1"/>
    <col min="9" max="9" width="12.140625" style="1" customWidth="1"/>
    <col min="10" max="10" width="13.42578125" customWidth="1"/>
    <col min="11" max="11" width="13" style="9" customWidth="1"/>
    <col min="12" max="12" width="28.42578125" style="9" customWidth="1"/>
  </cols>
  <sheetData>
    <row r="1" spans="1:17">
      <c r="A1" s="20" t="s">
        <v>29</v>
      </c>
      <c r="B1" s="20" t="s">
        <v>82</v>
      </c>
    </row>
    <row r="2" spans="1:17">
      <c r="F2" s="8"/>
    </row>
    <row r="3" spans="1:17">
      <c r="A3" s="59" t="s">
        <v>94</v>
      </c>
      <c r="B3" s="80"/>
      <c r="F3" s="102"/>
      <c r="H3" s="59" t="s">
        <v>92</v>
      </c>
    </row>
    <row r="4" spans="1:17">
      <c r="A4" s="59" t="s">
        <v>102</v>
      </c>
      <c r="B4" s="68">
        <f ca="1">Overview!B2</f>
        <v>44043</v>
      </c>
      <c r="F4" s="102"/>
      <c r="H4" s="60">
        <v>2041</v>
      </c>
    </row>
    <row r="6" spans="1:17">
      <c r="F6" s="47">
        <f>SUM(F10:F111)</f>
        <v>0</v>
      </c>
      <c r="G6" s="47">
        <f>SUM(G10:G111)</f>
        <v>0</v>
      </c>
      <c r="H6" s="47">
        <f>SUM(H10:H111)</f>
        <v>0</v>
      </c>
      <c r="I6" s="17"/>
    </row>
    <row r="7" spans="1:17">
      <c r="A7" t="str">
        <f>TEXT(ROW(),"")</f>
        <v/>
      </c>
      <c r="F7" s="48"/>
      <c r="G7" s="48"/>
      <c r="H7" s="48"/>
    </row>
    <row r="8" spans="1:17">
      <c r="A8" s="8"/>
      <c r="B8" s="56">
        <v>1</v>
      </c>
      <c r="C8" s="56">
        <v>2</v>
      </c>
      <c r="D8" s="56">
        <v>5</v>
      </c>
      <c r="E8" s="56">
        <v>6</v>
      </c>
      <c r="F8" s="56">
        <v>7</v>
      </c>
      <c r="G8" s="56">
        <v>8</v>
      </c>
      <c r="H8" s="56">
        <v>9</v>
      </c>
      <c r="I8" s="56">
        <v>10</v>
      </c>
      <c r="J8" s="56">
        <v>11</v>
      </c>
      <c r="K8" s="56">
        <v>12</v>
      </c>
      <c r="L8" s="56">
        <v>13</v>
      </c>
      <c r="M8" s="56">
        <v>14</v>
      </c>
      <c r="N8" s="56">
        <v>15</v>
      </c>
      <c r="O8" s="56">
        <v>16</v>
      </c>
      <c r="P8" s="56">
        <v>17</v>
      </c>
      <c r="Q8" s="56">
        <v>18</v>
      </c>
    </row>
    <row r="9" spans="1:17">
      <c r="A9" s="4" t="s">
        <v>30</v>
      </c>
      <c r="B9" s="2" t="s">
        <v>68</v>
      </c>
      <c r="C9" s="2" t="s">
        <v>670</v>
      </c>
      <c r="D9" s="15" t="s">
        <v>2</v>
      </c>
      <c r="E9" s="15"/>
      <c r="F9" s="15"/>
      <c r="G9" s="15"/>
      <c r="H9" s="15"/>
      <c r="I9" s="44"/>
      <c r="J9" s="44"/>
      <c r="K9" s="15"/>
      <c r="L9" s="15"/>
    </row>
    <row r="10" spans="1:17">
      <c r="B10" t="str">
        <f>MLIST!D9</f>
        <v>Pin Lamps - New</v>
      </c>
      <c r="C10" t="s">
        <v>103</v>
      </c>
      <c r="D10" t="s">
        <v>103</v>
      </c>
      <c r="E10" s="28"/>
      <c r="F10" s="57"/>
      <c r="G10" s="49"/>
      <c r="H10" s="50"/>
      <c r="I10" s="45"/>
      <c r="J10" s="61"/>
    </row>
    <row r="11" spans="1:17">
      <c r="B11" t="str">
        <f>MLIST!D10</f>
        <v>Pin Lamps - NR</v>
      </c>
      <c r="C11" t="s">
        <v>103</v>
      </c>
      <c r="D11" t="s">
        <v>103</v>
      </c>
      <c r="E11" s="28"/>
      <c r="F11" s="57"/>
      <c r="G11" s="50"/>
      <c r="H11" s="50"/>
      <c r="I11" s="45"/>
      <c r="J11" s="45"/>
      <c r="K11" s="45"/>
    </row>
    <row r="12" spans="1:17">
      <c r="B12" t="str">
        <f>MLIST!D11</f>
        <v>Lamps - NR</v>
      </c>
      <c r="C12" t="s">
        <v>103</v>
      </c>
      <c r="D12" t="s">
        <v>103</v>
      </c>
      <c r="E12" s="28"/>
      <c r="F12" s="57"/>
      <c r="G12" s="50"/>
      <c r="H12" s="50"/>
      <c r="I12" s="45"/>
      <c r="J12" s="45"/>
      <c r="K12" s="45"/>
    </row>
    <row r="13" spans="1:17">
      <c r="B13" t="str">
        <f>MLIST!D12</f>
        <v>Dishwasher - New</v>
      </c>
      <c r="C13" t="s">
        <v>123</v>
      </c>
      <c r="D13" t="s">
        <v>123</v>
      </c>
      <c r="E13" s="28"/>
      <c r="F13" s="57"/>
      <c r="G13" s="50"/>
      <c r="H13" s="50"/>
      <c r="I13" s="45"/>
      <c r="J13" s="45"/>
      <c r="K13" s="45"/>
    </row>
    <row r="14" spans="1:17">
      <c r="B14" t="str">
        <f>MLIST!D13</f>
        <v>Dishwasher - NR</v>
      </c>
      <c r="C14" t="s">
        <v>123</v>
      </c>
      <c r="D14" t="s">
        <v>123</v>
      </c>
      <c r="E14" s="28"/>
      <c r="F14" s="57"/>
      <c r="G14" s="50"/>
      <c r="H14" s="50"/>
      <c r="I14" s="45"/>
      <c r="J14" s="45"/>
      <c r="K14" s="45"/>
    </row>
    <row r="15" spans="1:17">
      <c r="B15" t="str">
        <f>MLIST!D14</f>
        <v>Clothes Washer - New</v>
      </c>
      <c r="C15" t="s">
        <v>332</v>
      </c>
      <c r="D15" t="s">
        <v>332</v>
      </c>
      <c r="E15" s="28"/>
      <c r="F15" s="57"/>
      <c r="G15" s="50"/>
      <c r="H15" s="50"/>
      <c r="I15" s="45"/>
      <c r="J15" s="28"/>
    </row>
    <row r="16" spans="1:17">
      <c r="B16" t="str">
        <f>MLIST!D15</f>
        <v>Clothes Washer - NR</v>
      </c>
      <c r="C16" t="s">
        <v>332</v>
      </c>
      <c r="D16" t="s">
        <v>332</v>
      </c>
      <c r="E16" s="28"/>
      <c r="F16" s="57"/>
      <c r="G16" s="50"/>
      <c r="H16" s="50"/>
      <c r="I16" s="45"/>
      <c r="J16" s="28"/>
    </row>
    <row r="17" spans="2:11">
      <c r="B17" t="str">
        <f>MLIST!D16</f>
        <v>WasteWater Heat Recovery - New</v>
      </c>
      <c r="C17" t="s">
        <v>630</v>
      </c>
      <c r="D17" t="s">
        <v>630</v>
      </c>
      <c r="E17" s="28"/>
      <c r="F17" s="57"/>
      <c r="G17" s="51"/>
      <c r="H17" s="50"/>
      <c r="I17" s="45"/>
      <c r="J17" s="45"/>
      <c r="K17" s="45"/>
    </row>
    <row r="18" spans="2:11">
      <c r="B18" t="str">
        <f>MLIST!D17</f>
        <v>Showerheads - New</v>
      </c>
      <c r="C18" t="s">
        <v>252</v>
      </c>
      <c r="D18" t="s">
        <v>252</v>
      </c>
      <c r="E18" s="28"/>
      <c r="F18" s="57"/>
      <c r="G18" s="49"/>
      <c r="I18" s="45"/>
      <c r="J18" s="45"/>
      <c r="K18" s="45"/>
    </row>
    <row r="19" spans="2:11">
      <c r="B19" t="str">
        <f>MLIST!D18</f>
        <v>Showerheads - NR</v>
      </c>
      <c r="C19" t="s">
        <v>252</v>
      </c>
      <c r="D19" t="s">
        <v>252</v>
      </c>
      <c r="E19" s="28"/>
      <c r="F19" s="57"/>
      <c r="G19" s="49"/>
      <c r="H19" s="50"/>
      <c r="I19" s="45"/>
      <c r="J19" s="28"/>
    </row>
    <row r="20" spans="2:11">
      <c r="B20" t="str">
        <f>MLIST!D19</f>
        <v>TSRV - New</v>
      </c>
      <c r="C20" t="s">
        <v>385</v>
      </c>
      <c r="D20" t="s">
        <v>631</v>
      </c>
      <c r="E20" s="28"/>
      <c r="F20" s="57"/>
      <c r="G20" s="50"/>
      <c r="H20" s="50"/>
      <c r="I20" s="45"/>
      <c r="J20" s="45"/>
      <c r="K20" s="45"/>
    </row>
    <row r="21" spans="2:11">
      <c r="B21" t="str">
        <f>MLIST!D20</f>
        <v>TSRV - Retro</v>
      </c>
      <c r="C21" t="s">
        <v>385</v>
      </c>
      <c r="D21" t="s">
        <v>631</v>
      </c>
      <c r="E21" s="28"/>
      <c r="F21" s="57"/>
      <c r="G21" s="50"/>
      <c r="H21" s="50"/>
      <c r="I21" s="45"/>
      <c r="J21" s="45"/>
      <c r="K21" s="45"/>
    </row>
    <row r="22" spans="2:11">
      <c r="B22" t="str">
        <f>MLIST!D21</f>
        <v>HPWH - New</v>
      </c>
      <c r="C22" t="s">
        <v>279</v>
      </c>
      <c r="D22" t="s">
        <v>632</v>
      </c>
      <c r="E22" s="28"/>
      <c r="F22" s="57"/>
      <c r="G22" s="50"/>
      <c r="H22" s="50"/>
      <c r="I22" s="45"/>
      <c r="J22" s="45"/>
      <c r="K22" s="45"/>
    </row>
    <row r="23" spans="2:11">
      <c r="B23" t="str">
        <f>MLIST!D22</f>
        <v>HPWH - NR</v>
      </c>
      <c r="C23" t="s">
        <v>279</v>
      </c>
      <c r="D23" t="s">
        <v>632</v>
      </c>
      <c r="E23" s="28"/>
      <c r="F23" s="57"/>
      <c r="G23" s="50"/>
      <c r="H23" s="50"/>
      <c r="I23" s="45"/>
      <c r="J23" s="45"/>
    </row>
    <row r="24" spans="2:11">
      <c r="B24" t="str">
        <f>MLIST!D23</f>
        <v>Aerator - New</v>
      </c>
      <c r="C24" t="s">
        <v>140</v>
      </c>
      <c r="D24" t="s">
        <v>140</v>
      </c>
      <c r="E24" s="28"/>
      <c r="F24" s="57"/>
      <c r="G24" s="50"/>
      <c r="H24" s="50"/>
      <c r="I24" s="45"/>
      <c r="J24" s="45"/>
    </row>
    <row r="25" spans="2:11">
      <c r="B25" t="str">
        <f>MLIST!D24</f>
        <v>Aerator - Retro</v>
      </c>
      <c r="C25" t="s">
        <v>140</v>
      </c>
      <c r="D25" t="s">
        <v>140</v>
      </c>
      <c r="E25" s="28"/>
      <c r="F25" s="57"/>
      <c r="G25" s="50"/>
      <c r="H25" s="50"/>
      <c r="I25" s="45"/>
      <c r="J25" s="45"/>
    </row>
    <row r="26" spans="2:11">
      <c r="B26" t="str">
        <f>MLIST!D25</f>
        <v>WH Pipe insulation - New</v>
      </c>
      <c r="C26" t="s">
        <v>229</v>
      </c>
      <c r="D26" t="s">
        <v>633</v>
      </c>
      <c r="E26" s="28"/>
      <c r="F26" s="57"/>
      <c r="G26" s="50"/>
      <c r="H26" s="50"/>
      <c r="I26" s="45"/>
      <c r="J26" s="28"/>
    </row>
    <row r="27" spans="2:11">
      <c r="B27" t="str">
        <f>MLIST!D26</f>
        <v>WH Pipe insulation - Retro</v>
      </c>
      <c r="C27" t="s">
        <v>229</v>
      </c>
      <c r="D27" t="s">
        <v>633</v>
      </c>
      <c r="E27" s="28"/>
      <c r="F27" s="57"/>
      <c r="G27" s="50"/>
      <c r="H27" s="50"/>
      <c r="I27" s="45"/>
      <c r="J27" s="45"/>
    </row>
    <row r="28" spans="2:11">
      <c r="B28" t="str">
        <f>MLIST!D27</f>
        <v>Circulators - New</v>
      </c>
      <c r="C28" t="s">
        <v>634</v>
      </c>
      <c r="D28" t="s">
        <v>386</v>
      </c>
      <c r="E28" s="28"/>
      <c r="F28" s="57"/>
      <c r="G28" s="50"/>
      <c r="H28" s="50"/>
      <c r="I28" s="45"/>
      <c r="J28" s="45"/>
    </row>
    <row r="29" spans="2:11">
      <c r="B29" t="str">
        <f>MLIST!D28</f>
        <v>Circulators - NR</v>
      </c>
      <c r="C29" t="s">
        <v>634</v>
      </c>
      <c r="D29" t="s">
        <v>386</v>
      </c>
      <c r="E29" s="28"/>
      <c r="F29" s="57"/>
      <c r="G29" s="50"/>
      <c r="H29" s="50"/>
      <c r="I29" s="45"/>
      <c r="J29" s="28"/>
    </row>
    <row r="30" spans="2:11">
      <c r="B30" t="str">
        <f>MLIST!D29</f>
        <v>Clothes Dryer - New</v>
      </c>
      <c r="C30" t="s">
        <v>327</v>
      </c>
      <c r="D30" t="s">
        <v>240</v>
      </c>
      <c r="E30" s="28"/>
      <c r="F30" s="57"/>
      <c r="G30" s="50"/>
      <c r="H30" s="50"/>
      <c r="I30" s="45"/>
      <c r="J30" s="45"/>
    </row>
    <row r="31" spans="2:11">
      <c r="B31" t="str">
        <f>MLIST!D30</f>
        <v>Clothes Dryer - NR</v>
      </c>
      <c r="C31" t="s">
        <v>327</v>
      </c>
      <c r="D31" t="s">
        <v>240</v>
      </c>
      <c r="E31" s="28"/>
      <c r="F31" s="57"/>
      <c r="G31" s="50"/>
      <c r="H31" s="50"/>
      <c r="I31" s="45"/>
      <c r="J31" s="45"/>
    </row>
    <row r="32" spans="2:11">
      <c r="B32" t="str">
        <f>MLIST!D31</f>
        <v>Refrigerator - New</v>
      </c>
      <c r="C32" t="s">
        <v>635</v>
      </c>
      <c r="D32" t="s">
        <v>122</v>
      </c>
      <c r="E32" s="28"/>
      <c r="F32" s="57"/>
      <c r="G32" s="50"/>
      <c r="H32" s="50"/>
      <c r="I32" s="45"/>
      <c r="J32" s="45"/>
    </row>
    <row r="33" spans="2:11">
      <c r="B33" t="str">
        <f>MLIST!D32</f>
        <v>Refrigerator - NR</v>
      </c>
      <c r="C33" t="s">
        <v>635</v>
      </c>
      <c r="D33" t="s">
        <v>122</v>
      </c>
      <c r="E33" s="28"/>
      <c r="F33" s="57"/>
      <c r="G33" s="50"/>
      <c r="H33" s="50"/>
      <c r="I33" s="45"/>
      <c r="J33" s="45"/>
    </row>
    <row r="34" spans="2:11">
      <c r="B34" t="str">
        <f>MLIST!D33</f>
        <v>Freezer - New</v>
      </c>
      <c r="C34" t="s">
        <v>635</v>
      </c>
      <c r="D34" t="s">
        <v>105</v>
      </c>
      <c r="E34" s="28"/>
      <c r="F34" s="57"/>
      <c r="G34" s="50"/>
      <c r="H34" s="50"/>
      <c r="I34" s="45"/>
      <c r="J34" s="45"/>
    </row>
    <row r="35" spans="2:11">
      <c r="B35" t="str">
        <f>MLIST!D34</f>
        <v>Freezer - NR</v>
      </c>
      <c r="C35" t="s">
        <v>635</v>
      </c>
      <c r="D35" t="s">
        <v>105</v>
      </c>
      <c r="E35" s="28"/>
      <c r="F35" s="57"/>
      <c r="G35" s="50"/>
      <c r="H35" s="50"/>
      <c r="I35" s="45"/>
      <c r="J35" s="45"/>
    </row>
    <row r="36" spans="2:11">
      <c r="B36" t="str">
        <f>MLIST!D35</f>
        <v>Electric Oven - New</v>
      </c>
      <c r="C36" t="s">
        <v>145</v>
      </c>
      <c r="D36" t="s">
        <v>145</v>
      </c>
      <c r="E36" s="28"/>
      <c r="F36" s="57"/>
      <c r="G36" s="50"/>
      <c r="H36" s="50"/>
      <c r="I36" s="45"/>
      <c r="J36" s="45"/>
    </row>
    <row r="37" spans="2:11">
      <c r="B37" t="str">
        <f>MLIST!D36</f>
        <v>Electric Oven - NR</v>
      </c>
      <c r="C37" t="s">
        <v>145</v>
      </c>
      <c r="D37" t="s">
        <v>145</v>
      </c>
      <c r="E37" s="28"/>
      <c r="F37" s="57"/>
      <c r="G37" s="50"/>
      <c r="H37" s="52"/>
      <c r="I37" s="45"/>
      <c r="J37" s="45"/>
    </row>
    <row r="38" spans="2:11">
      <c r="B38" t="str">
        <f>MLIST!D37</f>
        <v>Microwave - New</v>
      </c>
      <c r="C38" t="s">
        <v>124</v>
      </c>
      <c r="D38" t="s">
        <v>124</v>
      </c>
      <c r="E38" s="28"/>
      <c r="F38" s="57"/>
      <c r="G38" s="50"/>
      <c r="H38" s="50"/>
      <c r="I38" s="45"/>
      <c r="J38" s="28"/>
    </row>
    <row r="39" spans="2:11">
      <c r="B39" t="str">
        <f>MLIST!D38</f>
        <v>Microwave - NR</v>
      </c>
      <c r="C39" t="s">
        <v>124</v>
      </c>
      <c r="D39" t="s">
        <v>124</v>
      </c>
      <c r="E39" s="28"/>
      <c r="F39" s="57"/>
      <c r="G39" s="50"/>
      <c r="I39" s="45"/>
      <c r="J39" s="45"/>
      <c r="K39" s="45"/>
    </row>
    <row r="40" spans="2:11">
      <c r="B40" t="str">
        <f>MLIST!D39</f>
        <v>Monitor - New</v>
      </c>
      <c r="C40" t="s">
        <v>128</v>
      </c>
      <c r="D40" t="s">
        <v>636</v>
      </c>
      <c r="E40" s="28"/>
      <c r="F40" s="57"/>
      <c r="G40" s="50"/>
      <c r="H40" s="50"/>
      <c r="I40" s="45"/>
      <c r="J40" s="28"/>
    </row>
    <row r="41" spans="2:11">
      <c r="B41" t="str">
        <f>MLIST!D40</f>
        <v>Monitor - NR</v>
      </c>
      <c r="C41" t="s">
        <v>128</v>
      </c>
      <c r="D41" t="s">
        <v>636</v>
      </c>
      <c r="E41" s="28"/>
      <c r="F41" s="57"/>
      <c r="G41" s="50"/>
      <c r="H41" s="50"/>
      <c r="I41" s="45"/>
      <c r="J41" s="45"/>
      <c r="K41" s="45"/>
    </row>
    <row r="42" spans="2:11" ht="13.5" customHeight="1">
      <c r="B42" t="str">
        <f>MLIST!D41</f>
        <v>Desktop - New</v>
      </c>
      <c r="C42" t="s">
        <v>637</v>
      </c>
      <c r="D42" t="s">
        <v>638</v>
      </c>
      <c r="E42" s="28"/>
      <c r="F42" s="57"/>
      <c r="G42" s="50"/>
      <c r="H42" s="50"/>
      <c r="I42" s="45"/>
      <c r="J42" s="45"/>
    </row>
    <row r="43" spans="2:11">
      <c r="B43" t="str">
        <f>MLIST!D42</f>
        <v>Desktop - NR</v>
      </c>
      <c r="C43" t="s">
        <v>637</v>
      </c>
      <c r="D43" t="s">
        <v>638</v>
      </c>
      <c r="E43" s="28"/>
      <c r="F43" s="57"/>
      <c r="G43" s="50"/>
      <c r="H43" s="50"/>
      <c r="I43" s="45"/>
      <c r="J43" s="45"/>
      <c r="K43" s="48"/>
    </row>
    <row r="44" spans="2:11">
      <c r="B44" t="str">
        <f>MLIST!D43</f>
        <v>Laptop - New</v>
      </c>
      <c r="C44" t="s">
        <v>637</v>
      </c>
      <c r="D44" t="s">
        <v>639</v>
      </c>
      <c r="E44" s="28"/>
      <c r="F44" s="57"/>
      <c r="G44" s="50"/>
      <c r="H44" s="50"/>
      <c r="I44" s="45"/>
      <c r="J44" s="28"/>
    </row>
    <row r="45" spans="2:11">
      <c r="B45" t="str">
        <f>MLIST!D44</f>
        <v>Laptop - NR</v>
      </c>
      <c r="C45" t="s">
        <v>637</v>
      </c>
      <c r="D45" t="s">
        <v>639</v>
      </c>
      <c r="E45" s="28"/>
      <c r="F45" s="57"/>
      <c r="G45" s="50"/>
      <c r="H45" s="50"/>
      <c r="I45" s="45"/>
      <c r="J45" s="28"/>
    </row>
    <row r="46" spans="2:11">
      <c r="B46" t="str">
        <f>MLIST!D45</f>
        <v>Computer - New</v>
      </c>
      <c r="E46" s="28"/>
      <c r="F46" s="57"/>
      <c r="G46" s="50"/>
      <c r="H46" s="50"/>
      <c r="I46" s="45"/>
      <c r="J46" s="28"/>
    </row>
    <row r="47" spans="2:11">
      <c r="B47" t="str">
        <f>MLIST!D46</f>
        <v>Computer - NR</v>
      </c>
      <c r="E47" s="28"/>
      <c r="F47" s="57"/>
      <c r="G47" s="50"/>
      <c r="H47" s="50"/>
      <c r="I47" s="45"/>
      <c r="J47" s="28"/>
    </row>
    <row r="48" spans="2:11">
      <c r="B48" t="str">
        <f>MLIST!D47</f>
        <v>Advanced Power Strips - New</v>
      </c>
      <c r="C48" t="s">
        <v>640</v>
      </c>
      <c r="D48" t="s">
        <v>641</v>
      </c>
      <c r="E48" s="28"/>
      <c r="F48" s="57"/>
      <c r="G48" s="50"/>
      <c r="H48" s="50"/>
      <c r="I48" s="45"/>
      <c r="J48" s="45"/>
    </row>
    <row r="49" spans="2:10">
      <c r="B49" t="str">
        <f>MLIST!D48</f>
        <v>Advanced Power Strips - Retro</v>
      </c>
      <c r="C49" t="s">
        <v>640</v>
      </c>
      <c r="D49" t="s">
        <v>641</v>
      </c>
      <c r="E49" s="28"/>
      <c r="F49" s="57"/>
      <c r="G49" s="50"/>
      <c r="H49" s="50"/>
      <c r="I49" s="45"/>
      <c r="J49" s="45"/>
    </row>
    <row r="50" spans="2:10">
      <c r="B50" t="str">
        <f>MLIST!D49</f>
        <v>UHD TV - New</v>
      </c>
      <c r="C50" t="s">
        <v>375</v>
      </c>
      <c r="D50" t="s">
        <v>642</v>
      </c>
      <c r="E50" s="28"/>
      <c r="F50" s="57"/>
      <c r="G50" s="50"/>
      <c r="H50" s="50"/>
      <c r="I50" s="45"/>
      <c r="J50" s="45"/>
    </row>
    <row r="51" spans="2:10">
      <c r="B51" t="str">
        <f>MLIST!D50</f>
        <v>UHD TV - NR</v>
      </c>
      <c r="C51" t="s">
        <v>375</v>
      </c>
      <c r="D51" t="s">
        <v>642</v>
      </c>
      <c r="E51" s="28"/>
      <c r="F51" s="57"/>
      <c r="G51" s="50"/>
      <c r="H51" s="50"/>
      <c r="I51" s="45"/>
    </row>
    <row r="52" spans="2:10">
      <c r="B52" t="str">
        <f>MLIST!D51</f>
        <v>Fixtures - New</v>
      </c>
      <c r="C52" t="s">
        <v>103</v>
      </c>
      <c r="D52" t="s">
        <v>643</v>
      </c>
      <c r="E52" s="28"/>
      <c r="F52" s="57"/>
      <c r="G52" s="50"/>
      <c r="H52" s="50"/>
      <c r="I52" s="45"/>
    </row>
    <row r="53" spans="2:10">
      <c r="B53" t="str">
        <f>MLIST!D52</f>
        <v>Fixtures - NR</v>
      </c>
      <c r="C53" t="s">
        <v>103</v>
      </c>
      <c r="D53" t="s">
        <v>643</v>
      </c>
      <c r="E53" s="28"/>
      <c r="F53" s="57"/>
      <c r="G53" s="50"/>
      <c r="H53" s="50"/>
      <c r="I53" s="45"/>
    </row>
    <row r="54" spans="2:10">
      <c r="B54" t="str">
        <f>MLIST!D53</f>
        <v>ASHP Upgrade - New</v>
      </c>
      <c r="C54" t="s">
        <v>644</v>
      </c>
      <c r="D54" t="s">
        <v>645</v>
      </c>
      <c r="E54" s="28"/>
      <c r="F54" s="57"/>
      <c r="G54" s="50"/>
      <c r="H54" s="50"/>
      <c r="I54" s="45"/>
    </row>
    <row r="55" spans="2:10">
      <c r="B55" t="str">
        <f>MLIST!D54</f>
        <v>ASHP Upgrade - NR</v>
      </c>
      <c r="C55" t="s">
        <v>644</v>
      </c>
      <c r="D55" t="s">
        <v>645</v>
      </c>
      <c r="E55" s="28"/>
      <c r="F55" s="87"/>
      <c r="G55" s="50"/>
      <c r="H55" s="50"/>
      <c r="I55" s="45"/>
    </row>
    <row r="56" spans="2:10">
      <c r="B56" t="str">
        <f>MLIST!D55</f>
        <v>ASHP Conversion - New</v>
      </c>
      <c r="C56" t="s">
        <v>644</v>
      </c>
      <c r="D56" t="s">
        <v>646</v>
      </c>
      <c r="E56" s="28"/>
      <c r="F56" s="57"/>
      <c r="G56" s="50"/>
      <c r="H56" s="50"/>
      <c r="I56" s="45"/>
    </row>
    <row r="57" spans="2:10">
      <c r="B57" t="str">
        <f>MLIST!D56</f>
        <v>ASHP Conversion - Retro</v>
      </c>
      <c r="C57" t="s">
        <v>644</v>
      </c>
      <c r="D57" t="s">
        <v>646</v>
      </c>
      <c r="E57" s="28"/>
      <c r="F57" s="57"/>
      <c r="G57" s="50"/>
      <c r="H57" s="50"/>
      <c r="I57" s="45"/>
      <c r="J57" s="45"/>
    </row>
    <row r="58" spans="2:10">
      <c r="B58" t="str">
        <f>MLIST!D57</f>
        <v>DHP - New</v>
      </c>
      <c r="C58" t="s">
        <v>647</v>
      </c>
      <c r="D58" t="s">
        <v>648</v>
      </c>
      <c r="E58" s="28"/>
      <c r="F58" s="57"/>
      <c r="G58" s="50"/>
      <c r="H58" s="50"/>
      <c r="I58" s="45"/>
    </row>
    <row r="59" spans="2:10">
      <c r="B59" t="str">
        <f>MLIST!D58</f>
        <v>DHP - Retro</v>
      </c>
      <c r="C59" t="s">
        <v>647</v>
      </c>
      <c r="D59" t="s">
        <v>648</v>
      </c>
      <c r="E59" s="28"/>
      <c r="F59" s="57"/>
      <c r="G59" s="50"/>
      <c r="H59" s="50"/>
      <c r="I59" s="45"/>
    </row>
    <row r="60" spans="2:10">
      <c r="B60" t="str">
        <f>MLIST!D59</f>
        <v>DHP Ducted - Retro</v>
      </c>
      <c r="C60" t="s">
        <v>649</v>
      </c>
      <c r="D60" t="s">
        <v>650</v>
      </c>
      <c r="E60" s="28"/>
      <c r="F60" s="57"/>
      <c r="G60" s="50"/>
      <c r="H60" s="50"/>
      <c r="I60" s="45"/>
    </row>
    <row r="61" spans="2:10" ht="12.75" customHeight="1">
      <c r="B61" t="str">
        <f>MLIST!D60</f>
        <v>Duct Sealing - New</v>
      </c>
      <c r="C61" t="s">
        <v>651</v>
      </c>
      <c r="D61" t="s">
        <v>652</v>
      </c>
      <c r="E61" s="28"/>
      <c r="F61" s="57"/>
      <c r="G61" s="50"/>
      <c r="H61" s="53"/>
      <c r="I61" s="45"/>
      <c r="J61" s="45"/>
    </row>
    <row r="62" spans="2:10">
      <c r="B62" t="str">
        <f>MLIST!D61</f>
        <v>Duct Sealing - Retro</v>
      </c>
      <c r="C62" t="s">
        <v>651</v>
      </c>
      <c r="D62" t="s">
        <v>652</v>
      </c>
      <c r="E62" s="28"/>
      <c r="F62" s="57"/>
      <c r="G62" s="50"/>
      <c r="H62" s="50"/>
      <c r="I62" s="45"/>
    </row>
    <row r="63" spans="2:10">
      <c r="B63" t="str">
        <f>MLIST!D62</f>
        <v>Smart tstats - New</v>
      </c>
      <c r="C63" t="s">
        <v>653</v>
      </c>
      <c r="D63" t="s">
        <v>654</v>
      </c>
      <c r="E63" s="28"/>
      <c r="F63" s="57"/>
      <c r="G63" s="50"/>
      <c r="H63" s="50"/>
      <c r="I63" s="45"/>
    </row>
    <row r="64" spans="2:10">
      <c r="B64" t="str">
        <f>MLIST!D63</f>
        <v>Smart tstats - Retro</v>
      </c>
      <c r="C64" t="s">
        <v>653</v>
      </c>
      <c r="D64" t="s">
        <v>654</v>
      </c>
      <c r="E64" s="28"/>
      <c r="F64" s="57"/>
      <c r="G64" s="50"/>
      <c r="H64" s="50"/>
      <c r="I64" s="45"/>
    </row>
    <row r="65" spans="2:12">
      <c r="B65" t="str">
        <f>MLIST!D64</f>
        <v>Cellular Shades - New</v>
      </c>
      <c r="C65" t="s">
        <v>655</v>
      </c>
      <c r="D65" t="s">
        <v>656</v>
      </c>
      <c r="E65" s="28"/>
      <c r="F65" s="57"/>
      <c r="G65" s="50"/>
      <c r="H65" s="50"/>
      <c r="I65" s="45"/>
    </row>
    <row r="66" spans="2:12">
      <c r="B66" t="str">
        <f>MLIST!D65</f>
        <v>Cellular Shades - Retro</v>
      </c>
      <c r="C66" t="s">
        <v>655</v>
      </c>
      <c r="D66" t="s">
        <v>656</v>
      </c>
      <c r="E66" s="28"/>
      <c r="F66" s="57"/>
      <c r="G66" s="50"/>
      <c r="H66" s="50"/>
      <c r="I66" s="45"/>
    </row>
    <row r="67" spans="2:12">
      <c r="B67" t="str">
        <f>MLIST!D66</f>
        <v>CAC - New</v>
      </c>
      <c r="C67" t="s">
        <v>391</v>
      </c>
      <c r="D67" t="s">
        <v>657</v>
      </c>
      <c r="E67" s="28"/>
      <c r="F67" s="57"/>
      <c r="G67" s="50"/>
      <c r="H67" s="50"/>
      <c r="I67" s="45"/>
    </row>
    <row r="68" spans="2:12">
      <c r="B68" t="str">
        <f>MLIST!D67</f>
        <v>CAC - NR</v>
      </c>
      <c r="C68" t="s">
        <v>391</v>
      </c>
      <c r="D68" t="s">
        <v>657</v>
      </c>
      <c r="E68" s="28"/>
      <c r="F68" s="57"/>
      <c r="G68" s="50"/>
      <c r="H68" s="50"/>
      <c r="I68" s="45"/>
    </row>
    <row r="69" spans="2:12">
      <c r="B69" t="str">
        <f>MLIST!D68</f>
        <v>Heat Recovery Ventilation - New</v>
      </c>
      <c r="C69" t="s">
        <v>658</v>
      </c>
      <c r="D69" t="s">
        <v>659</v>
      </c>
      <c r="E69" s="28"/>
      <c r="F69" s="57"/>
      <c r="G69" s="50"/>
      <c r="H69" s="50"/>
      <c r="I69" s="45"/>
    </row>
    <row r="70" spans="2:12">
      <c r="B70" t="str">
        <f>MLIST!D69</f>
        <v>GSHP - New</v>
      </c>
      <c r="C70" t="s">
        <v>329</v>
      </c>
      <c r="D70" t="s">
        <v>660</v>
      </c>
      <c r="E70" s="28"/>
      <c r="F70" s="57"/>
      <c r="G70" s="50"/>
      <c r="H70" s="50"/>
      <c r="I70" s="45"/>
    </row>
    <row r="71" spans="2:12">
      <c r="B71" t="str">
        <f>MLIST!D70</f>
        <v>GSHP - NR</v>
      </c>
      <c r="C71" t="s">
        <v>329</v>
      </c>
      <c r="D71" t="s">
        <v>660</v>
      </c>
      <c r="E71" s="28"/>
      <c r="F71" s="57"/>
      <c r="G71" s="50"/>
      <c r="H71" s="53"/>
      <c r="I71" s="46"/>
      <c r="J71" s="45"/>
    </row>
    <row r="72" spans="2:12">
      <c r="B72" t="str">
        <f>MLIST!D71</f>
        <v>Whole House Fan - Retro</v>
      </c>
      <c r="C72" t="s">
        <v>254</v>
      </c>
      <c r="D72" t="s">
        <v>254</v>
      </c>
      <c r="E72" s="28"/>
      <c r="F72" s="57"/>
      <c r="G72" s="50"/>
      <c r="H72" s="53"/>
      <c r="I72" s="46"/>
      <c r="J72" s="45"/>
    </row>
    <row r="73" spans="2:12">
      <c r="B73" t="str">
        <f>MLIST!D72</f>
        <v>Whole House Fan - New</v>
      </c>
      <c r="C73" t="s">
        <v>254</v>
      </c>
      <c r="D73" t="s">
        <v>254</v>
      </c>
      <c r="E73" s="28"/>
      <c r="F73" s="57"/>
      <c r="G73" s="50"/>
      <c r="H73" s="53"/>
      <c r="I73" s="45"/>
      <c r="J73" s="45"/>
    </row>
    <row r="74" spans="2:12">
      <c r="B74" t="str">
        <f>MLIST!D73</f>
        <v>Circulator Controls - New</v>
      </c>
      <c r="C74" t="s">
        <v>634</v>
      </c>
      <c r="D74" t="s">
        <v>661</v>
      </c>
      <c r="E74" s="28"/>
      <c r="F74" s="57"/>
      <c r="G74" s="50"/>
      <c r="H74" s="53"/>
      <c r="I74" s="45"/>
      <c r="J74" s="45"/>
      <c r="L74" s="48"/>
    </row>
    <row r="75" spans="2:12">
      <c r="B75" t="str">
        <f>MLIST!D74</f>
        <v>Circulator Controls - NR</v>
      </c>
      <c r="C75" t="s">
        <v>634</v>
      </c>
      <c r="D75" t="s">
        <v>661</v>
      </c>
      <c r="E75" s="28"/>
      <c r="F75" s="57"/>
      <c r="G75" s="50"/>
      <c r="H75" s="50"/>
      <c r="I75" s="45"/>
      <c r="J75" s="45"/>
    </row>
    <row r="76" spans="2:12">
      <c r="B76" t="str">
        <f>MLIST!D75</f>
        <v>Behavior - Retro</v>
      </c>
      <c r="C76" t="s">
        <v>108</v>
      </c>
      <c r="D76" t="s">
        <v>662</v>
      </c>
      <c r="E76" s="28"/>
      <c r="F76" s="57"/>
      <c r="G76" s="50"/>
      <c r="H76" s="50"/>
      <c r="I76" s="45"/>
      <c r="J76" s="45"/>
    </row>
    <row r="77" spans="2:12">
      <c r="B77" t="str">
        <f>MLIST!D76</f>
        <v>Behavior - New</v>
      </c>
      <c r="C77" t="s">
        <v>108</v>
      </c>
      <c r="D77" t="s">
        <v>662</v>
      </c>
      <c r="E77" s="28"/>
      <c r="F77" s="57"/>
      <c r="G77" s="50"/>
      <c r="H77" s="50"/>
      <c r="I77" s="45"/>
      <c r="J77" s="45"/>
    </row>
    <row r="78" spans="2:12">
      <c r="B78" t="str">
        <f>MLIST!D77</f>
        <v>EV Supply Equip - New</v>
      </c>
      <c r="C78" t="s">
        <v>663</v>
      </c>
      <c r="D78" t="s">
        <v>664</v>
      </c>
      <c r="E78" s="28"/>
      <c r="F78" s="57"/>
      <c r="G78" s="50"/>
      <c r="H78" s="50"/>
      <c r="I78" s="45"/>
    </row>
    <row r="79" spans="2:12">
      <c r="B79" t="str">
        <f>MLIST!D78</f>
        <v>EV Supply Equip - NR</v>
      </c>
      <c r="C79" t="s">
        <v>663</v>
      </c>
      <c r="D79" t="s">
        <v>664</v>
      </c>
      <c r="E79" s="28"/>
      <c r="F79" s="57"/>
      <c r="G79" s="50"/>
      <c r="H79" s="50"/>
      <c r="I79" s="45"/>
      <c r="J79" s="45"/>
    </row>
    <row r="80" spans="2:12">
      <c r="B80" t="str">
        <f>MLIST!D79</f>
        <v>Air cleaners - New</v>
      </c>
      <c r="C80" t="s">
        <v>665</v>
      </c>
      <c r="D80" t="s">
        <v>388</v>
      </c>
      <c r="E80" s="28"/>
      <c r="F80" s="57"/>
      <c r="G80" s="50"/>
      <c r="H80" s="50"/>
      <c r="I80" s="45"/>
    </row>
    <row r="81" spans="2:11">
      <c r="B81" t="str">
        <f>MLIST!D80</f>
        <v>Air cleaners - NR</v>
      </c>
      <c r="C81" t="s">
        <v>665</v>
      </c>
      <c r="D81" t="s">
        <v>388</v>
      </c>
      <c r="E81" s="28"/>
      <c r="F81" s="57"/>
      <c r="G81" s="50"/>
      <c r="H81" s="50"/>
      <c r="I81" s="45"/>
      <c r="J81" s="45"/>
    </row>
    <row r="82" spans="2:11">
      <c r="B82" t="str">
        <f>MLIST!D81</f>
        <v>RAC - New</v>
      </c>
      <c r="C82" t="s">
        <v>613</v>
      </c>
      <c r="D82" t="s">
        <v>666</v>
      </c>
      <c r="E82" s="28"/>
      <c r="F82" s="57"/>
      <c r="G82" s="50"/>
      <c r="H82" s="50"/>
      <c r="I82" s="45"/>
      <c r="J82" s="45"/>
    </row>
    <row r="83" spans="2:11">
      <c r="B83" t="str">
        <f>MLIST!D82</f>
        <v>RAC - NR</v>
      </c>
      <c r="C83" t="s">
        <v>613</v>
      </c>
      <c r="D83" t="s">
        <v>666</v>
      </c>
      <c r="E83" s="28"/>
      <c r="F83" s="57"/>
      <c r="G83" s="50"/>
      <c r="H83" s="50"/>
      <c r="I83" s="45"/>
      <c r="J83" s="45"/>
    </row>
    <row r="84" spans="2:11">
      <c r="B84" t="str">
        <f>MLIST!D83</f>
        <v>Well Pump - New</v>
      </c>
      <c r="C84" t="s">
        <v>667</v>
      </c>
      <c r="D84" t="s">
        <v>667</v>
      </c>
      <c r="E84" s="28"/>
      <c r="F84" s="57"/>
      <c r="G84" s="50"/>
      <c r="H84" s="50"/>
      <c r="I84" s="45"/>
      <c r="J84" s="45"/>
    </row>
    <row r="85" spans="2:11">
      <c r="B85" t="str">
        <f>MLIST!D84</f>
        <v>Well Pump - NR</v>
      </c>
      <c r="C85" t="s">
        <v>521</v>
      </c>
      <c r="D85" t="s">
        <v>667</v>
      </c>
      <c r="E85" s="28"/>
      <c r="F85" s="57"/>
      <c r="G85" s="50"/>
      <c r="H85" s="50"/>
      <c r="I85" s="45"/>
      <c r="J85" s="45"/>
    </row>
    <row r="86" spans="2:11">
      <c r="B86" t="str">
        <f>MLIST!D85</f>
        <v>ResWx - Retro</v>
      </c>
      <c r="C86" t="s">
        <v>668</v>
      </c>
      <c r="D86" t="s">
        <v>669</v>
      </c>
      <c r="E86" s="28"/>
      <c r="F86" s="57"/>
      <c r="G86" s="50"/>
      <c r="H86" s="50"/>
      <c r="I86" s="45"/>
      <c r="J86" s="45"/>
    </row>
    <row r="87" spans="2:11">
      <c r="C87" s="19"/>
      <c r="E87" s="28"/>
      <c r="F87" s="57"/>
      <c r="G87" s="50"/>
      <c r="H87" s="50"/>
      <c r="I87" s="45"/>
      <c r="J87" s="45"/>
    </row>
    <row r="88" spans="2:11">
      <c r="C88" s="19"/>
      <c r="E88" s="28"/>
      <c r="F88" s="57"/>
      <c r="G88" s="50"/>
      <c r="H88" s="50"/>
      <c r="I88" s="45"/>
      <c r="J88" s="45"/>
    </row>
    <row r="89" spans="2:11">
      <c r="C89" s="19"/>
      <c r="E89" s="28"/>
      <c r="F89" s="57"/>
      <c r="G89" s="50"/>
      <c r="H89" s="50"/>
      <c r="I89" s="45"/>
      <c r="J89" s="45"/>
    </row>
    <row r="90" spans="2:11">
      <c r="C90" s="19"/>
      <c r="E90" s="28"/>
      <c r="F90" s="57"/>
      <c r="G90" s="50"/>
      <c r="H90" s="50"/>
      <c r="I90" s="45"/>
      <c r="J90" s="45"/>
    </row>
    <row r="91" spans="2:11">
      <c r="C91" s="19"/>
      <c r="E91" s="28"/>
      <c r="F91" s="57"/>
      <c r="G91" s="50"/>
      <c r="H91" s="50"/>
      <c r="I91" s="45"/>
      <c r="J91" s="45"/>
    </row>
    <row r="92" spans="2:11">
      <c r="C92" s="19"/>
      <c r="E92" s="28"/>
      <c r="F92" s="57"/>
      <c r="G92" s="50"/>
      <c r="H92" s="50"/>
      <c r="I92" s="45"/>
      <c r="J92" s="45"/>
    </row>
    <row r="93" spans="2:11">
      <c r="C93" s="19"/>
      <c r="E93" s="28"/>
      <c r="F93" s="57"/>
      <c r="G93" s="50"/>
      <c r="H93" s="50"/>
      <c r="I93" s="45"/>
      <c r="J93" s="45"/>
    </row>
    <row r="94" spans="2:11">
      <c r="C94" s="19"/>
      <c r="E94" s="28"/>
      <c r="F94" s="57"/>
      <c r="G94" s="50"/>
      <c r="H94" s="50"/>
      <c r="I94" s="45"/>
      <c r="J94" s="45"/>
    </row>
    <row r="95" spans="2:11">
      <c r="C95" s="19"/>
      <c r="E95" s="28"/>
      <c r="F95" s="57"/>
      <c r="G95" s="50"/>
      <c r="H95" s="53"/>
      <c r="I95" s="45"/>
      <c r="J95" s="45"/>
      <c r="K95" s="48"/>
    </row>
    <row r="96" spans="2:11">
      <c r="C96" s="19"/>
      <c r="E96" s="28"/>
      <c r="F96" s="57"/>
      <c r="G96" s="50"/>
      <c r="H96" s="50"/>
      <c r="I96" s="45"/>
      <c r="J96" s="45"/>
    </row>
    <row r="97" spans="2:12">
      <c r="C97" s="19"/>
      <c r="E97" s="28"/>
      <c r="F97" s="57"/>
      <c r="G97" s="50"/>
      <c r="H97" s="50"/>
      <c r="I97" s="45"/>
      <c r="J97" s="45"/>
    </row>
    <row r="98" spans="2:12">
      <c r="C98" s="19"/>
      <c r="E98" s="28"/>
      <c r="F98" s="57"/>
      <c r="G98" s="50"/>
      <c r="H98" s="50"/>
      <c r="I98" s="45"/>
      <c r="J98" s="45"/>
    </row>
    <row r="99" spans="2:12">
      <c r="B99" t="s">
        <v>552</v>
      </c>
      <c r="C99" s="19"/>
      <c r="E99" s="28"/>
      <c r="F99" s="57"/>
      <c r="G99" s="50"/>
      <c r="H99" s="50"/>
      <c r="I99" s="45"/>
      <c r="J99" s="45"/>
    </row>
    <row r="100" spans="2:12">
      <c r="C100" s="19"/>
      <c r="E100" s="28"/>
      <c r="F100" s="57"/>
      <c r="G100" s="54"/>
      <c r="H100" s="53"/>
      <c r="I100" s="45"/>
      <c r="J100" s="45"/>
      <c r="L100" s="48"/>
    </row>
    <row r="101" spans="2:12">
      <c r="C101" s="19"/>
      <c r="E101" s="28"/>
      <c r="F101" s="57"/>
      <c r="G101" s="50"/>
      <c r="H101" s="53"/>
      <c r="I101" s="45"/>
      <c r="J101" s="45"/>
      <c r="L101" s="48"/>
    </row>
    <row r="102" spans="2:12">
      <c r="C102" s="19"/>
      <c r="E102" s="28"/>
      <c r="F102" s="57"/>
      <c r="G102" s="50"/>
      <c r="H102" s="53"/>
      <c r="I102" s="45"/>
      <c r="J102" s="45"/>
      <c r="L102" s="48"/>
    </row>
    <row r="103" spans="2:12">
      <c r="C103" s="19"/>
      <c r="E103" s="28"/>
      <c r="F103" s="57"/>
      <c r="G103" s="51"/>
      <c r="H103" s="50"/>
      <c r="I103" s="45"/>
      <c r="J103" s="45"/>
      <c r="L103" s="48"/>
    </row>
    <row r="104" spans="2:12">
      <c r="C104" s="19"/>
      <c r="E104" s="28"/>
      <c r="F104" s="57"/>
    </row>
    <row r="105" spans="2:12">
      <c r="F105" s="57"/>
    </row>
    <row r="106" spans="2:12">
      <c r="F106" s="57"/>
    </row>
    <row r="107" spans="2:12">
      <c r="F107" s="57"/>
    </row>
    <row r="108" spans="2:12">
      <c r="F108" s="57"/>
    </row>
    <row r="109" spans="2:12">
      <c r="F109" s="57"/>
    </row>
    <row r="110" spans="2:12">
      <c r="F110" s="57"/>
    </row>
    <row r="111" spans="2:12">
      <c r="F111" s="57"/>
    </row>
    <row r="113" spans="8:9">
      <c r="H113" s="51"/>
      <c r="I113" s="29"/>
    </row>
  </sheetData>
  <autoFilter ref="A9:L111" xr:uid="{00000000-0009-0000-0000-000003000000}"/>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H164"/>
  <sheetViews>
    <sheetView workbookViewId="0">
      <selection activeCell="E76" sqref="E76"/>
    </sheetView>
  </sheetViews>
  <sheetFormatPr defaultRowHeight="12.75"/>
  <cols>
    <col min="2" max="2" width="47" customWidth="1"/>
    <col min="4" max="4" width="9.7109375" bestFit="1" customWidth="1"/>
    <col min="6" max="6" width="10.28515625" bestFit="1" customWidth="1"/>
  </cols>
  <sheetData>
    <row r="1" spans="1:8">
      <c r="A1" t="s">
        <v>80</v>
      </c>
      <c r="B1" t="s">
        <v>136</v>
      </c>
      <c r="D1" s="20" t="str">
        <f ca="1">CELL("filename")</f>
        <v>Q:\Eighth Plan\Conservation Analysis\Residential\[Res_Master2021P.xlsx]TURN</v>
      </c>
    </row>
    <row r="2" spans="1:8">
      <c r="B2" s="20"/>
    </row>
    <row r="3" spans="1:8">
      <c r="B3" s="29"/>
      <c r="C3" s="25"/>
      <c r="D3" s="25"/>
      <c r="E3" s="25"/>
      <c r="F3" s="25"/>
    </row>
    <row r="4" spans="1:8">
      <c r="B4" s="29"/>
      <c r="C4" s="25"/>
      <c r="D4" s="25"/>
      <c r="E4" s="25"/>
      <c r="F4" s="25"/>
    </row>
    <row r="5" spans="1:8">
      <c r="B5" s="29"/>
    </row>
    <row r="6" spans="1:8">
      <c r="B6" s="43"/>
      <c r="G6" s="1"/>
      <c r="H6" s="1"/>
    </row>
    <row r="7" spans="1:8">
      <c r="A7" s="1"/>
      <c r="B7" s="1">
        <f>COLUMN()-1</f>
        <v>1</v>
      </c>
      <c r="C7" s="1">
        <f>COLUMN()-1</f>
        <v>2</v>
      </c>
      <c r="D7" s="1">
        <f>COLUMN()-1</f>
        <v>3</v>
      </c>
      <c r="E7" s="1">
        <f>COLUMN()-1</f>
        <v>4</v>
      </c>
      <c r="F7" s="1">
        <f>COLUMN()-1</f>
        <v>5</v>
      </c>
    </row>
    <row r="8" spans="1:8">
      <c r="A8" s="23" t="s">
        <v>30</v>
      </c>
      <c r="B8" s="23" t="s">
        <v>68</v>
      </c>
      <c r="C8" s="3" t="s">
        <v>110</v>
      </c>
      <c r="D8" s="3" t="s">
        <v>111</v>
      </c>
      <c r="E8" s="3" t="s">
        <v>112</v>
      </c>
      <c r="F8" s="3" t="s">
        <v>113</v>
      </c>
      <c r="G8" s="3" t="s">
        <v>26</v>
      </c>
    </row>
    <row r="9" spans="1:8" ht="12.6" customHeight="1">
      <c r="B9" s="32" t="str">
        <f>MLIST!D9</f>
        <v>Pin Lamps - New</v>
      </c>
      <c r="C9" s="6">
        <f>FEAS!C9*(1-BASE!C9)</f>
        <v>0.99</v>
      </c>
      <c r="D9" s="6">
        <f>FEAS!D9*(1-BASE!D9)</f>
        <v>0.99</v>
      </c>
      <c r="E9" s="6">
        <f>FEAS!E9*(1-BASE!E9)</f>
        <v>0.99</v>
      </c>
      <c r="F9" s="6">
        <f>FEAS!F9*(1-BASE!F9)</f>
        <v>0.99</v>
      </c>
    </row>
    <row r="10" spans="1:8">
      <c r="B10" s="32" t="str">
        <f>MLIST!D10</f>
        <v>Pin Lamps - NR</v>
      </c>
      <c r="C10" s="6">
        <f>FEAS!C10*(1-BASE!C10)</f>
        <v>0.99</v>
      </c>
      <c r="D10" s="6">
        <f>FEAS!D10*(1-BASE!D10)</f>
        <v>0.99</v>
      </c>
      <c r="E10" s="6">
        <f>FEAS!E10*(1-BASE!E10)</f>
        <v>0.99</v>
      </c>
      <c r="F10" s="6">
        <f>FEAS!F10*(1-BASE!F10)</f>
        <v>0.99</v>
      </c>
    </row>
    <row r="11" spans="1:8">
      <c r="B11" s="32" t="str">
        <f>MLIST!D11</f>
        <v>Lamps - NR</v>
      </c>
      <c r="C11" s="6">
        <f>FEAS!C11*(1-BASE!C11)</f>
        <v>0.38998613897433687</v>
      </c>
      <c r="D11" s="6">
        <f>FEAS!D11*(1-BASE!D11)</f>
        <v>0.38998613897433687</v>
      </c>
      <c r="E11" s="6">
        <f>FEAS!E11*(1-BASE!E11)</f>
        <v>0.38998613897433687</v>
      </c>
      <c r="F11" s="6">
        <f>FEAS!F11*(1-BASE!F11)</f>
        <v>0.38998613897433687</v>
      </c>
    </row>
    <row r="12" spans="1:8">
      <c r="B12" s="32" t="str">
        <f>MLIST!D12</f>
        <v>Dishwasher - New</v>
      </c>
      <c r="C12" s="6">
        <f>FEAS!C12*(1-BASE!C12)</f>
        <v>9.8999999999999977E-2</v>
      </c>
      <c r="D12" s="6">
        <f>FEAS!D12*(1-BASE!D12)</f>
        <v>9.8999999999999977E-2</v>
      </c>
      <c r="E12" s="6">
        <f>FEAS!E12*(1-BASE!E12)</f>
        <v>9.8999999999999977E-2</v>
      </c>
      <c r="F12" s="6">
        <f>FEAS!F12*(1-BASE!F12)</f>
        <v>9.8999999999999977E-2</v>
      </c>
    </row>
    <row r="13" spans="1:8">
      <c r="B13" s="32" t="str">
        <f>MLIST!D13</f>
        <v>Dishwasher - NR</v>
      </c>
      <c r="C13" s="6">
        <f>FEAS!C13*(1-BASE!C13)</f>
        <v>9.8999999999999977E-2</v>
      </c>
      <c r="D13" s="6">
        <f>FEAS!D13*(1-BASE!D13)</f>
        <v>9.8999999999999977E-2</v>
      </c>
      <c r="E13" s="6">
        <f>FEAS!E13*(1-BASE!E13)</f>
        <v>9.8999999999999977E-2</v>
      </c>
      <c r="F13" s="6">
        <f>FEAS!F13*(1-BASE!F13)</f>
        <v>9.8999999999999977E-2</v>
      </c>
    </row>
    <row r="14" spans="1:8">
      <c r="B14" s="32" t="str">
        <f>MLIST!D14</f>
        <v>Clothes Washer - New</v>
      </c>
      <c r="C14" s="6">
        <f>FEAS!C14*(1-BASE!C14)</f>
        <v>0.99</v>
      </c>
      <c r="D14" s="6">
        <f>FEAS!D14*(1-BASE!D14)</f>
        <v>0.99</v>
      </c>
      <c r="E14" s="6">
        <f>FEAS!E14*(1-BASE!E14)</f>
        <v>0.99</v>
      </c>
      <c r="F14" s="6">
        <f>FEAS!F14*(1-BASE!F14)</f>
        <v>0.99</v>
      </c>
    </row>
    <row r="15" spans="1:8">
      <c r="B15" s="32" t="str">
        <f>MLIST!D15</f>
        <v>Clothes Washer - NR</v>
      </c>
      <c r="C15" s="6">
        <f>FEAS!C15*(1-BASE!C15)</f>
        <v>0.99</v>
      </c>
      <c r="D15" s="6">
        <f>FEAS!D15*(1-BASE!D15)</f>
        <v>0.99</v>
      </c>
      <c r="E15" s="6">
        <f>FEAS!E15*(1-BASE!E15)</f>
        <v>0.99</v>
      </c>
      <c r="F15" s="6">
        <f>FEAS!F15*(1-BASE!F15)</f>
        <v>0.99</v>
      </c>
    </row>
    <row r="16" spans="1:8">
      <c r="B16" s="32" t="str">
        <f>MLIST!D16</f>
        <v>WasteWater Heat Recovery - New</v>
      </c>
      <c r="C16" s="6">
        <f>FEAS!C16*(1-BASE!C16)</f>
        <v>0.79600000000000004</v>
      </c>
      <c r="D16" s="6">
        <f>FEAS!D16*(1-BASE!D16)</f>
        <v>0.79600000000000004</v>
      </c>
      <c r="E16" s="6">
        <f>FEAS!E16*(1-BASE!E16)</f>
        <v>0.19900000000000001</v>
      </c>
      <c r="F16" s="6">
        <f>FEAS!F16*(1-BASE!F16)</f>
        <v>0</v>
      </c>
    </row>
    <row r="17" spans="2:8">
      <c r="B17" s="32" t="str">
        <f>MLIST!D17</f>
        <v>Showerheads - New</v>
      </c>
      <c r="C17" s="6">
        <f>FEAS!C17*(1-BASE!C17)</f>
        <v>0.52249999999999996</v>
      </c>
      <c r="D17" s="6">
        <f>FEAS!D17*(1-BASE!D17)</f>
        <v>0.38</v>
      </c>
      <c r="E17" s="6">
        <f>FEAS!E17*(1-BASE!E17)</f>
        <v>0.22799999999999998</v>
      </c>
      <c r="F17" s="6">
        <f>FEAS!F17*(1-BASE!F17)</f>
        <v>0.5605</v>
      </c>
    </row>
    <row r="18" spans="2:8">
      <c r="B18" s="32" t="str">
        <f>MLIST!D18</f>
        <v>Showerheads - NR</v>
      </c>
      <c r="C18" s="6">
        <f>FEAS!C18*(1-BASE!C18)</f>
        <v>0.45599999999999996</v>
      </c>
      <c r="D18" s="6">
        <f>FEAS!D18*(1-BASE!D18)</f>
        <v>0.39900000000000002</v>
      </c>
      <c r="E18" s="6">
        <f>FEAS!E18*(1-BASE!E18)</f>
        <v>0.26600000000000001</v>
      </c>
      <c r="F18" s="6">
        <f>FEAS!F18*(1-BASE!F18)</f>
        <v>0.54149999999999998</v>
      </c>
    </row>
    <row r="19" spans="2:8">
      <c r="B19" s="32" t="str">
        <f>MLIST!D19</f>
        <v>TSRV - New</v>
      </c>
      <c r="C19" s="6">
        <f>FEAS!C19*(1-BASE!C19)</f>
        <v>0.9405</v>
      </c>
      <c r="D19" s="6">
        <f>FEAS!D19*(1-BASE!D19)</f>
        <v>0.9405</v>
      </c>
      <c r="E19" s="6">
        <f>FEAS!E19*(1-BASE!E19)</f>
        <v>0.9405</v>
      </c>
      <c r="F19" s="6">
        <f>FEAS!F19*(1-BASE!F19)</f>
        <v>0.9405</v>
      </c>
    </row>
    <row r="20" spans="2:8">
      <c r="B20" s="32" t="str">
        <f>MLIST!D20</f>
        <v>TSRV - Retro</v>
      </c>
      <c r="C20" s="6">
        <f>FEAS!C20*(1-BASE!C20)</f>
        <v>0.9405</v>
      </c>
      <c r="D20" s="6">
        <f>FEAS!D20*(1-BASE!D20)</f>
        <v>0.9405</v>
      </c>
      <c r="E20" s="6">
        <f>FEAS!E20*(1-BASE!E20)</f>
        <v>0.9405</v>
      </c>
      <c r="F20" s="6">
        <f>FEAS!F20*(1-BASE!F20)</f>
        <v>0.9405</v>
      </c>
    </row>
    <row r="21" spans="2:8">
      <c r="B21" s="32" t="str">
        <f>MLIST!D21</f>
        <v>HPWH - New</v>
      </c>
      <c r="C21" s="6">
        <f>FEAS!C21*(1-BASE!C21)</f>
        <v>0.89100000000000001</v>
      </c>
      <c r="D21" s="6">
        <f>FEAS!D21*(1-BASE!D21)</f>
        <v>0.54</v>
      </c>
      <c r="E21" s="6">
        <f>FEAS!E21*(1-BASE!E21)</f>
        <v>0.18000000000000002</v>
      </c>
      <c r="F21" s="6">
        <f>FEAS!F21*(1-BASE!F21)</f>
        <v>0.67500000000000004</v>
      </c>
    </row>
    <row r="22" spans="2:8" s="8" customFormat="1">
      <c r="B22" s="32" t="str">
        <f>MLIST!D22</f>
        <v>HPWH - NR</v>
      </c>
      <c r="C22" s="6">
        <f>FEAS!C22*(1-BASE!C22)</f>
        <v>0.91686875000000001</v>
      </c>
      <c r="D22" s="6">
        <f>FEAS!D22*(1-BASE!D22)</f>
        <v>0.5</v>
      </c>
      <c r="E22" s="6">
        <f>FEAS!E22*(1-BASE!E22)</f>
        <v>0</v>
      </c>
      <c r="F22" s="6">
        <f>FEAS!F22*(1-BASE!F22)</f>
        <v>0.72384375000000001</v>
      </c>
      <c r="G22"/>
      <c r="H22"/>
    </row>
    <row r="23" spans="2:8" s="8" customFormat="1">
      <c r="B23" s="32" t="str">
        <f>MLIST!D23</f>
        <v>Aerator - New</v>
      </c>
      <c r="C23" s="6">
        <f>FEAS!C23*(1-BASE!C23)</f>
        <v>0.95</v>
      </c>
      <c r="D23" s="6">
        <f>FEAS!D23*(1-BASE!D23)</f>
        <v>0.95</v>
      </c>
      <c r="E23" s="6">
        <f>FEAS!E23*(1-BASE!E23)</f>
        <v>0.95</v>
      </c>
      <c r="F23" s="6">
        <f>FEAS!F23*(1-BASE!F23)</f>
        <v>0.95</v>
      </c>
      <c r="G23"/>
      <c r="H23"/>
    </row>
    <row r="24" spans="2:8">
      <c r="B24" s="32" t="str">
        <f>MLIST!D24</f>
        <v>Aerator - Retro</v>
      </c>
      <c r="C24" s="6">
        <f>FEAS!C24*(1-BASE!C24)</f>
        <v>0.85</v>
      </c>
      <c r="D24" s="6">
        <f>FEAS!D24*(1-BASE!D24)</f>
        <v>0.85</v>
      </c>
      <c r="E24" s="6">
        <f>FEAS!E24*(1-BASE!E24)</f>
        <v>0.85</v>
      </c>
      <c r="F24" s="6">
        <f>FEAS!F24*(1-BASE!F24)</f>
        <v>0.85</v>
      </c>
    </row>
    <row r="25" spans="2:8">
      <c r="B25" s="32" t="str">
        <f>MLIST!D25</f>
        <v>WH Pipe insulation - New</v>
      </c>
      <c r="C25" s="6">
        <f>FEAS!C25*(1-BASE!C25)</f>
        <v>0</v>
      </c>
      <c r="D25" s="6">
        <f>FEAS!D25*(1-BASE!D25)</f>
        <v>0</v>
      </c>
      <c r="E25" s="6">
        <f>FEAS!E25*(1-BASE!E25)</f>
        <v>0</v>
      </c>
      <c r="F25" s="6">
        <f>FEAS!F25*(1-BASE!F25)</f>
        <v>0</v>
      </c>
    </row>
    <row r="26" spans="2:8">
      <c r="B26" s="32" t="str">
        <f>MLIST!D26</f>
        <v>WH Pipe insulation - Retro</v>
      </c>
      <c r="C26" s="6">
        <f>FEAS!C26*(1-BASE!C26)</f>
        <v>0.74099999999999999</v>
      </c>
      <c r="D26" s="6">
        <f>FEAS!D26*(1-BASE!D26)</f>
        <v>0.874</v>
      </c>
      <c r="E26" s="6">
        <f>FEAS!E26*(1-BASE!E26)</f>
        <v>0.874</v>
      </c>
      <c r="F26" s="6">
        <f>FEAS!F26*(1-BASE!F26)</f>
        <v>0.78849999999999998</v>
      </c>
    </row>
    <row r="27" spans="2:8">
      <c r="B27" s="32" t="str">
        <f>MLIST!D27</f>
        <v>Circulators - New</v>
      </c>
      <c r="C27" s="6">
        <f>FEAS!C27*(1-BASE!C27)</f>
        <v>0</v>
      </c>
      <c r="D27" s="6">
        <f>FEAS!D27*(1-BASE!D27)</f>
        <v>0</v>
      </c>
      <c r="E27" s="6">
        <f>FEAS!E27*(1-BASE!E27)</f>
        <v>0</v>
      </c>
      <c r="F27" s="6">
        <f>FEAS!F27*(1-BASE!F27)</f>
        <v>0</v>
      </c>
    </row>
    <row r="28" spans="2:8">
      <c r="B28" s="32" t="str">
        <f>MLIST!D28</f>
        <v>Circulators - NR</v>
      </c>
      <c r="C28" s="6">
        <f>FEAS!C28*(1-BASE!C28)</f>
        <v>0</v>
      </c>
      <c r="D28" s="6">
        <f>FEAS!D28*(1-BASE!D28)</f>
        <v>0</v>
      </c>
      <c r="E28" s="6">
        <f>FEAS!E28*(1-BASE!E28)</f>
        <v>0</v>
      </c>
      <c r="F28" s="6">
        <f>FEAS!F28*(1-BASE!F28)</f>
        <v>0</v>
      </c>
    </row>
    <row r="29" spans="2:8" s="8" customFormat="1">
      <c r="B29" s="32" t="str">
        <f>MLIST!D29</f>
        <v>Clothes Dryer - New</v>
      </c>
      <c r="C29" s="6">
        <f>FEAS!C29*(1-BASE!C29)</f>
        <v>0.95</v>
      </c>
      <c r="D29" s="6">
        <f>FEAS!D29*(1-BASE!D29)</f>
        <v>0.95</v>
      </c>
      <c r="E29" s="6">
        <f>FEAS!E29*(1-BASE!E29)</f>
        <v>0.95</v>
      </c>
      <c r="F29" s="6">
        <f>FEAS!F29*(1-BASE!F29)</f>
        <v>0.95</v>
      </c>
      <c r="G29"/>
      <c r="H29"/>
    </row>
    <row r="30" spans="2:8" s="8" customFormat="1">
      <c r="B30" s="32" t="str">
        <f>MLIST!D30</f>
        <v>Clothes Dryer - NR</v>
      </c>
      <c r="C30" s="6">
        <f>FEAS!C30*(1-BASE!C30)</f>
        <v>0.95</v>
      </c>
      <c r="D30" s="6">
        <f>FEAS!D30*(1-BASE!D30)</f>
        <v>0.95</v>
      </c>
      <c r="E30" s="6">
        <f>FEAS!E30*(1-BASE!E30)</f>
        <v>0.95</v>
      </c>
      <c r="F30" s="6">
        <f>FEAS!F30*(1-BASE!F30)</f>
        <v>0.95</v>
      </c>
      <c r="G30"/>
      <c r="H30"/>
    </row>
    <row r="31" spans="2:8" s="8" customFormat="1">
      <c r="B31" s="32" t="str">
        <f>MLIST!D31</f>
        <v>Refrigerator - New</v>
      </c>
      <c r="C31" s="6">
        <f>FEAS!C31*(1-BASE!C31)</f>
        <v>0.99</v>
      </c>
      <c r="D31" s="6">
        <f>FEAS!D31*(1-BASE!D31)</f>
        <v>0.99</v>
      </c>
      <c r="E31" s="6">
        <f>FEAS!E31*(1-BASE!E31)</f>
        <v>0.99</v>
      </c>
      <c r="F31" s="6">
        <f>FEAS!F31*(1-BASE!F31)</f>
        <v>0.99</v>
      </c>
      <c r="G31"/>
      <c r="H31"/>
    </row>
    <row r="32" spans="2:8" s="8" customFormat="1">
      <c r="B32" s="32" t="str">
        <f>MLIST!D32</f>
        <v>Refrigerator - NR</v>
      </c>
      <c r="C32" s="6">
        <f>FEAS!C32*(1-BASE!C32)</f>
        <v>0.99</v>
      </c>
      <c r="D32" s="6">
        <f>FEAS!D32*(1-BASE!D32)</f>
        <v>0.99</v>
      </c>
      <c r="E32" s="6">
        <f>FEAS!E32*(1-BASE!E32)</f>
        <v>0.99</v>
      </c>
      <c r="F32" s="6">
        <f>FEAS!F32*(1-BASE!F32)</f>
        <v>0.99</v>
      </c>
      <c r="G32"/>
      <c r="H32"/>
    </row>
    <row r="33" spans="1:8" s="8" customFormat="1">
      <c r="B33" s="32" t="str">
        <f>MLIST!D33</f>
        <v>Freezer - New</v>
      </c>
      <c r="C33" s="6">
        <f>FEAS!C33*(1-BASE!C33)</f>
        <v>0.99</v>
      </c>
      <c r="D33" s="6">
        <f>FEAS!D33*(1-BASE!D33)</f>
        <v>0.99</v>
      </c>
      <c r="E33" s="6">
        <f>FEAS!E33*(1-BASE!E33)</f>
        <v>0.99</v>
      </c>
      <c r="F33" s="6">
        <f>FEAS!F33*(1-BASE!F33)</f>
        <v>0.99</v>
      </c>
      <c r="G33"/>
      <c r="H33"/>
    </row>
    <row r="34" spans="1:8" s="8" customFormat="1">
      <c r="B34" s="32" t="str">
        <f>MLIST!D34</f>
        <v>Freezer - NR</v>
      </c>
      <c r="C34" s="6">
        <f>FEAS!C34*(1-BASE!C34)</f>
        <v>0.99</v>
      </c>
      <c r="D34" s="6">
        <f>FEAS!D34*(1-BASE!D34)</f>
        <v>0.99</v>
      </c>
      <c r="E34" s="6">
        <f>FEAS!E34*(1-BASE!E34)</f>
        <v>0.99</v>
      </c>
      <c r="F34" s="6">
        <f>FEAS!F34*(1-BASE!F34)</f>
        <v>0.99</v>
      </c>
      <c r="G34"/>
      <c r="H34"/>
    </row>
    <row r="35" spans="1:8" s="8" customFormat="1">
      <c r="B35" s="32" t="str">
        <f>MLIST!D35</f>
        <v>Electric Oven - New</v>
      </c>
      <c r="C35" s="6">
        <f>FEAS!C35*(1-BASE!C35)</f>
        <v>0.95</v>
      </c>
      <c r="D35" s="6">
        <f>FEAS!D35*(1-BASE!D35)</f>
        <v>0.95</v>
      </c>
      <c r="E35" s="6">
        <f>FEAS!E35*(1-BASE!E35)</f>
        <v>0.95</v>
      </c>
      <c r="F35" s="6">
        <f>FEAS!F35*(1-BASE!F35)</f>
        <v>0.95</v>
      </c>
      <c r="G35"/>
      <c r="H35"/>
    </row>
    <row r="36" spans="1:8" s="8" customFormat="1">
      <c r="B36" s="32" t="str">
        <f>MLIST!D36</f>
        <v>Electric Oven - NR</v>
      </c>
      <c r="C36" s="6">
        <f>FEAS!C36*(1-BASE!C36)</f>
        <v>0.95</v>
      </c>
      <c r="D36" s="6">
        <f>FEAS!D36*(1-BASE!D36)</f>
        <v>0.95</v>
      </c>
      <c r="E36" s="6">
        <f>FEAS!E36*(1-BASE!E36)</f>
        <v>0.95</v>
      </c>
      <c r="F36" s="6">
        <f>FEAS!F36*(1-BASE!F36)</f>
        <v>0.95</v>
      </c>
      <c r="G36"/>
      <c r="H36"/>
    </row>
    <row r="37" spans="1:8">
      <c r="B37" s="32" t="str">
        <f>MLIST!D37</f>
        <v>Microwave - New</v>
      </c>
      <c r="C37" s="6">
        <f>FEAS!C37*(1-BASE!C37)</f>
        <v>0.98009999999999997</v>
      </c>
      <c r="D37" s="6">
        <f>FEAS!D37*(1-BASE!D37)</f>
        <v>0.98009999999999997</v>
      </c>
      <c r="E37" s="6">
        <f>FEAS!E37*(1-BASE!E37)</f>
        <v>0.98009999999999997</v>
      </c>
      <c r="F37" s="6">
        <f>FEAS!F37*(1-BASE!F37)</f>
        <v>0.98009999999999997</v>
      </c>
    </row>
    <row r="38" spans="1:8" s="8" customFormat="1">
      <c r="A38" s="18"/>
      <c r="B38" s="32" t="str">
        <f>MLIST!D38</f>
        <v>Microwave - NR</v>
      </c>
      <c r="C38" s="6">
        <f>FEAS!C38*(1-BASE!C38)</f>
        <v>0.98009999999999997</v>
      </c>
      <c r="D38" s="6">
        <f>FEAS!D38*(1-BASE!D38)</f>
        <v>0.98009999999999997</v>
      </c>
      <c r="E38" s="6">
        <f>FEAS!E38*(1-BASE!E38)</f>
        <v>0.98009999999999997</v>
      </c>
      <c r="F38" s="6">
        <f>FEAS!F38*(1-BASE!F38)</f>
        <v>0.98009999999999997</v>
      </c>
      <c r="G38"/>
      <c r="H38"/>
    </row>
    <row r="39" spans="1:8" s="8" customFormat="1">
      <c r="B39" s="32" t="str">
        <f>MLIST!D39</f>
        <v>Monitor - New</v>
      </c>
      <c r="C39" s="6">
        <f>FEAS!C39*(1-BASE!C39)</f>
        <v>0.74</v>
      </c>
      <c r="D39" s="6">
        <f>FEAS!D39*(1-BASE!D39)</f>
        <v>0.74</v>
      </c>
      <c r="E39" s="6">
        <f>FEAS!E39*(1-BASE!E39)</f>
        <v>0.74</v>
      </c>
      <c r="F39" s="6">
        <f>FEAS!F39*(1-BASE!F39)</f>
        <v>0.74</v>
      </c>
      <c r="G39"/>
      <c r="H39"/>
    </row>
    <row r="40" spans="1:8" s="8" customFormat="1">
      <c r="B40" s="32" t="str">
        <f>MLIST!D40</f>
        <v>Monitor - NR</v>
      </c>
      <c r="C40" s="6">
        <f>FEAS!C40*(1-BASE!C40)</f>
        <v>0.74</v>
      </c>
      <c r="D40" s="6">
        <f>FEAS!D40*(1-BASE!D40)</f>
        <v>0.74</v>
      </c>
      <c r="E40" s="6">
        <f>FEAS!E40*(1-BASE!E40)</f>
        <v>0.74</v>
      </c>
      <c r="F40" s="6">
        <f>FEAS!F40*(1-BASE!F40)</f>
        <v>0.74</v>
      </c>
      <c r="G40"/>
      <c r="H40"/>
    </row>
    <row r="41" spans="1:8" s="8" customFormat="1">
      <c r="B41" s="32" t="str">
        <f>MLIST!D41</f>
        <v>Desktop - New</v>
      </c>
      <c r="C41" s="6">
        <f>FEAS!C41*(1-BASE!C41)</f>
        <v>0.95</v>
      </c>
      <c r="D41" s="6">
        <f>FEAS!D41*(1-BASE!D41)</f>
        <v>0.95</v>
      </c>
      <c r="E41" s="6">
        <f>FEAS!E41*(1-BASE!E41)</f>
        <v>0.95</v>
      </c>
      <c r="F41" s="6">
        <f>FEAS!F41*(1-BASE!F41)</f>
        <v>0.95</v>
      </c>
      <c r="G41"/>
      <c r="H41"/>
    </row>
    <row r="42" spans="1:8" s="8" customFormat="1">
      <c r="B42" s="32" t="str">
        <f>MLIST!D42</f>
        <v>Desktop - NR</v>
      </c>
      <c r="C42" s="6">
        <f>FEAS!C42*(1-BASE!C42)</f>
        <v>0.95</v>
      </c>
      <c r="D42" s="6">
        <f>FEAS!D42*(1-BASE!D42)</f>
        <v>0.95</v>
      </c>
      <c r="E42" s="6">
        <f>FEAS!E42*(1-BASE!E42)</f>
        <v>0.95</v>
      </c>
      <c r="F42" s="6">
        <f>FEAS!F42*(1-BASE!F42)</f>
        <v>0.95</v>
      </c>
      <c r="G42"/>
      <c r="H42"/>
    </row>
    <row r="43" spans="1:8" s="8" customFormat="1">
      <c r="B43" s="32" t="str">
        <f>MLIST!D43</f>
        <v>Laptop - New</v>
      </c>
      <c r="C43" s="6">
        <f>FEAS!C43*(1-BASE!C43)</f>
        <v>0.95</v>
      </c>
      <c r="D43" s="6">
        <f>FEAS!D43*(1-BASE!D43)</f>
        <v>0.95</v>
      </c>
      <c r="E43" s="6">
        <f>FEAS!E43*(1-BASE!E43)</f>
        <v>0.95</v>
      </c>
      <c r="F43" s="6">
        <f>FEAS!F43*(1-BASE!F43)</f>
        <v>0.95</v>
      </c>
      <c r="G43"/>
      <c r="H43"/>
    </row>
    <row r="44" spans="1:8" s="8" customFormat="1">
      <c r="B44" s="32" t="str">
        <f>MLIST!D44</f>
        <v>Laptop - NR</v>
      </c>
      <c r="C44" s="6">
        <f>FEAS!C44*(1-BASE!C44)</f>
        <v>0.95</v>
      </c>
      <c r="D44" s="6">
        <f>FEAS!D44*(1-BASE!D44)</f>
        <v>0.95</v>
      </c>
      <c r="E44" s="6">
        <f>FEAS!E44*(1-BASE!E44)</f>
        <v>0.95</v>
      </c>
      <c r="F44" s="6">
        <f>FEAS!F44*(1-BASE!F44)</f>
        <v>0.95</v>
      </c>
      <c r="G44"/>
      <c r="H44"/>
    </row>
    <row r="45" spans="1:8" s="8" customFormat="1">
      <c r="B45" s="32"/>
      <c r="C45" s="6"/>
      <c r="D45" s="6"/>
      <c r="E45" s="6"/>
      <c r="F45" s="6"/>
      <c r="G45"/>
      <c r="H45"/>
    </row>
    <row r="46" spans="1:8" s="8" customFormat="1">
      <c r="B46" s="32"/>
      <c r="C46" s="6"/>
      <c r="D46" s="6"/>
      <c r="E46" s="6"/>
      <c r="F46" s="6"/>
      <c r="G46"/>
      <c r="H46"/>
    </row>
    <row r="47" spans="1:8" s="8" customFormat="1">
      <c r="B47" s="32" t="str">
        <f>MLIST!D47</f>
        <v>Advanced Power Strips - New</v>
      </c>
      <c r="C47" s="6">
        <f>FEAS!C47*(1-BASE!C47)</f>
        <v>0.33252000000000004</v>
      </c>
      <c r="D47" s="6">
        <f>FEAS!D47*(1-BASE!D47)</f>
        <v>0.24224999999999999</v>
      </c>
      <c r="E47" s="6">
        <f>FEAS!E47*(1-BASE!E47)</f>
        <v>0.24875</v>
      </c>
      <c r="F47" s="6">
        <f>FEAS!F47*(1-BASE!F47)</f>
        <v>0.2455</v>
      </c>
      <c r="G47"/>
      <c r="H47"/>
    </row>
    <row r="48" spans="1:8" s="8" customFormat="1">
      <c r="B48" s="32" t="str">
        <f>MLIST!D48</f>
        <v>Advanced Power Strips - Retro</v>
      </c>
      <c r="C48" s="6">
        <f>FEAS!C48*(1-BASE!C48)</f>
        <v>0.33252000000000004</v>
      </c>
      <c r="D48" s="6">
        <f>FEAS!D48*(1-BASE!D48)</f>
        <v>0.24224999999999999</v>
      </c>
      <c r="E48" s="6">
        <f>FEAS!E48*(1-BASE!E48)</f>
        <v>0.24875</v>
      </c>
      <c r="F48" s="6">
        <f>FEAS!F48*(1-BASE!F48)</f>
        <v>0.2455</v>
      </c>
      <c r="G48"/>
      <c r="H48"/>
    </row>
    <row r="49" spans="2:8" s="8" customFormat="1">
      <c r="B49" s="32" t="str">
        <f>MLIST!D49</f>
        <v>UHD TV - New</v>
      </c>
      <c r="C49" s="6">
        <f>FEAS!C49*(1-BASE!C49)</f>
        <v>0.88</v>
      </c>
      <c r="D49" s="6">
        <f>FEAS!D49*(1-BASE!D49)</f>
        <v>0.88</v>
      </c>
      <c r="E49" s="6">
        <f>FEAS!E49*(1-BASE!E49)</f>
        <v>0.88</v>
      </c>
      <c r="F49" s="6">
        <f>FEAS!F49*(1-BASE!F49)</f>
        <v>0.88</v>
      </c>
      <c r="G49"/>
      <c r="H49"/>
    </row>
    <row r="50" spans="2:8" s="8" customFormat="1">
      <c r="B50" s="32" t="str">
        <f>MLIST!D50</f>
        <v>UHD TV - NR</v>
      </c>
      <c r="C50" s="6">
        <f>FEAS!C50*(1-BASE!C50)</f>
        <v>0.88</v>
      </c>
      <c r="D50" s="6">
        <f>FEAS!D50*(1-BASE!D50)</f>
        <v>0.88</v>
      </c>
      <c r="E50" s="6">
        <f>FEAS!E50*(1-BASE!E50)</f>
        <v>0.88</v>
      </c>
      <c r="F50" s="6">
        <f>FEAS!F50*(1-BASE!F50)</f>
        <v>0.88</v>
      </c>
      <c r="G50"/>
      <c r="H50"/>
    </row>
    <row r="51" spans="2:8" s="8" customFormat="1">
      <c r="B51" s="32" t="str">
        <f>MLIST!D51</f>
        <v>Fixtures - New</v>
      </c>
      <c r="C51" s="6">
        <f>FEAS!C51*(1-BASE!C51)</f>
        <v>0.99</v>
      </c>
      <c r="D51" s="6">
        <f>FEAS!D51*(1-BASE!D51)</f>
        <v>0.99</v>
      </c>
      <c r="E51" s="6">
        <f>FEAS!E51*(1-BASE!E51)</f>
        <v>0.99</v>
      </c>
      <c r="F51" s="6">
        <f>FEAS!F51*(1-BASE!F51)</f>
        <v>0.99</v>
      </c>
      <c r="G51"/>
      <c r="H51"/>
    </row>
    <row r="52" spans="2:8" s="8" customFormat="1">
      <c r="B52" s="32" t="str">
        <f>MLIST!D52</f>
        <v>Fixtures - NR</v>
      </c>
      <c r="C52" s="6">
        <f>FEAS!C52*(1-BASE!C52)</f>
        <v>0.99</v>
      </c>
      <c r="D52" s="6">
        <f>FEAS!D52*(1-BASE!D52)</f>
        <v>0.99</v>
      </c>
      <c r="E52" s="6">
        <f>FEAS!E52*(1-BASE!E52)</f>
        <v>0.99</v>
      </c>
      <c r="F52" s="6">
        <f>FEAS!F52*(1-BASE!F52)</f>
        <v>0.99</v>
      </c>
      <c r="G52"/>
      <c r="H52"/>
    </row>
    <row r="53" spans="2:8" s="8" customFormat="1">
      <c r="B53" s="32" t="str">
        <f>MLIST!D53</f>
        <v>ASHP Upgrade - New</v>
      </c>
      <c r="C53" s="6">
        <f>FEAS!C53*(1-BASE!C53)</f>
        <v>0.99</v>
      </c>
      <c r="D53" s="6">
        <f>FEAS!D53*(1-BASE!D53)</f>
        <v>0</v>
      </c>
      <c r="E53" s="6">
        <f>FEAS!E53*(1-BASE!E53)</f>
        <v>0</v>
      </c>
      <c r="F53" s="6">
        <f>FEAS!F53*(1-BASE!F53)</f>
        <v>0.99</v>
      </c>
      <c r="G53"/>
      <c r="H53"/>
    </row>
    <row r="54" spans="2:8" s="8" customFormat="1">
      <c r="B54" s="32" t="str">
        <f>MLIST!D54</f>
        <v>ASHP Upgrade - NR</v>
      </c>
      <c r="C54" s="6">
        <f>FEAS!C54*(1-BASE!C54)</f>
        <v>0.8</v>
      </c>
      <c r="D54" s="6">
        <f>FEAS!D54*(1-BASE!D54)</f>
        <v>0</v>
      </c>
      <c r="E54" s="6">
        <f>FEAS!E54*(1-BASE!E54)</f>
        <v>0</v>
      </c>
      <c r="F54" s="6">
        <f>FEAS!F54*(1-BASE!F54)</f>
        <v>0.7</v>
      </c>
      <c r="G54"/>
      <c r="H54"/>
    </row>
    <row r="55" spans="2:8">
      <c r="B55" s="32" t="str">
        <f>MLIST!D55</f>
        <v>ASHP Conversion - New</v>
      </c>
      <c r="C55" s="6">
        <f>FEAS!C55*(1-BASE!C55)</f>
        <v>0.95</v>
      </c>
      <c r="D55" s="6">
        <f>FEAS!D55*(1-BASE!D55)</f>
        <v>0</v>
      </c>
      <c r="E55" s="6">
        <f>FEAS!E55*(1-BASE!E55)</f>
        <v>0</v>
      </c>
      <c r="F55" s="6">
        <f>FEAS!F55*(1-BASE!F55)</f>
        <v>0.95</v>
      </c>
    </row>
    <row r="56" spans="2:8">
      <c r="B56" s="32" t="str">
        <f>MLIST!D56</f>
        <v>ASHP Conversion - Retro</v>
      </c>
      <c r="C56" s="6">
        <f>FEAS!C56*(1-BASE!C56)</f>
        <v>0.9</v>
      </c>
      <c r="D56" s="6">
        <f>FEAS!D56*(1-BASE!D56)</f>
        <v>0</v>
      </c>
      <c r="E56" s="6">
        <f>FEAS!E56*(1-BASE!E56)</f>
        <v>0</v>
      </c>
      <c r="F56" s="6">
        <f>FEAS!F56*(1-BASE!F56)</f>
        <v>0.9</v>
      </c>
    </row>
    <row r="57" spans="2:8">
      <c r="B57" s="32" t="str">
        <f>MLIST!D57</f>
        <v>DHP - New</v>
      </c>
      <c r="C57" s="6">
        <f>FEAS!C57*(1-BASE!C57)</f>
        <v>0</v>
      </c>
      <c r="D57" s="6">
        <f>FEAS!D57*(1-BASE!D57)</f>
        <v>0</v>
      </c>
      <c r="E57" s="6">
        <f>FEAS!E57*(1-BASE!E57)</f>
        <v>0</v>
      </c>
      <c r="F57" s="6">
        <f>FEAS!F57*(1-BASE!F57)</f>
        <v>0</v>
      </c>
    </row>
    <row r="58" spans="2:8">
      <c r="B58" s="32" t="str">
        <f>MLIST!D58</f>
        <v>DHP - Retro</v>
      </c>
      <c r="C58" s="6">
        <f>FEAS!C58*(1-BASE!C58)</f>
        <v>0.18681481430420874</v>
      </c>
      <c r="D58" s="6">
        <f>FEAS!D58*(1-BASE!D58)</f>
        <v>0</v>
      </c>
      <c r="E58" s="6">
        <f>FEAS!E58*(1-BASE!E58)</f>
        <v>0</v>
      </c>
      <c r="F58" s="6">
        <f>FEAS!F58*(1-BASE!F58)</f>
        <v>1.097217406686715E-2</v>
      </c>
    </row>
    <row r="59" spans="2:8">
      <c r="B59" s="32" t="str">
        <f>MLIST!D59</f>
        <v>DHP Ducted - Retro</v>
      </c>
      <c r="C59" s="6">
        <f>FEAS!C59*(1-BASE!C59)</f>
        <v>0.1996</v>
      </c>
      <c r="D59" s="6">
        <f>FEAS!D59*(1-BASE!D59)</f>
        <v>0</v>
      </c>
      <c r="E59" s="6">
        <f>FEAS!E59*(1-BASE!E59)</f>
        <v>0</v>
      </c>
      <c r="F59" s="6">
        <f>FEAS!F59*(1-BASE!F59)</f>
        <v>0.2994</v>
      </c>
    </row>
    <row r="60" spans="2:8">
      <c r="B60" s="32" t="str">
        <f>MLIST!D60</f>
        <v>Duct Sealing - New</v>
      </c>
      <c r="C60" s="6">
        <f>FEAS!C60*(1-BASE!C60)</f>
        <v>0.39900000000000002</v>
      </c>
      <c r="D60" s="6">
        <f>FEAS!D60*(1-BASE!D60)</f>
        <v>0.95</v>
      </c>
      <c r="E60" s="6">
        <f>FEAS!E60*(1-BASE!E60)</f>
        <v>0.95</v>
      </c>
      <c r="F60" s="6">
        <f>FEAS!F60*(1-BASE!F60)</f>
        <v>0.47499999999999998</v>
      </c>
    </row>
    <row r="61" spans="2:8">
      <c r="B61" s="32" t="str">
        <f>MLIST!D61</f>
        <v>Duct Sealing - Retro</v>
      </c>
      <c r="C61" s="6">
        <f>FEAS!C61*(1-BASE!C61)</f>
        <v>0.39900000000000002</v>
      </c>
      <c r="D61" s="6">
        <f>FEAS!D61*(1-BASE!D61)</f>
        <v>0.95</v>
      </c>
      <c r="E61" s="6">
        <f>FEAS!E61*(1-BASE!E61)</f>
        <v>0.95</v>
      </c>
      <c r="F61" s="6">
        <f>FEAS!F61*(1-BASE!F61)</f>
        <v>0.47499999999999998</v>
      </c>
    </row>
    <row r="62" spans="2:8">
      <c r="B62" s="32" t="str">
        <f>MLIST!D62</f>
        <v>Smart tstats - New</v>
      </c>
      <c r="C62" s="6">
        <f>FEAS!C62*(1-BASE!C62)</f>
        <v>0.85189500000000007</v>
      </c>
      <c r="D62" s="6">
        <f>FEAS!D62*(1-BASE!D62)</f>
        <v>0.99</v>
      </c>
      <c r="E62" s="6">
        <f>FEAS!E62*(1-BASE!E62)</f>
        <v>0</v>
      </c>
      <c r="F62" s="6">
        <f>FEAS!F62*(1-BASE!F62)</f>
        <v>0.97960500000000006</v>
      </c>
    </row>
    <row r="63" spans="2:8">
      <c r="B63" s="32" t="str">
        <f>MLIST!D63</f>
        <v>Smart tstats - Retro</v>
      </c>
      <c r="C63" s="6">
        <f>FEAS!C63*(1-BASE!C63)</f>
        <v>0.68840000000000012</v>
      </c>
      <c r="D63" s="6">
        <f>FEAS!D63*(1-BASE!D63)</f>
        <v>0.8</v>
      </c>
      <c r="E63" s="6">
        <f>FEAS!E63*(1-BASE!E63)</f>
        <v>0</v>
      </c>
      <c r="F63" s="6">
        <f>FEAS!F63*(1-BASE!F63)</f>
        <v>0.79160000000000008</v>
      </c>
    </row>
    <row r="64" spans="2:8">
      <c r="B64" s="32" t="str">
        <f>MLIST!D64</f>
        <v>Cellular Shades - New</v>
      </c>
      <c r="C64" s="6">
        <f>FEAS!C64*(1-BASE!C64)</f>
        <v>0.79200000000000004</v>
      </c>
      <c r="D64" s="6">
        <f>FEAS!D64*(1-BASE!D64)</f>
        <v>0.79200000000000004</v>
      </c>
      <c r="E64" s="6">
        <f>FEAS!E64*(1-BASE!E64)</f>
        <v>0</v>
      </c>
      <c r="F64" s="6">
        <f>FEAS!F64*(1-BASE!F64)</f>
        <v>0.79200000000000004</v>
      </c>
    </row>
    <row r="65" spans="2:6">
      <c r="B65" s="32" t="str">
        <f>MLIST!D65</f>
        <v>Cellular Shades - Retro</v>
      </c>
      <c r="C65" s="6">
        <f>FEAS!C65*(1-BASE!C65)</f>
        <v>0.72000000000000008</v>
      </c>
      <c r="D65" s="6">
        <f>FEAS!D65*(1-BASE!D65)</f>
        <v>0.72000000000000008</v>
      </c>
      <c r="E65" s="6">
        <f>FEAS!E65*(1-BASE!E65)</f>
        <v>0</v>
      </c>
      <c r="F65" s="6">
        <f>FEAS!F65*(1-BASE!F65)</f>
        <v>0.72000000000000008</v>
      </c>
    </row>
    <row r="66" spans="2:6">
      <c r="B66" s="32" t="str">
        <f>MLIST!D66</f>
        <v>CAC - New</v>
      </c>
      <c r="C66" s="6">
        <f>FEAS!C66*(1-BASE!C66)</f>
        <v>0.99</v>
      </c>
      <c r="D66" s="6">
        <f>FEAS!D66*(1-BASE!D66)</f>
        <v>0</v>
      </c>
      <c r="E66" s="6">
        <f>FEAS!E66*(1-BASE!E66)</f>
        <v>0</v>
      </c>
      <c r="F66" s="6">
        <f>FEAS!F66*(1-BASE!F66)</f>
        <v>0.99</v>
      </c>
    </row>
    <row r="67" spans="2:6">
      <c r="B67" s="32" t="str">
        <f>MLIST!D67</f>
        <v>CAC - NR</v>
      </c>
      <c r="C67" s="6">
        <f>FEAS!C67*(1-BASE!C67)</f>
        <v>0.99</v>
      </c>
      <c r="D67" s="6">
        <f>FEAS!D67*(1-BASE!D67)</f>
        <v>0</v>
      </c>
      <c r="E67" s="6">
        <f>FEAS!E67*(1-BASE!E67)</f>
        <v>0</v>
      </c>
      <c r="F67" s="6">
        <f>FEAS!F67*(1-BASE!F67)</f>
        <v>0.99</v>
      </c>
    </row>
    <row r="68" spans="2:6">
      <c r="B68" s="32" t="str">
        <f>MLIST!D68</f>
        <v>Heat Recovery Ventilation - New</v>
      </c>
      <c r="C68" s="6">
        <f>FEAS!C68*(1-BASE!C68)</f>
        <v>0.9405</v>
      </c>
      <c r="D68" s="6">
        <f>FEAS!D68*(1-BASE!D68)</f>
        <v>0</v>
      </c>
      <c r="E68" s="6">
        <f>FEAS!E68*(1-BASE!E68)</f>
        <v>0</v>
      </c>
      <c r="F68" s="6">
        <f>FEAS!F68*(1-BASE!F68)</f>
        <v>0</v>
      </c>
    </row>
    <row r="69" spans="2:6">
      <c r="B69" s="32" t="str">
        <f>MLIST!D69</f>
        <v>GSHP - New</v>
      </c>
      <c r="C69" s="6">
        <f>FEAS!C69*(1-BASE!C69)</f>
        <v>0.12</v>
      </c>
      <c r="D69" s="6">
        <f>FEAS!D69*(1-BASE!D69)</f>
        <v>0</v>
      </c>
      <c r="E69" s="6">
        <f>FEAS!E69*(1-BASE!E69)</f>
        <v>0</v>
      </c>
      <c r="F69" s="6">
        <f>FEAS!F69*(1-BASE!F69)</f>
        <v>0</v>
      </c>
    </row>
    <row r="70" spans="2:6">
      <c r="B70" s="32" t="str">
        <f>MLIST!D70</f>
        <v>GSHP - NR</v>
      </c>
      <c r="C70" s="6">
        <f>FEAS!C70*(1-BASE!C70)</f>
        <v>0.12</v>
      </c>
      <c r="D70" s="6">
        <f>FEAS!D70*(1-BASE!D70)</f>
        <v>0</v>
      </c>
      <c r="E70" s="6">
        <f>FEAS!E70*(1-BASE!E70)</f>
        <v>0</v>
      </c>
      <c r="F70" s="6">
        <f>FEAS!F70*(1-BASE!F70)</f>
        <v>0</v>
      </c>
    </row>
    <row r="71" spans="2:6">
      <c r="B71" s="32" t="str">
        <f>MLIST!D71</f>
        <v>Whole House Fan - Retro</v>
      </c>
      <c r="C71" s="6">
        <f>FEAS!C71*(1-BASE!C71)</f>
        <v>0.58278615240745568</v>
      </c>
      <c r="D71" s="6">
        <f>FEAS!D71*(1-BASE!D71)</f>
        <v>0</v>
      </c>
      <c r="E71" s="6">
        <f>FEAS!E71*(1-BASE!E71)</f>
        <v>0</v>
      </c>
      <c r="F71" s="6">
        <f>FEAS!F71*(1-BASE!F71)</f>
        <v>0.57772060482445964</v>
      </c>
    </row>
    <row r="72" spans="2:6">
      <c r="B72" s="32" t="str">
        <f>MLIST!D72</f>
        <v>Whole House Fan - New</v>
      </c>
      <c r="C72" s="6">
        <f>FEAS!C72*(1-BASE!C72)</f>
        <v>0.87417922861118347</v>
      </c>
      <c r="D72" s="6">
        <f>FEAS!D72*(1-BASE!D72)</f>
        <v>0</v>
      </c>
      <c r="E72" s="6">
        <f>FEAS!E72*(1-BASE!E72)</f>
        <v>0</v>
      </c>
      <c r="F72" s="6">
        <f>FEAS!F72*(1-BASE!F72)</f>
        <v>0.86658090723668957</v>
      </c>
    </row>
    <row r="73" spans="2:6">
      <c r="B73" s="32" t="str">
        <f>MLIST!D73</f>
        <v>Circulator Controls - New</v>
      </c>
      <c r="C73" s="6">
        <f>FEAS!C73*(1-BASE!C73)</f>
        <v>0</v>
      </c>
      <c r="D73" s="6">
        <f>FEAS!D73*(1-BASE!D73)</f>
        <v>0</v>
      </c>
      <c r="E73" s="6">
        <f>FEAS!E73*(1-BASE!E73)</f>
        <v>0</v>
      </c>
      <c r="F73" s="6">
        <f>FEAS!F73*(1-BASE!F73)</f>
        <v>0</v>
      </c>
    </row>
    <row r="74" spans="2:6">
      <c r="B74" s="32" t="str">
        <f>MLIST!D74</f>
        <v>Circulator Controls - NR</v>
      </c>
      <c r="C74" s="6">
        <f>FEAS!C74*(1-BASE!C74)</f>
        <v>0</v>
      </c>
      <c r="D74" s="6">
        <f>FEAS!D74*(1-BASE!D74)</f>
        <v>0</v>
      </c>
      <c r="E74" s="6">
        <f>FEAS!E74*(1-BASE!E74)</f>
        <v>0</v>
      </c>
      <c r="F74" s="6">
        <f>FEAS!F74*(1-BASE!F74)</f>
        <v>0</v>
      </c>
    </row>
    <row r="75" spans="2:6">
      <c r="B75" s="32" t="str">
        <f>MLIST!D75</f>
        <v>Behavior - Retro</v>
      </c>
      <c r="C75" s="6">
        <f>FEAS!C75*(1-BASE!C75)</f>
        <v>0.5</v>
      </c>
      <c r="D75" s="6">
        <f>FEAS!D75*(1-BASE!D75)</f>
        <v>0.5</v>
      </c>
      <c r="E75" s="6">
        <f>FEAS!E75*(1-BASE!E75)</f>
        <v>0.5</v>
      </c>
      <c r="F75" s="6">
        <f>FEAS!F75*(1-BASE!F75)</f>
        <v>0.5</v>
      </c>
    </row>
    <row r="76" spans="2:6">
      <c r="B76" s="32" t="str">
        <f>MLIST!D76</f>
        <v>Behavior - New</v>
      </c>
      <c r="C76" s="6">
        <f>FEAS!C76*(1-BASE!C76)</f>
        <v>0.5</v>
      </c>
      <c r="D76" s="6">
        <f>FEAS!D76*(1-BASE!D76)</f>
        <v>0.5</v>
      </c>
      <c r="E76" s="6">
        <f>FEAS!E76*(1-BASE!E76)</f>
        <v>0.5</v>
      </c>
      <c r="F76" s="6">
        <f>FEAS!F76*(1-BASE!F76)</f>
        <v>0.5</v>
      </c>
    </row>
    <row r="77" spans="2:6">
      <c r="B77" s="32" t="str">
        <f>MLIST!D77</f>
        <v>EV Supply Equip - New</v>
      </c>
      <c r="C77" s="6">
        <f>FEAS!C77*(1-BASE!C77)</f>
        <v>0.8</v>
      </c>
      <c r="D77" s="6">
        <f>FEAS!D77*(1-BASE!D77)</f>
        <v>0.8</v>
      </c>
      <c r="E77" s="6">
        <f>FEAS!E77*(1-BASE!E77)</f>
        <v>0.8</v>
      </c>
      <c r="F77" s="6">
        <f>FEAS!F77*(1-BASE!F77)</f>
        <v>0.8</v>
      </c>
    </row>
    <row r="78" spans="2:6">
      <c r="B78" s="32" t="str">
        <f>MLIST!D78</f>
        <v>EV Supply Equip - NR</v>
      </c>
      <c r="C78" s="6">
        <f>FEAS!C78*(1-BASE!C78)</f>
        <v>0.8</v>
      </c>
      <c r="D78" s="6">
        <f>FEAS!D78*(1-BASE!D78)</f>
        <v>0.8</v>
      </c>
      <c r="E78" s="6">
        <f>FEAS!E78*(1-BASE!E78)</f>
        <v>0.8</v>
      </c>
      <c r="F78" s="6">
        <f>FEAS!F78*(1-BASE!F78)</f>
        <v>0.8</v>
      </c>
    </row>
    <row r="79" spans="2:6">
      <c r="B79" s="32" t="str">
        <f>MLIST!D79</f>
        <v>Air cleaners - New</v>
      </c>
      <c r="C79" s="6">
        <f>FEAS!C79*(1-BASE!C79)</f>
        <v>0.99</v>
      </c>
      <c r="D79" s="6">
        <f>FEAS!D79*(1-BASE!D79)</f>
        <v>0.99</v>
      </c>
      <c r="E79" s="6">
        <f>FEAS!E79*(1-BASE!E79)</f>
        <v>0.99</v>
      </c>
      <c r="F79" s="6">
        <f>FEAS!F79*(1-BASE!F79)</f>
        <v>0.99</v>
      </c>
    </row>
    <row r="80" spans="2:6">
      <c r="B80" s="32" t="str">
        <f>MLIST!D80</f>
        <v>Air cleaners - NR</v>
      </c>
      <c r="C80" s="6">
        <f>FEAS!C80*(1-BASE!C80)</f>
        <v>0.99</v>
      </c>
      <c r="D80" s="6">
        <f>FEAS!D80*(1-BASE!D80)</f>
        <v>0.99</v>
      </c>
      <c r="E80" s="6">
        <f>FEAS!E80*(1-BASE!E80)</f>
        <v>0.99</v>
      </c>
      <c r="F80" s="6">
        <f>FEAS!F80*(1-BASE!F80)</f>
        <v>0.99</v>
      </c>
    </row>
    <row r="81" spans="2:6">
      <c r="B81" s="32" t="str">
        <f>MLIST!D81</f>
        <v>RAC - New</v>
      </c>
      <c r="C81" s="6">
        <f>FEAS!C81*(1-BASE!C81)</f>
        <v>0.99</v>
      </c>
      <c r="D81" s="6">
        <f>FEAS!D81*(1-BASE!D81)</f>
        <v>0.99</v>
      </c>
      <c r="E81" s="6">
        <f>FEAS!E81*(1-BASE!E81)</f>
        <v>0.99</v>
      </c>
      <c r="F81" s="82">
        <f>FEAS!F81*(1-BASE!F81)</f>
        <v>0.99</v>
      </c>
    </row>
    <row r="82" spans="2:6">
      <c r="B82" s="32" t="str">
        <f>MLIST!D82</f>
        <v>RAC - NR</v>
      </c>
      <c r="C82" s="6">
        <f>FEAS!C82*(1-BASE!C82)</f>
        <v>0.99</v>
      </c>
      <c r="D82" s="6">
        <f>FEAS!D82*(1-BASE!D82)</f>
        <v>0.99</v>
      </c>
      <c r="E82" s="6">
        <f>FEAS!E82*(1-BASE!E82)</f>
        <v>0.99</v>
      </c>
      <c r="F82" s="82">
        <f>FEAS!F82*(1-BASE!F82)</f>
        <v>0.99</v>
      </c>
    </row>
    <row r="83" spans="2:6">
      <c r="B83" s="32" t="str">
        <f>MLIST!D83</f>
        <v>Well Pump - New</v>
      </c>
      <c r="C83" s="6">
        <f>FEAS!C83*(1-BASE!C83)</f>
        <v>0.87119999999999997</v>
      </c>
      <c r="D83" s="6">
        <f>FEAS!D83*(1-BASE!D83)</f>
        <v>0.99</v>
      </c>
      <c r="E83" s="6">
        <f>FEAS!E83*(1-BASE!E83)</f>
        <v>0.99</v>
      </c>
      <c r="F83" s="82">
        <f>FEAS!F83*(1-BASE!F83)</f>
        <v>0.87119999999999997</v>
      </c>
    </row>
    <row r="84" spans="2:6">
      <c r="B84" s="32" t="str">
        <f>MLIST!D84</f>
        <v>Well Pump - NR</v>
      </c>
      <c r="C84" s="6">
        <f>FEAS!C84*(1-BASE!C84)</f>
        <v>0.87119999999999997</v>
      </c>
      <c r="D84" s="6">
        <f>FEAS!D84*(1-BASE!D84)</f>
        <v>0.99</v>
      </c>
      <c r="E84" s="6">
        <f>FEAS!E84*(1-BASE!E84)</f>
        <v>0.99</v>
      </c>
      <c r="F84" s="82">
        <f>FEAS!F84*(1-BASE!F84)</f>
        <v>0.87119999999999997</v>
      </c>
    </row>
    <row r="85" spans="2:6">
      <c r="B85" s="32" t="str">
        <f>MLIST!D85</f>
        <v>ResWx - Retro</v>
      </c>
      <c r="C85" s="82">
        <f>FEAS!C85*(1-BASE!C85)</f>
        <v>0.95</v>
      </c>
      <c r="D85" s="6">
        <f>FEAS!D85*(1-BASE!D85)</f>
        <v>0.95</v>
      </c>
      <c r="E85" s="6">
        <f>FEAS!E85*(1-BASE!E85)</f>
        <v>0.95</v>
      </c>
      <c r="F85" s="82">
        <f>FEAS!F85*(1-BASE!F85)</f>
        <v>1</v>
      </c>
    </row>
    <row r="86" spans="2:6">
      <c r="B86" s="32"/>
      <c r="C86" s="82"/>
      <c r="D86" s="6"/>
      <c r="E86" s="6"/>
      <c r="F86" s="82"/>
    </row>
    <row r="87" spans="2:6">
      <c r="B87" s="32"/>
      <c r="C87" s="82"/>
      <c r="D87" s="6"/>
      <c r="E87" s="6"/>
      <c r="F87" s="82"/>
    </row>
    <row r="88" spans="2:6">
      <c r="B88" s="32"/>
      <c r="C88" s="6"/>
      <c r="D88" s="6"/>
      <c r="E88" s="6"/>
      <c r="F88" s="82"/>
    </row>
    <row r="89" spans="2:6">
      <c r="B89" s="32"/>
      <c r="C89" s="6"/>
      <c r="D89" s="6"/>
      <c r="E89" s="6"/>
      <c r="F89" s="82"/>
    </row>
    <row r="90" spans="2:6">
      <c r="B90" s="32"/>
      <c r="C90" s="6"/>
      <c r="D90" s="6"/>
      <c r="E90" s="6"/>
      <c r="F90" s="82"/>
    </row>
    <row r="91" spans="2:6">
      <c r="B91" s="32"/>
      <c r="C91" s="6"/>
      <c r="D91" s="6"/>
      <c r="E91" s="6"/>
      <c r="F91" s="82"/>
    </row>
    <row r="92" spans="2:6">
      <c r="B92" s="32"/>
      <c r="C92" s="6"/>
      <c r="D92" s="6"/>
      <c r="E92" s="6"/>
      <c r="F92" s="82"/>
    </row>
    <row r="93" spans="2:6">
      <c r="B93" s="32"/>
      <c r="C93" s="6"/>
      <c r="D93" s="6"/>
      <c r="E93" s="6"/>
      <c r="F93" s="82"/>
    </row>
    <row r="94" spans="2:6">
      <c r="B94" s="32"/>
      <c r="C94" s="6"/>
      <c r="D94" s="6"/>
      <c r="E94" s="6"/>
      <c r="F94" s="82"/>
    </row>
    <row r="95" spans="2:6">
      <c r="B95" s="32"/>
      <c r="C95" s="6"/>
      <c r="D95" s="6"/>
      <c r="E95" s="6"/>
      <c r="F95" s="82"/>
    </row>
    <row r="96" spans="2:6">
      <c r="B96" s="32"/>
      <c r="C96" s="6"/>
      <c r="D96" s="6"/>
      <c r="E96" s="6"/>
      <c r="F96" s="82"/>
    </row>
    <row r="97" spans="2:6">
      <c r="B97" s="32"/>
      <c r="C97" s="6"/>
      <c r="D97" s="6"/>
      <c r="E97" s="6"/>
      <c r="F97" s="82"/>
    </row>
    <row r="98" spans="2:6">
      <c r="B98" s="32"/>
      <c r="C98" s="6"/>
      <c r="D98" s="6"/>
      <c r="E98" s="6"/>
      <c r="F98" s="82"/>
    </row>
    <row r="99" spans="2:6">
      <c r="B99" s="32"/>
      <c r="C99" s="6"/>
      <c r="D99" s="6"/>
      <c r="E99" s="6"/>
      <c r="F99" s="82"/>
    </row>
    <row r="100" spans="2:6">
      <c r="B100" s="32"/>
      <c r="C100" s="6"/>
      <c r="D100" s="6"/>
      <c r="E100" s="6"/>
      <c r="F100" s="82"/>
    </row>
    <row r="101" spans="2:6">
      <c r="B101" s="32"/>
      <c r="C101" s="6"/>
      <c r="D101" s="6"/>
      <c r="E101" s="6"/>
      <c r="F101" s="82"/>
    </row>
    <row r="102" spans="2:6">
      <c r="B102" s="32"/>
      <c r="C102" s="6"/>
      <c r="D102" s="6"/>
      <c r="E102" s="6"/>
      <c r="F102" s="82"/>
    </row>
    <row r="103" spans="2:6">
      <c r="B103" s="32"/>
      <c r="C103" s="6"/>
      <c r="D103" s="6"/>
      <c r="E103" s="6"/>
      <c r="F103" s="82"/>
    </row>
    <row r="104" spans="2:6">
      <c r="B104" s="32"/>
      <c r="C104" s="6"/>
      <c r="D104" s="6"/>
      <c r="E104" s="6"/>
      <c r="F104" s="82"/>
    </row>
    <row r="105" spans="2:6">
      <c r="B105" s="32"/>
      <c r="C105" s="6"/>
      <c r="D105" s="6"/>
      <c r="E105" s="6"/>
      <c r="F105" s="82"/>
    </row>
    <row r="106" spans="2:6">
      <c r="B106" s="32"/>
      <c r="C106" s="6"/>
      <c r="D106" s="6"/>
      <c r="E106" s="6"/>
      <c r="F106" s="82"/>
    </row>
    <row r="107" spans="2:6">
      <c r="B107" s="32"/>
      <c r="C107" s="6"/>
      <c r="D107" s="6"/>
      <c r="E107" s="6"/>
      <c r="F107" s="82"/>
    </row>
    <row r="108" spans="2:6">
      <c r="B108" s="32"/>
      <c r="C108" s="6"/>
      <c r="D108" s="6"/>
      <c r="E108" s="6"/>
      <c r="F108" s="82"/>
    </row>
    <row r="109" spans="2:6">
      <c r="B109" s="32"/>
      <c r="C109" s="6"/>
      <c r="D109" s="6"/>
      <c r="E109" s="6"/>
      <c r="F109" s="82"/>
    </row>
    <row r="110" spans="2:6">
      <c r="B110" s="32"/>
      <c r="C110" s="6"/>
      <c r="D110" s="6"/>
      <c r="E110" s="6"/>
      <c r="F110" s="82"/>
    </row>
    <row r="111" spans="2:6">
      <c r="B111" s="32"/>
      <c r="C111" s="6"/>
      <c r="D111" s="6"/>
      <c r="E111" s="6"/>
      <c r="F111" s="82"/>
    </row>
    <row r="112" spans="2:6">
      <c r="B112" s="32"/>
      <c r="C112" s="6"/>
      <c r="D112" s="6"/>
      <c r="E112" s="6"/>
      <c r="F112" s="82"/>
    </row>
    <row r="113" spans="2:6">
      <c r="B113" s="32"/>
      <c r="C113" s="6"/>
      <c r="D113" s="6"/>
      <c r="E113" s="6"/>
      <c r="F113" s="82"/>
    </row>
    <row r="114" spans="2:6">
      <c r="B114" s="32"/>
      <c r="C114" s="6"/>
      <c r="D114" s="6"/>
      <c r="E114" s="6"/>
      <c r="F114" s="82"/>
    </row>
    <row r="115" spans="2:6">
      <c r="B115" s="32"/>
    </row>
    <row r="116" spans="2:6">
      <c r="B116" s="32"/>
    </row>
    <row r="117" spans="2:6">
      <c r="B117" s="32"/>
    </row>
    <row r="118" spans="2:6">
      <c r="B118" s="32"/>
    </row>
    <row r="119" spans="2:6">
      <c r="B119" s="32"/>
    </row>
    <row r="120" spans="2:6">
      <c r="B120" s="32"/>
    </row>
    <row r="121" spans="2:6">
      <c r="B121" s="32"/>
    </row>
    <row r="122" spans="2:6">
      <c r="B122" s="32"/>
    </row>
    <row r="123" spans="2:6">
      <c r="B123" s="32"/>
    </row>
    <row r="124" spans="2:6">
      <c r="B124" s="32"/>
    </row>
    <row r="125" spans="2:6">
      <c r="B125" s="32"/>
    </row>
    <row r="126" spans="2:6">
      <c r="B126" s="32"/>
    </row>
    <row r="127" spans="2:6">
      <c r="B127" s="32"/>
    </row>
    <row r="128" spans="2:6">
      <c r="B128" s="32"/>
    </row>
    <row r="129" spans="2:2">
      <c r="B129" s="32"/>
    </row>
    <row r="130" spans="2:2">
      <c r="B130" s="32"/>
    </row>
    <row r="131" spans="2:2">
      <c r="B131" s="32"/>
    </row>
    <row r="132" spans="2:2">
      <c r="B132" s="32"/>
    </row>
    <row r="133" spans="2:2">
      <c r="B133" s="32"/>
    </row>
    <row r="134" spans="2:2">
      <c r="B134" s="32"/>
    </row>
    <row r="135" spans="2:2">
      <c r="B135" s="32"/>
    </row>
    <row r="136" spans="2:2">
      <c r="B136" s="32"/>
    </row>
    <row r="137" spans="2:2">
      <c r="B137" s="32"/>
    </row>
    <row r="138" spans="2:2">
      <c r="B138" s="32"/>
    </row>
    <row r="139" spans="2:2">
      <c r="B139" s="32"/>
    </row>
    <row r="140" spans="2:2">
      <c r="B140" s="32"/>
    </row>
    <row r="141" spans="2:2">
      <c r="B141" s="32"/>
    </row>
    <row r="142" spans="2:2">
      <c r="B142" s="32"/>
    </row>
    <row r="143" spans="2:2">
      <c r="B143" s="32"/>
    </row>
    <row r="144" spans="2:2">
      <c r="B144" s="32"/>
    </row>
    <row r="145" spans="2:2">
      <c r="B145" s="32"/>
    </row>
    <row r="146" spans="2:2">
      <c r="B146" s="32"/>
    </row>
    <row r="147" spans="2:2">
      <c r="B147" s="32"/>
    </row>
    <row r="148" spans="2:2">
      <c r="B148" s="32"/>
    </row>
    <row r="149" spans="2:2">
      <c r="B149" s="32"/>
    </row>
    <row r="150" spans="2:2">
      <c r="B150" s="32"/>
    </row>
    <row r="151" spans="2:2">
      <c r="B151" s="32"/>
    </row>
    <row r="152" spans="2:2">
      <c r="B152" s="32"/>
    </row>
    <row r="153" spans="2:2">
      <c r="B153" s="32"/>
    </row>
    <row r="154" spans="2:2">
      <c r="B154" s="32"/>
    </row>
    <row r="155" spans="2:2">
      <c r="B155" s="32"/>
    </row>
    <row r="156" spans="2:2">
      <c r="B156" s="32"/>
    </row>
    <row r="157" spans="2:2">
      <c r="B157" s="32"/>
    </row>
    <row r="158" spans="2:2">
      <c r="B158" s="32"/>
    </row>
    <row r="159" spans="2:2">
      <c r="B159" s="32"/>
    </row>
    <row r="160" spans="2:2">
      <c r="B160" s="32"/>
    </row>
    <row r="161" spans="2:2">
      <c r="B161" s="32"/>
    </row>
    <row r="162" spans="2:2">
      <c r="B162" s="32"/>
    </row>
    <row r="163" spans="2:2">
      <c r="B163" s="32"/>
    </row>
    <row r="164" spans="2:2">
      <c r="B164" s="3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FF0000"/>
    <pageSetUpPr fitToPage="1"/>
  </sheetPr>
  <dimension ref="A1:XFD171"/>
  <sheetViews>
    <sheetView topLeftCell="B1" workbookViewId="0">
      <pane xSplit="1" ySplit="8" topLeftCell="C9" activePane="bottomRight" state="frozen"/>
      <selection activeCell="C62" sqref="C62"/>
      <selection pane="topRight" activeCell="C62" sqref="C62"/>
      <selection pane="bottomLeft" activeCell="C62" sqref="C62"/>
      <selection pane="bottomRight" activeCell="F55" sqref="F55"/>
    </sheetView>
  </sheetViews>
  <sheetFormatPr defaultRowHeight="12.75"/>
  <cols>
    <col min="1" max="1" width="14.7109375" customWidth="1"/>
    <col min="2" max="2" width="53.42578125" customWidth="1"/>
    <col min="3" max="3" width="8.85546875" style="8"/>
    <col min="4" max="4" width="10.5703125" style="8" customWidth="1"/>
    <col min="5" max="5" width="20.42578125" style="8" bestFit="1" customWidth="1"/>
    <col min="6" max="6" width="7.42578125" style="8" customWidth="1"/>
    <col min="7" max="7" width="10.7109375" style="8" customWidth="1"/>
  </cols>
  <sheetData>
    <row r="1" spans="1:8">
      <c r="A1" t="s">
        <v>80</v>
      </c>
      <c r="B1" t="s">
        <v>135</v>
      </c>
      <c r="C1"/>
      <c r="D1" s="20" t="str">
        <f ca="1">CELL("filename")</f>
        <v>Q:\Eighth Plan\Conservation Analysis\Residential\[Res_Master2021P.xlsx]TURN</v>
      </c>
      <c r="E1"/>
      <c r="F1"/>
      <c r="G1"/>
    </row>
    <row r="2" spans="1:8">
      <c r="B2" s="20"/>
      <c r="C2"/>
      <c r="D2"/>
      <c r="E2"/>
      <c r="F2"/>
      <c r="G2"/>
    </row>
    <row r="3" spans="1:8">
      <c r="B3" s="29"/>
      <c r="C3" s="25"/>
      <c r="D3" s="25"/>
      <c r="E3" s="25"/>
      <c r="F3" s="25"/>
      <c r="G3"/>
    </row>
    <row r="4" spans="1:8">
      <c r="B4" s="29"/>
      <c r="C4" s="25"/>
      <c r="D4" s="25"/>
      <c r="E4" s="25"/>
      <c r="F4" s="25"/>
      <c r="G4"/>
    </row>
    <row r="5" spans="1:8">
      <c r="B5" s="29"/>
      <c r="C5"/>
      <c r="D5"/>
      <c r="E5"/>
      <c r="F5"/>
      <c r="G5"/>
    </row>
    <row r="6" spans="1:8">
      <c r="B6" s="43"/>
      <c r="C6"/>
      <c r="D6"/>
      <c r="E6"/>
      <c r="F6"/>
      <c r="G6" s="1"/>
      <c r="H6" s="1"/>
    </row>
    <row r="7" spans="1:8">
      <c r="A7" s="1"/>
      <c r="B7" s="1">
        <f>COLUMN()-1</f>
        <v>1</v>
      </c>
      <c r="C7" s="1">
        <f>COLUMN()-1</f>
        <v>2</v>
      </c>
      <c r="D7" s="1">
        <f>COLUMN()-1</f>
        <v>3</v>
      </c>
      <c r="E7" s="1">
        <f>COLUMN()-1</f>
        <v>4</v>
      </c>
      <c r="F7" s="1">
        <f>COLUMN()-1</f>
        <v>5</v>
      </c>
      <c r="G7"/>
    </row>
    <row r="8" spans="1:8">
      <c r="A8" s="23" t="s">
        <v>30</v>
      </c>
      <c r="B8" s="23" t="s">
        <v>68</v>
      </c>
      <c r="C8" s="3" t="s">
        <v>110</v>
      </c>
      <c r="D8" s="3" t="s">
        <v>111</v>
      </c>
      <c r="E8" s="3" t="s">
        <v>112</v>
      </c>
      <c r="F8" s="3" t="s">
        <v>113</v>
      </c>
      <c r="G8" s="3" t="s">
        <v>26</v>
      </c>
    </row>
    <row r="9" spans="1:8" ht="12.6" customHeight="1">
      <c r="B9" s="32" t="str">
        <f>MLIST!D9</f>
        <v>Pin Lamps - New</v>
      </c>
      <c r="C9" s="7">
        <v>0.99</v>
      </c>
      <c r="D9" s="7">
        <v>0.99</v>
      </c>
      <c r="E9" s="7">
        <v>0.99</v>
      </c>
      <c r="F9" s="7">
        <v>0.99</v>
      </c>
      <c r="G9" s="8" t="s">
        <v>532</v>
      </c>
      <c r="H9" s="8"/>
    </row>
    <row r="10" spans="1:8">
      <c r="B10" s="32" t="str">
        <f>MLIST!D10</f>
        <v>Pin Lamps - NR</v>
      </c>
      <c r="C10" s="7">
        <v>0.99</v>
      </c>
      <c r="D10" s="7">
        <v>0.99</v>
      </c>
      <c r="E10" s="7">
        <v>0.99</v>
      </c>
      <c r="F10" s="7">
        <v>0.99</v>
      </c>
      <c r="G10" s="8" t="s">
        <v>532</v>
      </c>
      <c r="H10" s="8"/>
    </row>
    <row r="11" spans="1:8">
      <c r="B11" s="32" t="str">
        <f>MLIST!D11</f>
        <v>Lamps - NR</v>
      </c>
      <c r="C11" s="7">
        <v>0.99</v>
      </c>
      <c r="D11" s="7">
        <v>0.99</v>
      </c>
      <c r="E11" s="7">
        <v>0.99</v>
      </c>
      <c r="F11" s="7">
        <v>0.99</v>
      </c>
      <c r="G11" s="8" t="s">
        <v>532</v>
      </c>
      <c r="H11" s="8"/>
    </row>
    <row r="12" spans="1:8">
      <c r="B12" s="32" t="str">
        <f>MLIST!D12</f>
        <v>Dishwasher - New</v>
      </c>
      <c r="C12" s="7">
        <v>0.99</v>
      </c>
      <c r="D12" s="7">
        <v>0.99</v>
      </c>
      <c r="E12" s="7">
        <v>0.99</v>
      </c>
      <c r="F12" s="7">
        <v>0.99</v>
      </c>
      <c r="G12" s="8" t="s">
        <v>467</v>
      </c>
      <c r="H12" s="8"/>
    </row>
    <row r="13" spans="1:8">
      <c r="B13" s="32" t="str">
        <f>MLIST!D13</f>
        <v>Dishwasher - NR</v>
      </c>
      <c r="C13" s="7">
        <v>0.99</v>
      </c>
      <c r="D13" s="7">
        <v>0.99</v>
      </c>
      <c r="E13" s="7">
        <v>0.99</v>
      </c>
      <c r="F13" s="7">
        <v>0.99</v>
      </c>
      <c r="G13" s="8" t="s">
        <v>467</v>
      </c>
      <c r="H13" s="8"/>
    </row>
    <row r="14" spans="1:8">
      <c r="B14" s="32" t="str">
        <f>MLIST!D14</f>
        <v>Clothes Washer - New</v>
      </c>
      <c r="C14" s="7">
        <v>0.99</v>
      </c>
      <c r="D14" s="7">
        <v>0.99</v>
      </c>
      <c r="E14" s="7">
        <v>0.99</v>
      </c>
      <c r="F14" s="7">
        <v>0.99</v>
      </c>
      <c r="G14" s="8" t="s">
        <v>467</v>
      </c>
      <c r="H14" s="8"/>
    </row>
    <row r="15" spans="1:8">
      <c r="B15" s="32" t="str">
        <f>MLIST!D15</f>
        <v>Clothes Washer - NR</v>
      </c>
      <c r="C15" s="7">
        <v>0.99</v>
      </c>
      <c r="D15" s="7">
        <v>0.99</v>
      </c>
      <c r="E15" s="7">
        <v>0.99</v>
      </c>
      <c r="F15" s="7">
        <v>0.99</v>
      </c>
      <c r="G15" s="8" t="s">
        <v>467</v>
      </c>
      <c r="H15" s="8"/>
    </row>
    <row r="16" spans="1:8">
      <c r="B16" s="32" t="str">
        <f>MLIST!D16</f>
        <v>WasteWater Heat Recovery - New</v>
      </c>
      <c r="C16" s="113">
        <v>0.8</v>
      </c>
      <c r="D16" s="113">
        <v>0.8</v>
      </c>
      <c r="E16" s="113">
        <v>0.2</v>
      </c>
      <c r="F16" s="7">
        <v>0</v>
      </c>
      <c r="G16" s="8" t="s">
        <v>467</v>
      </c>
      <c r="H16" s="8"/>
    </row>
    <row r="17" spans="2:8">
      <c r="B17" s="32" t="str">
        <f>MLIST!D17</f>
        <v>Showerheads - New</v>
      </c>
      <c r="C17" s="7">
        <v>0.95</v>
      </c>
      <c r="D17" s="7">
        <v>0.95</v>
      </c>
      <c r="E17" s="7">
        <v>0.95</v>
      </c>
      <c r="F17" s="7">
        <v>0.95</v>
      </c>
      <c r="G17" s="8" t="s">
        <v>467</v>
      </c>
      <c r="H17" s="8"/>
    </row>
    <row r="18" spans="2:8">
      <c r="B18" s="32" t="str">
        <f>MLIST!D18</f>
        <v>Showerheads - NR</v>
      </c>
      <c r="C18" s="7">
        <v>0.95</v>
      </c>
      <c r="D18" s="7">
        <v>0.95</v>
      </c>
      <c r="E18" s="7">
        <v>0.95</v>
      </c>
      <c r="F18" s="7">
        <v>0.95</v>
      </c>
      <c r="G18" s="8" t="s">
        <v>467</v>
      </c>
      <c r="H18" s="8"/>
    </row>
    <row r="19" spans="2:8">
      <c r="B19" s="32" t="str">
        <f>MLIST!D19</f>
        <v>TSRV - New</v>
      </c>
      <c r="C19" s="7">
        <v>0.95</v>
      </c>
      <c r="D19" s="7">
        <v>0.95</v>
      </c>
      <c r="E19" s="7">
        <v>0.95</v>
      </c>
      <c r="F19" s="7">
        <v>0.95</v>
      </c>
      <c r="G19" s="8" t="s">
        <v>467</v>
      </c>
      <c r="H19" s="8"/>
    </row>
    <row r="20" spans="2:8">
      <c r="B20" s="32" t="str">
        <f>MLIST!D20</f>
        <v>TSRV - Retro</v>
      </c>
      <c r="C20" s="7">
        <v>0.95</v>
      </c>
      <c r="D20" s="7">
        <v>0.95</v>
      </c>
      <c r="E20" s="7">
        <v>0.95</v>
      </c>
      <c r="F20" s="7">
        <v>0.95</v>
      </c>
      <c r="G20" s="8" t="s">
        <v>467</v>
      </c>
      <c r="H20" s="8"/>
    </row>
    <row r="21" spans="2:8">
      <c r="B21" s="32" t="str">
        <f>MLIST!D21</f>
        <v>HPWH - New</v>
      </c>
      <c r="C21" s="7">
        <v>0.99</v>
      </c>
      <c r="D21" s="7">
        <v>0.6</v>
      </c>
      <c r="E21" s="7">
        <v>0.2</v>
      </c>
      <c r="F21" s="7">
        <v>0.75</v>
      </c>
      <c r="G21" s="8" t="s">
        <v>596</v>
      </c>
      <c r="H21" s="8"/>
    </row>
    <row r="22" spans="2:8" s="8" customFormat="1">
      <c r="B22" s="32" t="str">
        <f>MLIST!D22</f>
        <v>HPWH - NR</v>
      </c>
      <c r="C22" s="7">
        <v>0.95</v>
      </c>
      <c r="D22" s="7">
        <v>0.5</v>
      </c>
      <c r="E22" s="7">
        <v>0</v>
      </c>
      <c r="F22" s="7">
        <v>0.75</v>
      </c>
      <c r="G22" s="8" t="s">
        <v>599</v>
      </c>
    </row>
    <row r="23" spans="2:8" s="8" customFormat="1">
      <c r="B23" s="32" t="str">
        <f>MLIST!D23</f>
        <v>Aerator - New</v>
      </c>
      <c r="C23" s="7">
        <v>0.95</v>
      </c>
      <c r="D23" s="7">
        <v>0.95</v>
      </c>
      <c r="E23" s="7">
        <v>0.95</v>
      </c>
      <c r="F23" s="7">
        <v>0.95</v>
      </c>
      <c r="G23" s="8" t="s">
        <v>467</v>
      </c>
    </row>
    <row r="24" spans="2:8">
      <c r="B24" s="32" t="str">
        <f>MLIST!D24</f>
        <v>Aerator - Retro</v>
      </c>
      <c r="C24" s="7">
        <v>0.85</v>
      </c>
      <c r="D24" s="7">
        <v>0.85</v>
      </c>
      <c r="E24" s="7">
        <v>0.85</v>
      </c>
      <c r="F24" s="7">
        <v>0.85</v>
      </c>
      <c r="G24" s="8" t="s">
        <v>468</v>
      </c>
      <c r="H24" s="8"/>
    </row>
    <row r="25" spans="2:8">
      <c r="B25" s="32" t="str">
        <f>MLIST!D25</f>
        <v>WH Pipe insulation - New</v>
      </c>
      <c r="C25" s="7">
        <v>0.99</v>
      </c>
      <c r="D25" s="7">
        <v>0.99</v>
      </c>
      <c r="E25" s="7">
        <v>0.99</v>
      </c>
      <c r="F25" s="7">
        <v>0.99</v>
      </c>
      <c r="G25" s="8" t="s">
        <v>509</v>
      </c>
      <c r="H25" s="8"/>
    </row>
    <row r="26" spans="2:8">
      <c r="B26" s="32" t="str">
        <f>MLIST!D26</f>
        <v>WH Pipe insulation - Retro</v>
      </c>
      <c r="C26" s="7">
        <v>0.95</v>
      </c>
      <c r="D26" s="7">
        <v>0.95</v>
      </c>
      <c r="E26" s="7">
        <v>0.95</v>
      </c>
      <c r="F26" s="7">
        <v>0.95</v>
      </c>
      <c r="G26" s="8" t="s">
        <v>510</v>
      </c>
      <c r="H26" s="8"/>
    </row>
    <row r="27" spans="2:8">
      <c r="B27" s="32" t="str">
        <f>MLIST!D27</f>
        <v>Circulators - New</v>
      </c>
      <c r="C27" s="7"/>
      <c r="D27" s="7"/>
      <c r="E27" s="7"/>
      <c r="F27" s="7"/>
      <c r="H27" s="8"/>
    </row>
    <row r="28" spans="2:8">
      <c r="B28" s="32" t="str">
        <f>MLIST!D28</f>
        <v>Circulators - NR</v>
      </c>
      <c r="C28" s="7"/>
      <c r="D28" s="7"/>
      <c r="E28" s="7"/>
      <c r="F28" s="7"/>
      <c r="H28" s="8"/>
    </row>
    <row r="29" spans="2:8" s="8" customFormat="1">
      <c r="B29" s="32" t="str">
        <f>MLIST!D29</f>
        <v>Clothes Dryer - New</v>
      </c>
      <c r="C29" s="7">
        <v>0.95</v>
      </c>
      <c r="D29" s="7">
        <v>0.95</v>
      </c>
      <c r="E29" s="7">
        <v>0.95</v>
      </c>
      <c r="F29" s="7">
        <v>0.95</v>
      </c>
      <c r="G29" s="8" t="s">
        <v>502</v>
      </c>
    </row>
    <row r="30" spans="2:8" s="8" customFormat="1">
      <c r="B30" s="32" t="str">
        <f>MLIST!D30</f>
        <v>Clothes Dryer - NR</v>
      </c>
      <c r="C30" s="7">
        <v>0.95</v>
      </c>
      <c r="D30" s="7">
        <v>0.95</v>
      </c>
      <c r="E30" s="7">
        <v>0.95</v>
      </c>
      <c r="F30" s="7">
        <v>0.95</v>
      </c>
      <c r="G30" s="8" t="s">
        <v>502</v>
      </c>
    </row>
    <row r="31" spans="2:8" s="8" customFormat="1">
      <c r="B31" s="32" t="str">
        <f>MLIST!D31</f>
        <v>Refrigerator - New</v>
      </c>
      <c r="C31" s="7">
        <v>0.99</v>
      </c>
      <c r="D31" s="7">
        <v>0.99</v>
      </c>
      <c r="E31" s="7">
        <v>0.99</v>
      </c>
      <c r="F31" s="7">
        <v>0.99</v>
      </c>
      <c r="G31" s="8" t="s">
        <v>486</v>
      </c>
    </row>
    <row r="32" spans="2:8" s="8" customFormat="1">
      <c r="B32" s="32" t="str">
        <f>MLIST!D32</f>
        <v>Refrigerator - NR</v>
      </c>
      <c r="C32" s="7">
        <v>0.99</v>
      </c>
      <c r="D32" s="7">
        <v>0.99</v>
      </c>
      <c r="E32" s="7">
        <v>0.99</v>
      </c>
      <c r="F32" s="7">
        <v>0.99</v>
      </c>
      <c r="G32" s="8" t="s">
        <v>486</v>
      </c>
    </row>
    <row r="33" spans="1:8" s="8" customFormat="1">
      <c r="B33" s="32" t="str">
        <f>MLIST!D33</f>
        <v>Freezer - New</v>
      </c>
      <c r="C33" s="7">
        <v>0.99</v>
      </c>
      <c r="D33" s="7">
        <v>0.99</v>
      </c>
      <c r="E33" s="7">
        <v>0.99</v>
      </c>
      <c r="F33" s="7">
        <v>0.99</v>
      </c>
      <c r="G33" s="8" t="s">
        <v>486</v>
      </c>
    </row>
    <row r="34" spans="1:8" s="8" customFormat="1">
      <c r="B34" s="32" t="str">
        <f>MLIST!D34</f>
        <v>Freezer - NR</v>
      </c>
      <c r="C34" s="7">
        <v>0.99</v>
      </c>
      <c r="D34" s="7">
        <v>0.99</v>
      </c>
      <c r="E34" s="7">
        <v>0.99</v>
      </c>
      <c r="F34" s="7">
        <v>0.99</v>
      </c>
      <c r="G34" s="8" t="s">
        <v>486</v>
      </c>
    </row>
    <row r="35" spans="1:8" s="8" customFormat="1">
      <c r="B35" s="32" t="str">
        <f>MLIST!D35</f>
        <v>Electric Oven - New</v>
      </c>
      <c r="C35" s="7">
        <v>0.95</v>
      </c>
      <c r="D35" s="7">
        <v>0.95</v>
      </c>
      <c r="E35" s="7">
        <v>0.95</v>
      </c>
      <c r="F35" s="7">
        <v>0.95</v>
      </c>
      <c r="G35" s="8" t="s">
        <v>486</v>
      </c>
    </row>
    <row r="36" spans="1:8" s="8" customFormat="1">
      <c r="B36" s="32" t="str">
        <f>MLIST!D36</f>
        <v>Electric Oven - NR</v>
      </c>
      <c r="C36" s="7">
        <v>0.95</v>
      </c>
      <c r="D36" s="7">
        <v>0.95</v>
      </c>
      <c r="E36" s="7">
        <v>0.95</v>
      </c>
      <c r="F36" s="7">
        <v>0.95</v>
      </c>
      <c r="G36" s="8" t="s">
        <v>486</v>
      </c>
    </row>
    <row r="37" spans="1:8" s="8" customFormat="1">
      <c r="B37" s="32" t="str">
        <f>MLIST!D37</f>
        <v>Microwave - New</v>
      </c>
      <c r="C37" s="7">
        <v>0.99</v>
      </c>
      <c r="D37" s="7">
        <v>0.99</v>
      </c>
      <c r="E37" s="7">
        <v>0.99</v>
      </c>
      <c r="F37" s="7">
        <v>0.99</v>
      </c>
      <c r="G37" s="8" t="s">
        <v>486</v>
      </c>
    </row>
    <row r="38" spans="1:8">
      <c r="B38" s="32" t="str">
        <f>MLIST!D38</f>
        <v>Microwave - NR</v>
      </c>
      <c r="C38" s="7">
        <v>0.99</v>
      </c>
      <c r="D38" s="7">
        <v>0.99</v>
      </c>
      <c r="E38" s="7">
        <v>0.99</v>
      </c>
      <c r="F38" s="7">
        <v>0.99</v>
      </c>
      <c r="G38" s="8" t="s">
        <v>486</v>
      </c>
      <c r="H38" s="8"/>
    </row>
    <row r="39" spans="1:8" s="8" customFormat="1">
      <c r="A39" s="18"/>
      <c r="B39" s="32" t="str">
        <f>MLIST!D39</f>
        <v>Monitor - New</v>
      </c>
      <c r="C39" s="7">
        <v>1</v>
      </c>
      <c r="D39" s="7">
        <v>1</v>
      </c>
      <c r="E39" s="7">
        <v>1</v>
      </c>
      <c r="F39" s="7">
        <v>1</v>
      </c>
      <c r="G39" s="8" t="s">
        <v>503</v>
      </c>
    </row>
    <row r="40" spans="1:8" s="8" customFormat="1">
      <c r="B40" s="32" t="str">
        <f>MLIST!D40</f>
        <v>Monitor - NR</v>
      </c>
      <c r="C40" s="7">
        <v>1</v>
      </c>
      <c r="D40" s="7">
        <v>1</v>
      </c>
      <c r="E40" s="7">
        <v>1</v>
      </c>
      <c r="F40" s="7">
        <v>1</v>
      </c>
      <c r="G40" s="8" t="s">
        <v>503</v>
      </c>
    </row>
    <row r="41" spans="1:8" s="8" customFormat="1">
      <c r="B41" s="32" t="str">
        <f>MLIST!D41</f>
        <v>Desktop - New</v>
      </c>
      <c r="C41" s="7">
        <v>1</v>
      </c>
      <c r="D41" s="7">
        <v>1</v>
      </c>
      <c r="E41" s="7">
        <v>1</v>
      </c>
      <c r="F41" s="7">
        <v>1</v>
      </c>
      <c r="G41" s="8" t="s">
        <v>503</v>
      </c>
    </row>
    <row r="42" spans="1:8" s="8" customFormat="1">
      <c r="B42" s="32" t="str">
        <f>MLIST!D42</f>
        <v>Desktop - NR</v>
      </c>
      <c r="C42" s="7">
        <v>1</v>
      </c>
      <c r="D42" s="7">
        <v>1</v>
      </c>
      <c r="E42" s="7">
        <v>1</v>
      </c>
      <c r="F42" s="7">
        <v>1</v>
      </c>
      <c r="G42" s="8" t="s">
        <v>503</v>
      </c>
    </row>
    <row r="43" spans="1:8" s="8" customFormat="1">
      <c r="B43" s="32" t="str">
        <f>MLIST!D43</f>
        <v>Laptop - New</v>
      </c>
      <c r="C43" s="7">
        <v>1</v>
      </c>
      <c r="D43" s="7">
        <v>1</v>
      </c>
      <c r="E43" s="7">
        <v>1</v>
      </c>
      <c r="F43" s="7">
        <v>1</v>
      </c>
      <c r="G43" s="8" t="s">
        <v>503</v>
      </c>
    </row>
    <row r="44" spans="1:8" s="8" customFormat="1">
      <c r="B44" s="32" t="str">
        <f>MLIST!D44</f>
        <v>Laptop - NR</v>
      </c>
      <c r="C44" s="7">
        <v>1</v>
      </c>
      <c r="D44" s="7">
        <v>1</v>
      </c>
      <c r="E44" s="7">
        <v>1</v>
      </c>
      <c r="F44" s="7">
        <v>1</v>
      </c>
      <c r="G44" s="8" t="s">
        <v>503</v>
      </c>
    </row>
    <row r="45" spans="1:8" s="8" customFormat="1">
      <c r="B45" s="32"/>
      <c r="C45" s="7"/>
      <c r="D45" s="7"/>
      <c r="E45" s="7"/>
      <c r="F45" s="7"/>
    </row>
    <row r="46" spans="1:8" s="8" customFormat="1">
      <c r="B46" s="32"/>
      <c r="C46" s="7"/>
      <c r="D46" s="7"/>
      <c r="E46" s="7"/>
      <c r="F46" s="7"/>
    </row>
    <row r="47" spans="1:8" s="8" customFormat="1">
      <c r="B47" s="32" t="str">
        <f>MLIST!D47</f>
        <v>Advanced Power Strips - New</v>
      </c>
      <c r="C47" s="7">
        <v>0.34</v>
      </c>
      <c r="D47" s="7">
        <v>0.25</v>
      </c>
      <c r="E47" s="7">
        <v>0.25</v>
      </c>
      <c r="F47" s="7">
        <v>0.25</v>
      </c>
      <c r="G47" t="s">
        <v>467</v>
      </c>
      <c r="H47" t="s">
        <v>484</v>
      </c>
    </row>
    <row r="48" spans="1:8" s="8" customFormat="1">
      <c r="B48" s="32" t="str">
        <f>MLIST!D48</f>
        <v>Advanced Power Strips - Retro</v>
      </c>
      <c r="C48" s="7">
        <v>0.34</v>
      </c>
      <c r="D48" s="7">
        <v>0.25</v>
      </c>
      <c r="E48" s="7">
        <v>0.25</v>
      </c>
      <c r="F48" s="7">
        <v>0.25</v>
      </c>
      <c r="G48" t="s">
        <v>467</v>
      </c>
      <c r="H48" t="s">
        <v>484</v>
      </c>
    </row>
    <row r="49" spans="2:8 16384:16384" s="8" customFormat="1">
      <c r="B49" s="32" t="str">
        <f>MLIST!D49</f>
        <v>UHD TV - New</v>
      </c>
      <c r="C49" s="7">
        <v>1</v>
      </c>
      <c r="D49" s="7">
        <v>1</v>
      </c>
      <c r="E49" s="7">
        <v>1</v>
      </c>
      <c r="F49" s="7">
        <v>1</v>
      </c>
      <c r="G49" s="8" t="s">
        <v>503</v>
      </c>
    </row>
    <row r="50" spans="2:8 16384:16384" s="8" customFormat="1">
      <c r="B50" s="32" t="str">
        <f>MLIST!D50</f>
        <v>UHD TV - NR</v>
      </c>
      <c r="C50" s="7">
        <v>1</v>
      </c>
      <c r="D50" s="7">
        <v>1</v>
      </c>
      <c r="E50" s="7">
        <v>1</v>
      </c>
      <c r="F50" s="7">
        <v>1</v>
      </c>
      <c r="G50" s="8" t="s">
        <v>503</v>
      </c>
    </row>
    <row r="51" spans="2:8 16384:16384" s="8" customFormat="1">
      <c r="B51" s="32" t="str">
        <f>MLIST!D51</f>
        <v>Fixtures - New</v>
      </c>
      <c r="C51" s="93">
        <v>0.99</v>
      </c>
      <c r="D51" s="93">
        <v>0.99</v>
      </c>
      <c r="E51" s="93">
        <v>0.99</v>
      </c>
      <c r="F51" s="93">
        <v>0.99</v>
      </c>
      <c r="G51" s="8" t="s">
        <v>533</v>
      </c>
    </row>
    <row r="52" spans="2:8 16384:16384" s="8" customFormat="1">
      <c r="B52" s="32" t="str">
        <f>MLIST!D52</f>
        <v>Fixtures - NR</v>
      </c>
      <c r="C52" s="93">
        <v>0.99</v>
      </c>
      <c r="D52" s="93">
        <v>0.99</v>
      </c>
      <c r="E52" s="93">
        <v>0.99</v>
      </c>
      <c r="F52" s="93">
        <v>0.99</v>
      </c>
      <c r="G52" s="8" t="s">
        <v>533</v>
      </c>
    </row>
    <row r="53" spans="2:8 16384:16384" s="8" customFormat="1">
      <c r="B53" s="32" t="str">
        <f>MLIST!D53</f>
        <v>ASHP Upgrade - New</v>
      </c>
      <c r="C53" s="113">
        <v>0.99</v>
      </c>
      <c r="D53" s="113"/>
      <c r="E53" s="113"/>
      <c r="F53" s="113">
        <v>0.99</v>
      </c>
      <c r="G53" s="8" t="s">
        <v>572</v>
      </c>
    </row>
    <row r="54" spans="2:8 16384:16384" s="8" customFormat="1">
      <c r="B54" s="32" t="str">
        <f>MLIST!D54</f>
        <v>ASHP Upgrade - NR</v>
      </c>
      <c r="C54" s="113">
        <v>0.8</v>
      </c>
      <c r="D54" s="113"/>
      <c r="E54" s="113"/>
      <c r="F54" s="113">
        <v>0.7</v>
      </c>
      <c r="G54" s="8" t="s">
        <v>555</v>
      </c>
    </row>
    <row r="55" spans="2:8 16384:16384" s="8" customFormat="1">
      <c r="B55" s="32" t="str">
        <f>MLIST!D55</f>
        <v>ASHP Conversion - New</v>
      </c>
      <c r="C55" s="7">
        <v>0.95</v>
      </c>
      <c r="D55" s="7">
        <v>0</v>
      </c>
      <c r="E55" s="7">
        <v>0</v>
      </c>
      <c r="F55" s="7">
        <v>0.95</v>
      </c>
      <c r="G55" s="8" t="s">
        <v>562</v>
      </c>
    </row>
    <row r="56" spans="2:8 16384:16384">
      <c r="B56" s="32" t="str">
        <f>MLIST!D56</f>
        <v>ASHP Conversion - Retro</v>
      </c>
      <c r="C56" s="7">
        <v>0.9</v>
      </c>
      <c r="D56" s="7">
        <v>0</v>
      </c>
      <c r="E56" s="7">
        <v>0</v>
      </c>
      <c r="F56" s="7">
        <v>0.9</v>
      </c>
      <c r="G56" s="8" t="s">
        <v>564</v>
      </c>
      <c r="H56" s="8"/>
    </row>
    <row r="57" spans="2:8 16384:16384">
      <c r="B57" s="32" t="str">
        <f>MLIST!D57</f>
        <v>DHP - New</v>
      </c>
      <c r="C57" s="7">
        <f>C58*50%</f>
        <v>9.3594596344793959E-2</v>
      </c>
      <c r="D57" s="7">
        <v>0</v>
      </c>
      <c r="E57" s="7">
        <v>0</v>
      </c>
      <c r="F57" s="7">
        <f>F58</f>
        <v>1.0994162391650452E-2</v>
      </c>
      <c r="G57" s="8" t="s">
        <v>598</v>
      </c>
      <c r="H57" s="8"/>
    </row>
    <row r="58" spans="2:8 16384:16384">
      <c r="B58" s="32" t="str">
        <f>MLIST!D58</f>
        <v>DHP - Retro</v>
      </c>
      <c r="C58" s="7">
        <f>(388152+425256)/1868513*43%</f>
        <v>0.18718919268958792</v>
      </c>
      <c r="D58" s="7">
        <f>[3]Segmentation!$C$10*[3]Segmentation!$H$10</f>
        <v>0</v>
      </c>
      <c r="E58" s="7">
        <f>D58*[3]Segmentation!$B$23</f>
        <v>0</v>
      </c>
      <c r="F58" s="7">
        <f>(3143+1829)/361792*80%</f>
        <v>1.0994162391650452E-2</v>
      </c>
      <c r="G58" s="8" t="s">
        <v>597</v>
      </c>
      <c r="H58" s="8"/>
    </row>
    <row r="59" spans="2:8 16384:16384">
      <c r="B59" s="32" t="str">
        <f>MLIST!D59</f>
        <v>DHP Ducted - Retro</v>
      </c>
      <c r="C59" s="113">
        <v>0.2</v>
      </c>
      <c r="D59" s="113"/>
      <c r="E59" s="113"/>
      <c r="F59" s="113">
        <v>0.3</v>
      </c>
      <c r="G59" s="8" t="s">
        <v>553</v>
      </c>
      <c r="H59" s="8"/>
    </row>
    <row r="60" spans="2:8 16384:16384">
      <c r="B60" s="32" t="str">
        <f>MLIST!D60</f>
        <v>Duct Sealing - New</v>
      </c>
      <c r="C60" s="7">
        <v>0.95</v>
      </c>
      <c r="D60" s="7">
        <v>0.95</v>
      </c>
      <c r="E60" s="7">
        <v>0.95</v>
      </c>
      <c r="F60" s="7">
        <v>0.95</v>
      </c>
      <c r="G60" s="8" t="s">
        <v>467</v>
      </c>
      <c r="H60" s="8"/>
    </row>
    <row r="61" spans="2:8 16384:16384">
      <c r="B61" s="32" t="str">
        <f>MLIST!D61</f>
        <v>Duct Sealing - Retro</v>
      </c>
      <c r="C61" s="7">
        <v>0.95</v>
      </c>
      <c r="D61" s="7">
        <v>0.95</v>
      </c>
      <c r="E61" s="7">
        <v>0.95</v>
      </c>
      <c r="F61" s="7">
        <v>0.95</v>
      </c>
      <c r="G61" s="8" t="s">
        <v>467</v>
      </c>
      <c r="H61" s="8"/>
    </row>
    <row r="62" spans="2:8 16384:16384">
      <c r="B62" s="32" t="str">
        <f>MLIST!D62</f>
        <v>Smart tstats - New</v>
      </c>
      <c r="C62" s="7">
        <v>0.99</v>
      </c>
      <c r="D62" s="7">
        <v>0.99</v>
      </c>
      <c r="E62" s="7">
        <v>0</v>
      </c>
      <c r="F62" s="7">
        <v>0.99</v>
      </c>
      <c r="G62" s="8" t="s">
        <v>608</v>
      </c>
      <c r="H62" s="8"/>
      <c r="XFD62" s="7"/>
    </row>
    <row r="63" spans="2:8 16384:16384">
      <c r="B63" s="32" t="str">
        <f>MLIST!D63</f>
        <v>Smart tstats - Retro</v>
      </c>
      <c r="C63" s="93">
        <v>0.8</v>
      </c>
      <c r="D63" s="93">
        <v>0.8</v>
      </c>
      <c r="E63" s="93">
        <v>0</v>
      </c>
      <c r="F63" s="93">
        <v>0.8</v>
      </c>
      <c r="G63" s="8" t="s">
        <v>609</v>
      </c>
      <c r="H63" s="8"/>
    </row>
    <row r="64" spans="2:8 16384:16384">
      <c r="B64" s="32" t="str">
        <f>MLIST!D64</f>
        <v>Cellular Shades - New</v>
      </c>
      <c r="C64" s="93">
        <v>0.99</v>
      </c>
      <c r="D64" s="7">
        <v>0.99</v>
      </c>
      <c r="E64" s="7">
        <v>0</v>
      </c>
      <c r="F64" s="7">
        <v>0.99</v>
      </c>
      <c r="G64" s="8" t="s">
        <v>611</v>
      </c>
      <c r="H64" s="8"/>
    </row>
    <row r="65" spans="2:8">
      <c r="B65" s="32" t="str">
        <f>MLIST!D65</f>
        <v>Cellular Shades - Retro</v>
      </c>
      <c r="C65" s="93">
        <v>0.9</v>
      </c>
      <c r="D65" s="7">
        <v>0.9</v>
      </c>
      <c r="E65" s="7">
        <v>0</v>
      </c>
      <c r="F65" s="7">
        <v>0.9</v>
      </c>
      <c r="G65" s="8" t="s">
        <v>612</v>
      </c>
      <c r="H65" s="8"/>
    </row>
    <row r="66" spans="2:8">
      <c r="B66" s="32" t="str">
        <f>MLIST!D66</f>
        <v>CAC - New</v>
      </c>
      <c r="C66" s="93">
        <v>0.99</v>
      </c>
      <c r="F66" s="93">
        <v>0.99</v>
      </c>
      <c r="G66" s="8" t="s">
        <v>572</v>
      </c>
      <c r="H66" s="8"/>
    </row>
    <row r="67" spans="2:8">
      <c r="B67" s="32" t="str">
        <f>MLIST!D67</f>
        <v>CAC - NR</v>
      </c>
      <c r="C67" s="93">
        <v>0.99</v>
      </c>
      <c r="F67" s="93">
        <v>0.99</v>
      </c>
      <c r="G67" s="8" t="s">
        <v>572</v>
      </c>
      <c r="H67" s="8"/>
    </row>
    <row r="68" spans="2:8">
      <c r="B68" s="32" t="str">
        <f>MLIST!D68</f>
        <v>Heat Recovery Ventilation - New</v>
      </c>
      <c r="C68" s="93">
        <v>0.99</v>
      </c>
      <c r="G68" s="8" t="s">
        <v>572</v>
      </c>
      <c r="H68" s="8"/>
    </row>
    <row r="69" spans="2:8">
      <c r="B69" s="32" t="str">
        <f>MLIST!D69</f>
        <v>GSHP - New</v>
      </c>
      <c r="C69" s="113">
        <v>0.12</v>
      </c>
      <c r="D69" s="7">
        <v>0</v>
      </c>
      <c r="E69" s="7">
        <v>0</v>
      </c>
      <c r="F69" s="7">
        <v>0</v>
      </c>
      <c r="G69" s="8" t="s">
        <v>563</v>
      </c>
      <c r="H69" s="8"/>
    </row>
    <row r="70" spans="2:8">
      <c r="B70" s="32" t="str">
        <f>MLIST!D70</f>
        <v>GSHP - NR</v>
      </c>
      <c r="C70" s="104">
        <v>0.12</v>
      </c>
      <c r="D70" s="8">
        <v>0</v>
      </c>
      <c r="E70" s="8">
        <v>0</v>
      </c>
      <c r="F70" s="8">
        <v>0</v>
      </c>
      <c r="G70" s="8" t="s">
        <v>563</v>
      </c>
      <c r="H70" s="8"/>
    </row>
    <row r="71" spans="2:8">
      <c r="B71" s="32" t="str">
        <f>MLIST!D71</f>
        <v>Whole House Fan - Retro</v>
      </c>
      <c r="C71" s="18">
        <v>0.6</v>
      </c>
      <c r="D71" s="18">
        <v>0</v>
      </c>
      <c r="E71" s="18">
        <v>0</v>
      </c>
      <c r="F71" s="18">
        <v>0.6</v>
      </c>
      <c r="G71" s="8" t="s">
        <v>519</v>
      </c>
      <c r="H71" s="8"/>
    </row>
    <row r="72" spans="2:8">
      <c r="B72" s="32" t="str">
        <f>MLIST!D72</f>
        <v>Whole House Fan - New</v>
      </c>
      <c r="C72" s="18">
        <v>0.9</v>
      </c>
      <c r="D72" s="18">
        <v>0</v>
      </c>
      <c r="E72" s="18">
        <v>0</v>
      </c>
      <c r="F72" s="18">
        <v>0.9</v>
      </c>
      <c r="G72" s="8" t="s">
        <v>518</v>
      </c>
      <c r="H72" s="8"/>
    </row>
    <row r="73" spans="2:8">
      <c r="B73" s="32" t="str">
        <f>MLIST!D73</f>
        <v>Circulator Controls - New</v>
      </c>
      <c r="H73" s="8"/>
    </row>
    <row r="74" spans="2:8">
      <c r="B74" s="32" t="str">
        <f>MLIST!D74</f>
        <v>Circulator Controls - NR</v>
      </c>
      <c r="C74" s="93"/>
      <c r="F74" s="93"/>
      <c r="H74" s="8"/>
    </row>
    <row r="75" spans="2:8">
      <c r="B75" s="32" t="str">
        <f>MLIST!D75</f>
        <v>Behavior - Retro</v>
      </c>
      <c r="C75" s="7">
        <v>0.5</v>
      </c>
      <c r="D75" s="7">
        <v>0.5</v>
      </c>
      <c r="E75" s="7">
        <v>0.5</v>
      </c>
      <c r="F75" s="7">
        <v>0.5</v>
      </c>
      <c r="G75" s="8" t="s">
        <v>627</v>
      </c>
      <c r="H75" s="8"/>
    </row>
    <row r="76" spans="2:8">
      <c r="B76" s="32" t="str">
        <f>MLIST!D76</f>
        <v>Behavior - New</v>
      </c>
      <c r="C76" s="7">
        <v>0.5</v>
      </c>
      <c r="D76" s="7">
        <v>0.5</v>
      </c>
      <c r="E76" s="7">
        <v>0.5</v>
      </c>
      <c r="F76" s="7">
        <v>0.5</v>
      </c>
      <c r="G76" s="8" t="s">
        <v>627</v>
      </c>
      <c r="H76" s="8"/>
    </row>
    <row r="77" spans="2:8">
      <c r="B77" s="32" t="str">
        <f>MLIST!D77</f>
        <v>EV Supply Equip - New</v>
      </c>
      <c r="C77" s="7">
        <f>'[4]EV Saturation'!$A$24</f>
        <v>0.8</v>
      </c>
      <c r="D77" s="7">
        <f>'[4]EV Saturation'!$A$24</f>
        <v>0.8</v>
      </c>
      <c r="E77" s="7">
        <f>'[4]EV Saturation'!$A$24</f>
        <v>0.8</v>
      </c>
      <c r="F77" s="7">
        <f>'[4]EV Saturation'!$A$24</f>
        <v>0.8</v>
      </c>
      <c r="G77" s="8" t="s">
        <v>588</v>
      </c>
      <c r="H77" s="8"/>
    </row>
    <row r="78" spans="2:8">
      <c r="B78" s="32" t="str">
        <f>MLIST!D78</f>
        <v>EV Supply Equip - NR</v>
      </c>
      <c r="C78" s="7">
        <f>'[4]EV Saturation'!$A$24</f>
        <v>0.8</v>
      </c>
      <c r="D78" s="7">
        <f>'[4]EV Saturation'!$A$24</f>
        <v>0.8</v>
      </c>
      <c r="E78" s="7">
        <f>'[4]EV Saturation'!$A$24</f>
        <v>0.8</v>
      </c>
      <c r="F78" s="7">
        <f>'[4]EV Saturation'!$A$24</f>
        <v>0.8</v>
      </c>
      <c r="G78" s="8" t="s">
        <v>588</v>
      </c>
      <c r="H78" s="8"/>
    </row>
    <row r="79" spans="2:8">
      <c r="B79" s="32" t="str">
        <f>MLIST!D79</f>
        <v>Air cleaners - New</v>
      </c>
      <c r="C79" s="7">
        <v>0.99</v>
      </c>
      <c r="D79" s="7">
        <v>0.99</v>
      </c>
      <c r="E79" s="7">
        <v>0.99</v>
      </c>
      <c r="F79" s="7">
        <v>0.99</v>
      </c>
      <c r="G79" s="8" t="s">
        <v>492</v>
      </c>
      <c r="H79" s="8"/>
    </row>
    <row r="80" spans="2:8">
      <c r="B80" s="32" t="str">
        <f>MLIST!D80</f>
        <v>Air cleaners - NR</v>
      </c>
      <c r="C80" s="7">
        <v>0.99</v>
      </c>
      <c r="D80" s="7">
        <v>0.99</v>
      </c>
      <c r="E80" s="7">
        <v>0.99</v>
      </c>
      <c r="F80" s="7">
        <v>0.99</v>
      </c>
      <c r="G80" s="8" t="s">
        <v>492</v>
      </c>
      <c r="H80" s="8"/>
    </row>
    <row r="81" spans="2:8">
      <c r="B81" s="32" t="str">
        <f>MLIST!D81</f>
        <v>RAC - New</v>
      </c>
      <c r="C81" s="7">
        <v>0.99</v>
      </c>
      <c r="D81" s="7">
        <v>0.99</v>
      </c>
      <c r="E81" s="7">
        <v>0.99</v>
      </c>
      <c r="F81" s="7">
        <v>0.99</v>
      </c>
      <c r="G81" s="8" t="s">
        <v>492</v>
      </c>
      <c r="H81" s="8"/>
    </row>
    <row r="82" spans="2:8">
      <c r="B82" s="32" t="str">
        <f>MLIST!D82</f>
        <v>RAC - NR</v>
      </c>
      <c r="C82" s="7">
        <v>0.99</v>
      </c>
      <c r="D82" s="7">
        <v>0.99</v>
      </c>
      <c r="E82" s="7">
        <v>0.99</v>
      </c>
      <c r="F82" s="7">
        <v>0.99</v>
      </c>
      <c r="G82" s="8" t="s">
        <v>492</v>
      </c>
      <c r="H82" s="8"/>
    </row>
    <row r="83" spans="2:8">
      <c r="B83" s="32" t="str">
        <f>MLIST!D83</f>
        <v>Well Pump - New</v>
      </c>
      <c r="C83" s="7">
        <v>0.99</v>
      </c>
      <c r="D83" s="7">
        <v>0.99</v>
      </c>
      <c r="E83" s="7">
        <v>0.99</v>
      </c>
      <c r="F83" s="7">
        <v>0.99</v>
      </c>
      <c r="G83" s="8" t="s">
        <v>492</v>
      </c>
      <c r="H83" s="8"/>
    </row>
    <row r="84" spans="2:8">
      <c r="B84" s="32" t="str">
        <f>MLIST!D84</f>
        <v>Well Pump - NR</v>
      </c>
      <c r="C84" s="7">
        <v>0.99</v>
      </c>
      <c r="D84" s="7">
        <v>0.99</v>
      </c>
      <c r="E84" s="7">
        <v>0.99</v>
      </c>
      <c r="F84" s="7">
        <v>0.99</v>
      </c>
      <c r="G84" s="8" t="s">
        <v>492</v>
      </c>
      <c r="H84" s="8"/>
    </row>
    <row r="85" spans="2:8">
      <c r="B85" s="32" t="str">
        <f>MLIST!D85</f>
        <v>ResWx - Retro</v>
      </c>
      <c r="C85" s="7">
        <v>1</v>
      </c>
      <c r="D85" s="7">
        <v>1</v>
      </c>
      <c r="E85" s="7">
        <v>1</v>
      </c>
      <c r="F85" s="7">
        <v>1</v>
      </c>
      <c r="G85" s="8" t="s">
        <v>582</v>
      </c>
      <c r="H85" s="8"/>
    </row>
    <row r="86" spans="2:8">
      <c r="B86" s="32"/>
      <c r="C86" s="7"/>
      <c r="D86" s="7"/>
      <c r="E86" s="7"/>
      <c r="F86" s="7"/>
      <c r="H86" s="8"/>
    </row>
    <row r="87" spans="2:8">
      <c r="B87" s="32"/>
      <c r="C87" s="7"/>
      <c r="D87" s="7"/>
      <c r="E87" s="7"/>
      <c r="F87" s="7"/>
      <c r="H87" s="8"/>
    </row>
    <row r="88" spans="2:8">
      <c r="B88" s="32"/>
      <c r="C88" s="7"/>
      <c r="D88" s="7"/>
      <c r="E88" s="7"/>
      <c r="F88" s="7"/>
      <c r="H88" s="8"/>
    </row>
    <row r="89" spans="2:8">
      <c r="B89" s="32"/>
      <c r="C89" s="7"/>
      <c r="D89" s="7"/>
      <c r="E89" s="7"/>
      <c r="F89" s="7"/>
      <c r="H89" s="8"/>
    </row>
    <row r="90" spans="2:8">
      <c r="B90" s="32"/>
      <c r="C90" s="7"/>
      <c r="D90" s="7"/>
      <c r="E90" s="7"/>
      <c r="F90" s="7"/>
      <c r="H90" s="8"/>
    </row>
    <row r="91" spans="2:8">
      <c r="B91" s="32"/>
      <c r="C91" s="7"/>
      <c r="D91" s="7"/>
      <c r="E91" s="7"/>
      <c r="F91" s="7"/>
      <c r="H91" s="8"/>
    </row>
    <row r="92" spans="2:8">
      <c r="B92" s="32"/>
      <c r="C92" s="7"/>
      <c r="D92" s="7"/>
      <c r="E92" s="7"/>
      <c r="F92" s="7"/>
      <c r="H92" s="8"/>
    </row>
    <row r="93" spans="2:8">
      <c r="B93" s="32"/>
      <c r="C93" s="7"/>
      <c r="D93" s="7"/>
      <c r="E93" s="7"/>
      <c r="F93" s="7"/>
      <c r="H93" s="8"/>
    </row>
    <row r="94" spans="2:8">
      <c r="B94" s="32"/>
      <c r="C94" s="7"/>
      <c r="D94" s="7"/>
      <c r="E94" s="7"/>
      <c r="F94" s="7"/>
      <c r="H94" s="8"/>
    </row>
    <row r="95" spans="2:8">
      <c r="B95" s="32"/>
      <c r="C95" s="7"/>
      <c r="D95" s="7"/>
      <c r="E95" s="7"/>
      <c r="F95" s="7"/>
      <c r="H95" s="8"/>
    </row>
    <row r="96" spans="2:8">
      <c r="B96" s="32"/>
      <c r="C96" s="7"/>
      <c r="D96" s="7"/>
      <c r="E96" s="7"/>
      <c r="F96" s="7"/>
      <c r="H96" s="8"/>
    </row>
    <row r="97" spans="2:8">
      <c r="B97" s="32"/>
      <c r="C97" s="7"/>
      <c r="D97" s="7"/>
      <c r="E97" s="7"/>
      <c r="F97" s="7"/>
      <c r="H97" s="8"/>
    </row>
    <row r="98" spans="2:8">
      <c r="B98" s="32"/>
      <c r="C98" s="7"/>
      <c r="D98" s="7"/>
      <c r="E98" s="7"/>
      <c r="F98" s="7"/>
      <c r="H98" s="8"/>
    </row>
    <row r="99" spans="2:8">
      <c r="B99" s="32"/>
      <c r="C99" s="7"/>
      <c r="D99" s="7"/>
      <c r="E99" s="7"/>
      <c r="F99" s="7"/>
      <c r="H99" s="8"/>
    </row>
    <row r="100" spans="2:8">
      <c r="B100" s="32"/>
      <c r="C100" s="7"/>
      <c r="D100" s="7"/>
      <c r="E100" s="7"/>
      <c r="F100" s="7"/>
      <c r="H100" s="8"/>
    </row>
    <row r="101" spans="2:8">
      <c r="B101" s="32"/>
      <c r="C101" s="7"/>
      <c r="D101" s="7"/>
      <c r="E101" s="7"/>
      <c r="F101" s="7"/>
      <c r="H101" s="8"/>
    </row>
    <row r="102" spans="2:8">
      <c r="B102" s="32"/>
      <c r="C102" s="7"/>
      <c r="D102" s="7"/>
      <c r="E102" s="7"/>
      <c r="F102" s="7"/>
      <c r="H102" s="8"/>
    </row>
    <row r="103" spans="2:8">
      <c r="B103" s="32"/>
      <c r="C103" s="7"/>
      <c r="D103" s="7"/>
      <c r="E103" s="7"/>
      <c r="F103" s="7"/>
      <c r="H103" s="8"/>
    </row>
    <row r="104" spans="2:8">
      <c r="B104" s="32"/>
      <c r="C104" s="7"/>
      <c r="D104" s="7"/>
      <c r="E104" s="7"/>
      <c r="F104" s="7"/>
      <c r="H104" s="8"/>
    </row>
    <row r="105" spans="2:8">
      <c r="B105" s="32"/>
      <c r="C105" s="7"/>
      <c r="D105" s="7"/>
      <c r="E105" s="7"/>
      <c r="F105" s="7"/>
      <c r="H105" s="8"/>
    </row>
    <row r="106" spans="2:8">
      <c r="B106" s="32"/>
      <c r="C106" s="7"/>
      <c r="D106" s="7"/>
      <c r="E106" s="7"/>
      <c r="F106" s="7"/>
      <c r="H106" s="8"/>
    </row>
    <row r="107" spans="2:8">
      <c r="B107" s="32"/>
      <c r="C107" s="7"/>
      <c r="D107" s="7"/>
      <c r="E107" s="7"/>
      <c r="F107" s="7"/>
      <c r="H107" s="8"/>
    </row>
    <row r="108" spans="2:8">
      <c r="B108" s="32"/>
      <c r="C108" s="7"/>
      <c r="D108" s="7"/>
      <c r="E108" s="7"/>
      <c r="F108" s="7"/>
    </row>
    <row r="109" spans="2:8">
      <c r="B109" s="32"/>
      <c r="C109" s="7"/>
      <c r="D109" s="7"/>
      <c r="E109" s="7"/>
      <c r="F109" s="7"/>
    </row>
    <row r="110" spans="2:8">
      <c r="B110" s="32"/>
      <c r="C110" s="7"/>
      <c r="D110" s="7"/>
      <c r="E110" s="7"/>
      <c r="F110" s="7"/>
    </row>
    <row r="111" spans="2:8">
      <c r="B111" s="32"/>
      <c r="C111" s="7"/>
      <c r="D111" s="7"/>
      <c r="E111" s="7"/>
      <c r="F111" s="7"/>
    </row>
    <row r="112" spans="2:8">
      <c r="B112" s="32"/>
      <c r="C112" s="7"/>
      <c r="D112" s="7"/>
      <c r="E112" s="7"/>
      <c r="F112" s="7"/>
    </row>
    <row r="113" spans="2:6">
      <c r="B113" s="32"/>
      <c r="C113" s="7"/>
      <c r="D113" s="7"/>
      <c r="E113" s="7"/>
      <c r="F113" s="7"/>
    </row>
    <row r="114" spans="2:6">
      <c r="B114" s="32"/>
    </row>
    <row r="115" spans="2:6">
      <c r="B115" s="32"/>
    </row>
    <row r="116" spans="2:6">
      <c r="B116" s="32"/>
    </row>
    <row r="117" spans="2:6">
      <c r="B117" s="32"/>
    </row>
    <row r="118" spans="2:6">
      <c r="B118" s="32"/>
    </row>
    <row r="119" spans="2:6">
      <c r="B119" s="32"/>
    </row>
    <row r="120" spans="2:6">
      <c r="B120" s="32"/>
    </row>
    <row r="121" spans="2:6">
      <c r="B121" s="32"/>
    </row>
    <row r="122" spans="2:6">
      <c r="B122" s="32"/>
    </row>
    <row r="123" spans="2:6">
      <c r="B123" s="32"/>
    </row>
    <row r="124" spans="2:6">
      <c r="B124" s="32"/>
    </row>
    <row r="125" spans="2:6">
      <c r="B125" s="32"/>
    </row>
    <row r="126" spans="2:6">
      <c r="B126" s="32"/>
    </row>
    <row r="127" spans="2:6">
      <c r="B127" s="32"/>
    </row>
    <row r="128" spans="2:6">
      <c r="B128" s="32"/>
      <c r="C128" s="56"/>
      <c r="D128" s="56"/>
      <c r="E128" s="56"/>
      <c r="F128" s="56"/>
    </row>
    <row r="129" spans="2:6">
      <c r="B129" s="32"/>
      <c r="C129" s="56"/>
      <c r="D129" s="56"/>
      <c r="E129" s="56"/>
      <c r="F129" s="56"/>
    </row>
    <row r="130" spans="2:6">
      <c r="B130" s="32"/>
      <c r="C130" s="56"/>
      <c r="D130" s="56"/>
      <c r="E130" s="56"/>
      <c r="F130" s="56"/>
    </row>
    <row r="131" spans="2:6">
      <c r="B131" s="32"/>
      <c r="C131" s="56"/>
      <c r="D131" s="56"/>
      <c r="E131" s="56"/>
      <c r="F131" s="56"/>
    </row>
    <row r="132" spans="2:6">
      <c r="B132" s="32"/>
      <c r="C132" s="56"/>
      <c r="D132" s="56"/>
      <c r="E132" s="56"/>
      <c r="F132" s="56"/>
    </row>
    <row r="133" spans="2:6">
      <c r="B133" s="32"/>
      <c r="C133" s="56"/>
      <c r="D133" s="56"/>
      <c r="E133" s="56"/>
      <c r="F133" s="56"/>
    </row>
    <row r="134" spans="2:6">
      <c r="B134" s="32"/>
      <c r="C134" s="56"/>
      <c r="D134" s="56"/>
      <c r="E134" s="56"/>
      <c r="F134" s="56"/>
    </row>
    <row r="135" spans="2:6">
      <c r="B135" s="32"/>
      <c r="C135" s="56"/>
      <c r="D135" s="56"/>
      <c r="E135" s="56"/>
      <c r="F135" s="56"/>
    </row>
    <row r="136" spans="2:6">
      <c r="B136" s="32"/>
      <c r="C136" s="56"/>
      <c r="D136" s="56"/>
      <c r="E136" s="56"/>
      <c r="F136" s="56"/>
    </row>
    <row r="137" spans="2:6">
      <c r="B137" s="32"/>
      <c r="C137" s="56"/>
      <c r="D137" s="56"/>
      <c r="E137" s="56"/>
      <c r="F137" s="56"/>
    </row>
    <row r="138" spans="2:6">
      <c r="B138" s="32"/>
      <c r="C138" s="56"/>
      <c r="D138" s="56"/>
      <c r="E138" s="56"/>
      <c r="F138" s="56"/>
    </row>
    <row r="139" spans="2:6">
      <c r="B139" s="32"/>
      <c r="C139" s="56"/>
      <c r="D139" s="56"/>
      <c r="E139" s="56"/>
      <c r="F139" s="56"/>
    </row>
    <row r="140" spans="2:6">
      <c r="B140" s="32"/>
      <c r="C140" s="56"/>
      <c r="D140" s="56"/>
      <c r="E140" s="56"/>
      <c r="F140" s="56"/>
    </row>
    <row r="141" spans="2:6">
      <c r="B141" s="32"/>
      <c r="C141" s="56"/>
      <c r="D141" s="56"/>
      <c r="E141" s="56"/>
      <c r="F141" s="56"/>
    </row>
    <row r="142" spans="2:6">
      <c r="B142" s="32"/>
      <c r="C142" s="56"/>
      <c r="D142" s="56"/>
      <c r="E142" s="56"/>
      <c r="F142" s="56"/>
    </row>
    <row r="143" spans="2:6">
      <c r="B143" s="32"/>
      <c r="C143" s="56"/>
      <c r="D143" s="56"/>
      <c r="E143" s="56"/>
      <c r="F143" s="56"/>
    </row>
    <row r="144" spans="2:6">
      <c r="B144" s="32"/>
      <c r="C144" s="56"/>
      <c r="D144" s="56"/>
      <c r="E144" s="56"/>
      <c r="F144" s="56"/>
    </row>
    <row r="145" spans="2:6">
      <c r="B145" s="32"/>
      <c r="C145" s="56"/>
      <c r="D145" s="56"/>
      <c r="E145" s="56"/>
      <c r="F145" s="56"/>
    </row>
    <row r="146" spans="2:6">
      <c r="B146" s="32"/>
      <c r="C146" s="56"/>
      <c r="D146" s="56"/>
      <c r="E146" s="56"/>
      <c r="F146" s="56"/>
    </row>
    <row r="147" spans="2:6">
      <c r="B147" s="32"/>
      <c r="C147" s="56"/>
      <c r="D147" s="56"/>
      <c r="E147" s="56"/>
      <c r="F147" s="56"/>
    </row>
    <row r="148" spans="2:6">
      <c r="B148" s="32"/>
      <c r="C148" s="56"/>
      <c r="D148" s="56"/>
      <c r="E148" s="56"/>
      <c r="F148" s="56"/>
    </row>
    <row r="149" spans="2:6">
      <c r="B149" s="32"/>
      <c r="C149" s="56"/>
      <c r="D149" s="56"/>
      <c r="E149" s="56"/>
      <c r="F149" s="56"/>
    </row>
    <row r="150" spans="2:6">
      <c r="B150" s="32"/>
      <c r="C150" s="56"/>
      <c r="D150" s="56"/>
      <c r="E150" s="56"/>
      <c r="F150" s="56"/>
    </row>
    <row r="151" spans="2:6">
      <c r="B151" s="32"/>
      <c r="C151" s="56"/>
      <c r="D151" s="56"/>
      <c r="E151" s="56"/>
      <c r="F151" s="56"/>
    </row>
    <row r="152" spans="2:6">
      <c r="B152" s="32"/>
      <c r="C152" s="56"/>
      <c r="D152" s="56"/>
      <c r="E152" s="56"/>
      <c r="F152" s="56"/>
    </row>
    <row r="153" spans="2:6">
      <c r="B153" s="32"/>
      <c r="C153" s="56"/>
      <c r="D153" s="56"/>
      <c r="E153" s="56"/>
      <c r="F153" s="56"/>
    </row>
    <row r="154" spans="2:6">
      <c r="B154" s="32"/>
      <c r="C154" s="56"/>
      <c r="D154" s="56"/>
      <c r="E154" s="56"/>
      <c r="F154" s="56"/>
    </row>
    <row r="155" spans="2:6">
      <c r="B155" s="32"/>
      <c r="C155" s="56"/>
      <c r="D155" s="56"/>
      <c r="E155" s="56"/>
      <c r="F155" s="56"/>
    </row>
    <row r="156" spans="2:6">
      <c r="B156" s="32"/>
      <c r="C156" s="56"/>
      <c r="D156" s="56"/>
      <c r="E156" s="56"/>
      <c r="F156" s="56"/>
    </row>
    <row r="157" spans="2:6">
      <c r="B157" s="32"/>
      <c r="C157" s="56"/>
      <c r="D157" s="56"/>
      <c r="E157" s="56"/>
      <c r="F157" s="56"/>
    </row>
    <row r="158" spans="2:6">
      <c r="B158" s="32"/>
      <c r="C158" s="56"/>
      <c r="D158" s="56"/>
      <c r="E158" s="56"/>
      <c r="F158" s="56"/>
    </row>
    <row r="159" spans="2:6">
      <c r="B159" s="32"/>
      <c r="C159" s="56"/>
      <c r="D159" s="56"/>
      <c r="E159" s="56"/>
      <c r="F159" s="56"/>
    </row>
    <row r="160" spans="2:6">
      <c r="B160" s="32"/>
      <c r="C160" s="56"/>
      <c r="D160" s="56"/>
      <c r="E160" s="56"/>
      <c r="F160" s="56"/>
    </row>
    <row r="161" spans="2:6">
      <c r="B161" s="32"/>
      <c r="C161" s="56"/>
      <c r="D161" s="56"/>
      <c r="E161" s="56"/>
      <c r="F161" s="56"/>
    </row>
    <row r="162" spans="2:6">
      <c r="B162" s="32"/>
      <c r="C162" s="56"/>
      <c r="D162" s="56"/>
      <c r="E162" s="56"/>
      <c r="F162" s="56"/>
    </row>
    <row r="163" spans="2:6">
      <c r="B163" s="32"/>
      <c r="C163" s="56"/>
      <c r="D163" s="56"/>
      <c r="E163" s="56"/>
      <c r="F163" s="56"/>
    </row>
    <row r="164" spans="2:6">
      <c r="B164" s="32"/>
      <c r="C164" s="56"/>
      <c r="D164" s="56"/>
      <c r="E164" s="56"/>
      <c r="F164" s="56"/>
    </row>
    <row r="165" spans="2:6">
      <c r="B165" s="32"/>
      <c r="C165" s="56"/>
      <c r="D165" s="56"/>
      <c r="E165" s="56"/>
      <c r="F165" s="56"/>
    </row>
    <row r="166" spans="2:6">
      <c r="B166" s="32"/>
      <c r="C166" s="56"/>
      <c r="D166" s="56"/>
      <c r="E166" s="56"/>
      <c r="F166" s="56"/>
    </row>
    <row r="167" spans="2:6">
      <c r="B167" s="32"/>
      <c r="C167" s="56"/>
      <c r="D167" s="56"/>
      <c r="E167" s="56"/>
      <c r="F167" s="56"/>
    </row>
    <row r="168" spans="2:6">
      <c r="C168" s="56"/>
      <c r="D168" s="56"/>
      <c r="E168" s="56"/>
      <c r="F168" s="56"/>
    </row>
    <row r="169" spans="2:6">
      <c r="C169" s="56"/>
      <c r="D169" s="56"/>
      <c r="E169" s="56"/>
      <c r="F169" s="56"/>
    </row>
    <row r="170" spans="2:6">
      <c r="C170" s="56"/>
      <c r="D170" s="56"/>
      <c r="E170" s="56"/>
      <c r="F170" s="56"/>
    </row>
    <row r="171" spans="2:6">
      <c r="C171" s="56"/>
      <c r="D171" s="56"/>
      <c r="E171" s="56"/>
      <c r="F171" s="56"/>
    </row>
  </sheetData>
  <phoneticPr fontId="0" type="noConversion"/>
  <printOptions headings="1" gridLines="1"/>
  <pageMargins left="0.63" right="0.62" top="1" bottom="1" header="0.5" footer="0.5"/>
  <pageSetup scale="61" orientation="landscape" r:id="rId1"/>
  <headerFooter alignWithMargins="0">
    <oddFooter>&amp;L&amp;D &amp;T&amp;C&amp;P of &amp;N&amp;R&amp;F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0000"/>
  </sheetPr>
  <dimension ref="A1:H85"/>
  <sheetViews>
    <sheetView topLeftCell="B1" workbookViewId="0">
      <pane xSplit="1" ySplit="8" topLeftCell="C24" activePane="bottomRight" state="frozen"/>
      <selection activeCell="B87" sqref="B87"/>
      <selection pane="topRight" activeCell="B87" sqref="B87"/>
      <selection pane="bottomLeft" activeCell="B87" sqref="B87"/>
      <selection pane="bottomRight" activeCell="F41" sqref="F41"/>
    </sheetView>
  </sheetViews>
  <sheetFormatPr defaultRowHeight="12.75"/>
  <cols>
    <col min="1" max="1" width="9.28515625" customWidth="1"/>
    <col min="2" max="2" width="49.5703125" customWidth="1"/>
    <col min="3" max="6" width="10.28515625" customWidth="1"/>
    <col min="7" max="7" width="23.28515625" customWidth="1"/>
    <col min="8" max="8" width="28" customWidth="1"/>
  </cols>
  <sheetData>
    <row r="1" spans="1:8">
      <c r="A1" t="s">
        <v>81</v>
      </c>
      <c r="B1" s="20" t="s">
        <v>133</v>
      </c>
    </row>
    <row r="3" spans="1:8">
      <c r="C3" s="8"/>
    </row>
    <row r="8" spans="1:8">
      <c r="A8" s="2" t="s">
        <v>28</v>
      </c>
      <c r="B8" s="2" t="s">
        <v>68</v>
      </c>
      <c r="C8" s="3" t="s">
        <v>110</v>
      </c>
      <c r="D8" s="3" t="s">
        <v>111</v>
      </c>
      <c r="E8" s="3" t="s">
        <v>112</v>
      </c>
      <c r="F8" s="3" t="s">
        <v>113</v>
      </c>
      <c r="G8" s="3" t="s">
        <v>26</v>
      </c>
      <c r="H8" s="4" t="s">
        <v>36</v>
      </c>
    </row>
    <row r="9" spans="1:8">
      <c r="B9" t="str">
        <f>MLIST!D9</f>
        <v>Pin Lamps - New</v>
      </c>
      <c r="C9" s="93">
        <v>0</v>
      </c>
      <c r="D9" s="93">
        <v>0</v>
      </c>
      <c r="E9" s="93">
        <v>0</v>
      </c>
      <c r="F9" s="93">
        <v>0</v>
      </c>
    </row>
    <row r="10" spans="1:8">
      <c r="B10" t="str">
        <f>MLIST!D10</f>
        <v>Pin Lamps - NR</v>
      </c>
      <c r="C10" s="93">
        <v>0</v>
      </c>
      <c r="D10" s="93">
        <v>0</v>
      </c>
      <c r="E10" s="93">
        <v>0</v>
      </c>
      <c r="F10" s="93">
        <v>0</v>
      </c>
      <c r="G10" s="8">
        <v>0</v>
      </c>
      <c r="H10" s="19"/>
    </row>
    <row r="11" spans="1:8">
      <c r="B11" t="str">
        <f>MLIST!D11</f>
        <v>Lamps - NR</v>
      </c>
      <c r="C11" s="93">
        <f>(1-'[5]Fixture Turnovers'!$M$100)</f>
        <v>0.60607460709662941</v>
      </c>
      <c r="D11" s="93">
        <f>(1-'[5]Fixture Turnovers'!$M$100)</f>
        <v>0.60607460709662941</v>
      </c>
      <c r="E11" s="93">
        <f>(1-'[5]Fixture Turnovers'!$M$100)</f>
        <v>0.60607460709662941</v>
      </c>
      <c r="F11" s="93">
        <f>(1-'[5]Fixture Turnovers'!$M$100)</f>
        <v>0.60607460709662941</v>
      </c>
      <c r="G11" s="8" t="s">
        <v>605</v>
      </c>
    </row>
    <row r="12" spans="1:8">
      <c r="B12" t="str">
        <f>MLIST!D12</f>
        <v>Dishwasher - New</v>
      </c>
      <c r="C12" s="93">
        <v>0.9</v>
      </c>
      <c r="D12" s="93">
        <v>0.9</v>
      </c>
      <c r="E12" s="93">
        <v>0.9</v>
      </c>
      <c r="F12" s="93">
        <v>0.9</v>
      </c>
      <c r="G12" s="8" t="s">
        <v>535</v>
      </c>
    </row>
    <row r="13" spans="1:8">
      <c r="B13" t="str">
        <f>MLIST!D13</f>
        <v>Dishwasher - NR</v>
      </c>
      <c r="C13" s="93">
        <v>0.9</v>
      </c>
      <c r="D13" s="93">
        <v>0.9</v>
      </c>
      <c r="E13" s="93">
        <v>0.9</v>
      </c>
      <c r="F13" s="93">
        <v>0.9</v>
      </c>
      <c r="G13" s="8" t="s">
        <v>535</v>
      </c>
    </row>
    <row r="14" spans="1:8">
      <c r="B14" t="str">
        <f>MLIST!D14</f>
        <v>Clothes Washer - New</v>
      </c>
      <c r="C14" s="93">
        <v>0</v>
      </c>
      <c r="D14" s="93">
        <v>0</v>
      </c>
      <c r="E14" s="93">
        <v>0</v>
      </c>
      <c r="F14" s="93">
        <v>0</v>
      </c>
      <c r="G14" s="8" t="s">
        <v>500</v>
      </c>
    </row>
    <row r="15" spans="1:8">
      <c r="B15" t="str">
        <f>MLIST!D15</f>
        <v>Clothes Washer - NR</v>
      </c>
      <c r="C15" s="93">
        <v>0</v>
      </c>
      <c r="D15" s="93">
        <v>0</v>
      </c>
      <c r="E15" s="93">
        <v>0</v>
      </c>
      <c r="F15" s="93">
        <v>0</v>
      </c>
      <c r="G15" s="8" t="s">
        <v>500</v>
      </c>
    </row>
    <row r="16" spans="1:8">
      <c r="B16" t="str">
        <f>MLIST!D16</f>
        <v>WasteWater Heat Recovery - New</v>
      </c>
      <c r="C16" s="93">
        <v>5.0000000000000001E-3</v>
      </c>
      <c r="D16" s="93">
        <v>5.0000000000000001E-3</v>
      </c>
      <c r="E16" s="93">
        <v>5.0000000000000001E-3</v>
      </c>
      <c r="F16" s="93">
        <v>5.0000000000000001E-3</v>
      </c>
      <c r="G16" s="8" t="s">
        <v>514</v>
      </c>
    </row>
    <row r="17" spans="1:7">
      <c r="B17" t="str">
        <f>MLIST!D17</f>
        <v>Showerheads - New</v>
      </c>
      <c r="C17" s="93">
        <v>0.45</v>
      </c>
      <c r="D17" s="93">
        <v>0.6</v>
      </c>
      <c r="E17" s="93">
        <v>0.76</v>
      </c>
      <c r="F17" s="93">
        <v>0.41</v>
      </c>
      <c r="G17" s="8" t="s">
        <v>470</v>
      </c>
    </row>
    <row r="18" spans="1:7">
      <c r="B18" t="str">
        <f>MLIST!D18</f>
        <v>Showerheads - NR</v>
      </c>
      <c r="C18" s="93">
        <v>0.52</v>
      </c>
      <c r="D18" s="93">
        <v>0.57999999999999996</v>
      </c>
      <c r="E18" s="93">
        <v>0.72</v>
      </c>
      <c r="F18" s="93">
        <v>0.43</v>
      </c>
      <c r="G18" s="8" t="s">
        <v>470</v>
      </c>
    </row>
    <row r="19" spans="1:7">
      <c r="B19" t="str">
        <f>MLIST!D19</f>
        <v>TSRV - New</v>
      </c>
      <c r="C19" s="111">
        <v>0.01</v>
      </c>
      <c r="D19" s="111">
        <v>0.01</v>
      </c>
      <c r="E19" s="111">
        <v>0.01</v>
      </c>
      <c r="F19" s="111">
        <v>0.01</v>
      </c>
      <c r="G19" s="8" t="s">
        <v>475</v>
      </c>
    </row>
    <row r="20" spans="1:7">
      <c r="B20" t="str">
        <f>MLIST!D20</f>
        <v>TSRV - Retro</v>
      </c>
      <c r="C20" s="111">
        <v>0.01</v>
      </c>
      <c r="D20" s="111">
        <v>0.01</v>
      </c>
      <c r="E20" s="111">
        <v>0.01</v>
      </c>
      <c r="F20" s="111">
        <v>0.01</v>
      </c>
      <c r="G20" s="8" t="s">
        <v>475</v>
      </c>
    </row>
    <row r="21" spans="1:7">
      <c r="B21" t="str">
        <f>MLIST!D21</f>
        <v>HPWH - New</v>
      </c>
      <c r="C21" s="111">
        <v>0.1</v>
      </c>
      <c r="D21" s="93">
        <v>0.1</v>
      </c>
      <c r="E21" s="93">
        <v>0.1</v>
      </c>
      <c r="F21" s="93">
        <f>C21</f>
        <v>0.1</v>
      </c>
      <c r="G21" s="8" t="s">
        <v>600</v>
      </c>
    </row>
    <row r="22" spans="1:7" s="8" customFormat="1">
      <c r="A22"/>
      <c r="B22" t="str">
        <f>MLIST!D22</f>
        <v>HPWH - NR</v>
      </c>
      <c r="C22" s="111">
        <f>(0.0159+0.0462+0.0154)*45%</f>
        <v>3.4875000000000003E-2</v>
      </c>
      <c r="D22" s="93">
        <v>0</v>
      </c>
      <c r="E22" s="93">
        <v>0</v>
      </c>
      <c r="F22" s="93">
        <f>C22</f>
        <v>3.4875000000000003E-2</v>
      </c>
      <c r="G22" s="8" t="s">
        <v>601</v>
      </c>
    </row>
    <row r="23" spans="1:7" s="8" customFormat="1">
      <c r="A23"/>
      <c r="B23" t="str">
        <f>MLIST!D23</f>
        <v>Aerator - New</v>
      </c>
      <c r="C23" s="95">
        <v>0</v>
      </c>
      <c r="D23" s="95">
        <v>0</v>
      </c>
      <c r="E23" s="95">
        <v>0</v>
      </c>
      <c r="F23" s="95">
        <v>0</v>
      </c>
      <c r="G23" s="8" t="s">
        <v>469</v>
      </c>
    </row>
    <row r="24" spans="1:7">
      <c r="B24" t="str">
        <f>MLIST!D24</f>
        <v>Aerator - Retro</v>
      </c>
      <c r="C24" s="95">
        <v>0</v>
      </c>
      <c r="D24" s="95">
        <v>0</v>
      </c>
      <c r="E24" s="95">
        <v>0</v>
      </c>
      <c r="F24" s="95">
        <v>0</v>
      </c>
      <c r="G24" s="8" t="s">
        <v>469</v>
      </c>
    </row>
    <row r="25" spans="1:7">
      <c r="B25" t="str">
        <f>MLIST!D25</f>
        <v>WH Pipe insulation - New</v>
      </c>
      <c r="C25" s="93">
        <v>1</v>
      </c>
      <c r="D25" s="93">
        <v>1</v>
      </c>
      <c r="E25" s="93">
        <v>1</v>
      </c>
      <c r="F25" s="93">
        <v>1</v>
      </c>
      <c r="G25" s="8" t="s">
        <v>541</v>
      </c>
    </row>
    <row r="26" spans="1:7">
      <c r="B26" t="str">
        <f>MLIST!D26</f>
        <v>WH Pipe insulation - Retro</v>
      </c>
      <c r="C26" s="93">
        <v>0.22</v>
      </c>
      <c r="D26" s="93">
        <v>0.08</v>
      </c>
      <c r="E26" s="93">
        <v>0.08</v>
      </c>
      <c r="F26" s="93">
        <v>0.17</v>
      </c>
      <c r="G26" s="8" t="s">
        <v>483</v>
      </c>
    </row>
    <row r="27" spans="1:7">
      <c r="B27" t="str">
        <f>MLIST!D27</f>
        <v>Circulators - New</v>
      </c>
      <c r="C27" s="95"/>
      <c r="D27" s="95"/>
      <c r="E27" s="95"/>
      <c r="F27" s="95"/>
      <c r="G27" s="8"/>
    </row>
    <row r="28" spans="1:7">
      <c r="B28" t="str">
        <f>MLIST!D28</f>
        <v>Circulators - NR</v>
      </c>
      <c r="C28" s="95"/>
      <c r="D28" s="95"/>
      <c r="E28" s="95"/>
      <c r="F28" s="95"/>
      <c r="G28" s="8"/>
    </row>
    <row r="29" spans="1:7">
      <c r="B29" t="str">
        <f>MLIST!D29</f>
        <v>Clothes Dryer - New</v>
      </c>
      <c r="C29" s="95">
        <v>0</v>
      </c>
      <c r="D29" s="95">
        <v>0</v>
      </c>
      <c r="E29" s="95">
        <v>0</v>
      </c>
      <c r="F29" s="95">
        <v>0</v>
      </c>
      <c r="G29" s="8" t="s">
        <v>499</v>
      </c>
    </row>
    <row r="30" spans="1:7">
      <c r="B30" t="str">
        <f>MLIST!D30</f>
        <v>Clothes Dryer - NR</v>
      </c>
      <c r="C30" s="93">
        <v>0</v>
      </c>
      <c r="D30" s="93">
        <v>0</v>
      </c>
      <c r="E30" s="93">
        <v>0</v>
      </c>
      <c r="F30" s="93">
        <v>0</v>
      </c>
      <c r="G30" s="8" t="s">
        <v>499</v>
      </c>
    </row>
    <row r="31" spans="1:7">
      <c r="B31" t="str">
        <f>MLIST!D31</f>
        <v>Refrigerator - New</v>
      </c>
      <c r="C31" s="95">
        <v>0</v>
      </c>
      <c r="D31" s="95">
        <v>0</v>
      </c>
      <c r="E31" s="95">
        <v>0</v>
      </c>
      <c r="F31" s="95">
        <v>0</v>
      </c>
      <c r="G31" s="8" t="s">
        <v>499</v>
      </c>
    </row>
    <row r="32" spans="1:7">
      <c r="B32" t="str">
        <f>MLIST!D32</f>
        <v>Refrigerator - NR</v>
      </c>
      <c r="C32" s="93">
        <v>0</v>
      </c>
      <c r="D32" s="93">
        <v>0</v>
      </c>
      <c r="E32" s="93">
        <v>0</v>
      </c>
      <c r="F32" s="93">
        <v>0</v>
      </c>
      <c r="G32" s="8" t="s">
        <v>499</v>
      </c>
    </row>
    <row r="33" spans="2:7">
      <c r="B33" t="str">
        <f>MLIST!D33</f>
        <v>Freezer - New</v>
      </c>
      <c r="C33" s="95">
        <v>0</v>
      </c>
      <c r="D33" s="95">
        <v>0</v>
      </c>
      <c r="E33" s="95">
        <v>0</v>
      </c>
      <c r="F33" s="95">
        <v>0</v>
      </c>
      <c r="G33" s="8" t="s">
        <v>499</v>
      </c>
    </row>
    <row r="34" spans="2:7">
      <c r="B34" t="str">
        <f>MLIST!D34</f>
        <v>Freezer - NR</v>
      </c>
      <c r="C34" s="95">
        <v>0</v>
      </c>
      <c r="D34" s="95">
        <v>0</v>
      </c>
      <c r="E34" s="95">
        <v>0</v>
      </c>
      <c r="F34" s="95">
        <v>0</v>
      </c>
      <c r="G34" s="8" t="s">
        <v>499</v>
      </c>
    </row>
    <row r="35" spans="2:7">
      <c r="B35" t="str">
        <f>MLIST!D35</f>
        <v>Electric Oven - New</v>
      </c>
      <c r="C35" s="95">
        <v>0</v>
      </c>
      <c r="D35" s="95">
        <v>0</v>
      </c>
      <c r="E35" s="95">
        <v>0</v>
      </c>
      <c r="F35" s="95">
        <v>0</v>
      </c>
      <c r="G35" s="8" t="s">
        <v>499</v>
      </c>
    </row>
    <row r="36" spans="2:7">
      <c r="B36" t="str">
        <f>MLIST!D36</f>
        <v>Electric Oven - NR</v>
      </c>
      <c r="C36" s="95">
        <v>0</v>
      </c>
      <c r="D36" s="95">
        <v>0</v>
      </c>
      <c r="E36" s="95">
        <v>0</v>
      </c>
      <c r="F36" s="95">
        <v>0</v>
      </c>
      <c r="G36" s="8" t="s">
        <v>499</v>
      </c>
    </row>
    <row r="37" spans="2:7">
      <c r="B37" t="str">
        <f>MLIST!D37</f>
        <v>Microwave - New</v>
      </c>
      <c r="C37" s="95">
        <v>0.01</v>
      </c>
      <c r="D37" s="18">
        <v>0.01</v>
      </c>
      <c r="E37" s="18">
        <v>0.01</v>
      </c>
      <c r="F37" s="18">
        <v>0.01</v>
      </c>
      <c r="G37" s="8" t="s">
        <v>485</v>
      </c>
    </row>
    <row r="38" spans="2:7">
      <c r="B38" t="str">
        <f>MLIST!D38</f>
        <v>Microwave - NR</v>
      </c>
      <c r="C38" s="93">
        <v>0.01</v>
      </c>
      <c r="D38" s="93">
        <v>0.01</v>
      </c>
      <c r="E38" s="93">
        <v>0.01</v>
      </c>
      <c r="F38" s="93">
        <v>0.01</v>
      </c>
      <c r="G38" s="8" t="s">
        <v>485</v>
      </c>
    </row>
    <row r="39" spans="2:7">
      <c r="B39" t="str">
        <f>MLIST!D39</f>
        <v>Monitor - New</v>
      </c>
      <c r="C39" s="93">
        <v>0.26</v>
      </c>
      <c r="D39" s="93">
        <v>0.26</v>
      </c>
      <c r="E39" s="93">
        <v>0.26</v>
      </c>
      <c r="F39" s="93">
        <v>0.26</v>
      </c>
      <c r="G39" s="158" t="s">
        <v>671</v>
      </c>
    </row>
    <row r="40" spans="2:7">
      <c r="B40" t="str">
        <f>MLIST!D40</f>
        <v>Monitor - NR</v>
      </c>
      <c r="C40" s="93">
        <v>0.26</v>
      </c>
      <c r="D40" s="93">
        <v>0.26</v>
      </c>
      <c r="E40" s="93">
        <v>0.26</v>
      </c>
      <c r="F40" s="93">
        <v>0.26</v>
      </c>
      <c r="G40" s="158" t="s">
        <v>671</v>
      </c>
    </row>
    <row r="41" spans="2:7">
      <c r="B41" t="str">
        <f>MLIST!D41</f>
        <v>Desktop - New</v>
      </c>
      <c r="C41" s="95">
        <v>0.05</v>
      </c>
      <c r="D41" s="95">
        <v>0.05</v>
      </c>
      <c r="E41" s="95">
        <v>0.05</v>
      </c>
      <c r="F41" s="95">
        <v>0.05</v>
      </c>
      <c r="G41" s="8" t="s">
        <v>534</v>
      </c>
    </row>
    <row r="42" spans="2:7">
      <c r="B42" t="str">
        <f>MLIST!D42</f>
        <v>Desktop - NR</v>
      </c>
      <c r="C42" s="95">
        <v>0.05</v>
      </c>
      <c r="D42" s="95">
        <v>0.05</v>
      </c>
      <c r="E42" s="95">
        <v>0.05</v>
      </c>
      <c r="F42" s="95">
        <v>0.05</v>
      </c>
      <c r="G42" s="8" t="s">
        <v>534</v>
      </c>
    </row>
    <row r="43" spans="2:7">
      <c r="B43" t="str">
        <f>MLIST!D43</f>
        <v>Laptop - New</v>
      </c>
      <c r="C43" s="95">
        <v>0.05</v>
      </c>
      <c r="D43" s="95">
        <v>0.05</v>
      </c>
      <c r="E43" s="95">
        <v>0.05</v>
      </c>
      <c r="F43" s="95">
        <v>0.05</v>
      </c>
      <c r="G43" s="8" t="s">
        <v>534</v>
      </c>
    </row>
    <row r="44" spans="2:7">
      <c r="B44" t="str">
        <f>MLIST!D44</f>
        <v>Laptop - NR</v>
      </c>
      <c r="C44" s="95">
        <v>0.05</v>
      </c>
      <c r="D44" s="95">
        <v>0.05</v>
      </c>
      <c r="E44" s="95">
        <v>0.05</v>
      </c>
      <c r="F44" s="95">
        <v>0.05</v>
      </c>
      <c r="G44" s="8" t="s">
        <v>534</v>
      </c>
    </row>
    <row r="45" spans="2:7">
      <c r="C45" s="95"/>
      <c r="D45" s="95"/>
      <c r="E45" s="95"/>
      <c r="F45" s="95"/>
      <c r="G45" s="8"/>
    </row>
    <row r="46" spans="2:7">
      <c r="C46" s="93"/>
      <c r="D46" s="93"/>
      <c r="E46" s="93"/>
      <c r="F46" s="93"/>
      <c r="G46" s="8"/>
    </row>
    <row r="47" spans="2:7">
      <c r="B47" t="str">
        <f>MLIST!D47</f>
        <v>Advanced Power Strips - New</v>
      </c>
      <c r="C47" s="93">
        <v>2.1999999999999999E-2</v>
      </c>
      <c r="D47" s="93">
        <v>3.1E-2</v>
      </c>
      <c r="E47" s="93">
        <v>5.0000000000000001E-3</v>
      </c>
      <c r="F47" s="93">
        <v>1.7999999999999999E-2</v>
      </c>
      <c r="G47" s="8" t="s">
        <v>483</v>
      </c>
    </row>
    <row r="48" spans="2:7">
      <c r="B48" t="str">
        <f>MLIST!D48</f>
        <v>Advanced Power Strips - Retro</v>
      </c>
      <c r="C48" s="93">
        <v>2.1999999999999999E-2</v>
      </c>
      <c r="D48" s="93">
        <v>3.1E-2</v>
      </c>
      <c r="E48" s="93">
        <v>5.0000000000000001E-3</v>
      </c>
      <c r="F48" s="93">
        <v>1.7999999999999999E-2</v>
      </c>
      <c r="G48" s="8" t="s">
        <v>483</v>
      </c>
    </row>
    <row r="49" spans="2:7">
      <c r="B49" t="str">
        <f>MLIST!D49</f>
        <v>UHD TV - New</v>
      </c>
      <c r="C49" s="26">
        <v>0.12</v>
      </c>
      <c r="D49" s="26">
        <v>0.12</v>
      </c>
      <c r="E49" s="26">
        <v>0.12</v>
      </c>
      <c r="F49" s="26">
        <v>0.12</v>
      </c>
      <c r="G49" t="s">
        <v>538</v>
      </c>
    </row>
    <row r="50" spans="2:7">
      <c r="B50" t="str">
        <f>MLIST!D50</f>
        <v>UHD TV - NR</v>
      </c>
      <c r="C50" s="26">
        <v>0.12</v>
      </c>
      <c r="D50" s="26">
        <v>0.12</v>
      </c>
      <c r="E50" s="26">
        <v>0.12</v>
      </c>
      <c r="F50" s="26">
        <v>0.12</v>
      </c>
      <c r="G50" t="s">
        <v>538</v>
      </c>
    </row>
    <row r="51" spans="2:7">
      <c r="B51" t="str">
        <f>MLIST!D51</f>
        <v>Fixtures - New</v>
      </c>
      <c r="C51" s="26">
        <v>0</v>
      </c>
      <c r="D51" s="26">
        <v>0</v>
      </c>
      <c r="E51" s="26">
        <v>0</v>
      </c>
      <c r="F51" s="26">
        <v>0</v>
      </c>
      <c r="G51" t="s">
        <v>491</v>
      </c>
    </row>
    <row r="52" spans="2:7">
      <c r="B52" t="str">
        <f>MLIST!D52</f>
        <v>Fixtures - NR</v>
      </c>
      <c r="C52" s="26">
        <v>0</v>
      </c>
      <c r="D52" s="26">
        <v>0</v>
      </c>
      <c r="E52" s="26">
        <v>0</v>
      </c>
      <c r="F52" s="26">
        <v>0</v>
      </c>
      <c r="G52" t="s">
        <v>491</v>
      </c>
    </row>
    <row r="53" spans="2:7">
      <c r="B53" t="str">
        <f>MLIST!D53</f>
        <v>ASHP Upgrade - New</v>
      </c>
      <c r="C53" s="93">
        <v>0</v>
      </c>
      <c r="D53" s="93">
        <v>0</v>
      </c>
      <c r="E53" s="93">
        <v>0</v>
      </c>
      <c r="F53" s="93">
        <v>0</v>
      </c>
      <c r="G53" s="8"/>
    </row>
    <row r="54" spans="2:7">
      <c r="B54" t="str">
        <f>MLIST!D54</f>
        <v>ASHP Upgrade - NR</v>
      </c>
      <c r="C54" s="93">
        <v>0</v>
      </c>
      <c r="D54" s="93">
        <v>0</v>
      </c>
      <c r="E54" s="93">
        <v>0</v>
      </c>
      <c r="F54" s="93">
        <v>0</v>
      </c>
      <c r="G54" s="8" t="s">
        <v>559</v>
      </c>
    </row>
    <row r="55" spans="2:7">
      <c r="B55" t="str">
        <f>MLIST!D55</f>
        <v>ASHP Conversion - New</v>
      </c>
      <c r="C55" s="93">
        <v>0</v>
      </c>
      <c r="D55" s="93">
        <v>0</v>
      </c>
      <c r="E55" s="93">
        <v>0</v>
      </c>
      <c r="F55" s="93">
        <v>0</v>
      </c>
      <c r="G55" s="8"/>
    </row>
    <row r="56" spans="2:7">
      <c r="B56" t="str">
        <f>MLIST!D56</f>
        <v>ASHP Conversion - Retro</v>
      </c>
      <c r="C56" s="93">
        <v>0</v>
      </c>
      <c r="D56" s="93">
        <v>0</v>
      </c>
      <c r="E56" s="93">
        <v>0</v>
      </c>
      <c r="F56" s="93">
        <v>0</v>
      </c>
      <c r="G56" s="8" t="s">
        <v>559</v>
      </c>
    </row>
    <row r="57" spans="2:7">
      <c r="B57" t="str">
        <f>MLIST!D57</f>
        <v>DHP - New</v>
      </c>
      <c r="C57" s="93">
        <v>1</v>
      </c>
      <c r="D57" s="8">
        <v>0</v>
      </c>
      <c r="E57" s="8">
        <v>0</v>
      </c>
      <c r="F57" s="93">
        <v>1</v>
      </c>
      <c r="G57" s="8" t="s">
        <v>602</v>
      </c>
    </row>
    <row r="58" spans="2:7">
      <c r="B58" t="str">
        <f>MLIST!D58</f>
        <v>DHP - Retro</v>
      </c>
      <c r="C58" s="93">
        <v>2E-3</v>
      </c>
      <c r="D58" s="93">
        <v>2E-3</v>
      </c>
      <c r="E58" s="93">
        <v>2E-3</v>
      </c>
      <c r="F58" s="93">
        <v>2E-3</v>
      </c>
      <c r="G58" s="8" t="s">
        <v>542</v>
      </c>
    </row>
    <row r="59" spans="2:7">
      <c r="B59" t="str">
        <f>MLIST!D59</f>
        <v>DHP Ducted - Retro</v>
      </c>
      <c r="C59" s="104">
        <v>2E-3</v>
      </c>
      <c r="D59" s="104">
        <v>2E-3</v>
      </c>
      <c r="E59" s="104">
        <v>2E-3</v>
      </c>
      <c r="F59" s="104">
        <v>2E-3</v>
      </c>
      <c r="G59" s="8" t="s">
        <v>542</v>
      </c>
    </row>
    <row r="60" spans="2:7">
      <c r="B60" t="str">
        <f>MLIST!D60</f>
        <v>Duct Sealing - New</v>
      </c>
      <c r="C60" s="93">
        <v>0.57999999999999996</v>
      </c>
      <c r="D60" s="93">
        <v>0</v>
      </c>
      <c r="E60" s="93">
        <v>0</v>
      </c>
      <c r="F60" s="93">
        <v>0.5</v>
      </c>
      <c r="G60" s="8" t="s">
        <v>583</v>
      </c>
    </row>
    <row r="61" spans="2:7">
      <c r="B61" t="str">
        <f>MLIST!D61</f>
        <v>Duct Sealing - Retro</v>
      </c>
      <c r="C61" s="93">
        <v>0.57999999999999996</v>
      </c>
      <c r="D61" s="93">
        <v>0</v>
      </c>
      <c r="E61" s="93">
        <v>0</v>
      </c>
      <c r="F61" s="93">
        <v>0.5</v>
      </c>
      <c r="G61" s="8" t="s">
        <v>583</v>
      </c>
    </row>
    <row r="62" spans="2:7">
      <c r="B62" t="str">
        <f>MLIST!D62</f>
        <v>Smart tstats - New</v>
      </c>
      <c r="C62" s="93">
        <f>93%*15%</f>
        <v>0.13950000000000001</v>
      </c>
      <c r="D62" s="93">
        <v>0</v>
      </c>
      <c r="E62" s="93">
        <v>0</v>
      </c>
      <c r="F62" s="93">
        <f>7%*15%</f>
        <v>1.0500000000000001E-2</v>
      </c>
      <c r="G62" s="8" t="s">
        <v>607</v>
      </c>
    </row>
    <row r="63" spans="2:7">
      <c r="B63" t="str">
        <f>MLIST!D63</f>
        <v>Smart tstats - Retro</v>
      </c>
      <c r="C63" s="93">
        <f>93%*15%</f>
        <v>0.13950000000000001</v>
      </c>
      <c r="D63" s="93">
        <v>0</v>
      </c>
      <c r="E63" s="93">
        <v>0</v>
      </c>
      <c r="F63" s="93">
        <f>7%*15%</f>
        <v>1.0500000000000001E-2</v>
      </c>
      <c r="G63" s="8" t="s">
        <v>607</v>
      </c>
    </row>
    <row r="64" spans="2:7">
      <c r="B64" t="str">
        <f>MLIST!D64</f>
        <v>Cellular Shades - New</v>
      </c>
      <c r="C64" s="93">
        <v>0.2</v>
      </c>
      <c r="D64" s="93">
        <v>0.2</v>
      </c>
      <c r="E64" s="93">
        <v>0.2</v>
      </c>
      <c r="F64" s="93">
        <v>0.2</v>
      </c>
      <c r="G64" s="8" t="s">
        <v>628</v>
      </c>
    </row>
    <row r="65" spans="2:7">
      <c r="B65" t="str">
        <f>MLIST!D65</f>
        <v>Cellular Shades - Retro</v>
      </c>
      <c r="C65" s="93">
        <v>0.2</v>
      </c>
      <c r="D65" s="93">
        <v>0.2</v>
      </c>
      <c r="E65" s="93">
        <v>0.2</v>
      </c>
      <c r="F65" s="93">
        <v>0.2</v>
      </c>
      <c r="G65" s="8" t="s">
        <v>628</v>
      </c>
    </row>
    <row r="66" spans="2:7">
      <c r="B66" t="str">
        <f>MLIST!D66</f>
        <v>CAC - New</v>
      </c>
      <c r="C66" s="18">
        <v>0</v>
      </c>
      <c r="D66" s="18">
        <v>0</v>
      </c>
      <c r="E66" s="18">
        <v>0</v>
      </c>
      <c r="F66" s="18">
        <v>0</v>
      </c>
      <c r="G66" s="8" t="s">
        <v>573</v>
      </c>
    </row>
    <row r="67" spans="2:7">
      <c r="B67" t="str">
        <f>MLIST!D67</f>
        <v>CAC - NR</v>
      </c>
      <c r="C67" s="18">
        <v>0</v>
      </c>
      <c r="D67" s="18">
        <v>0</v>
      </c>
      <c r="E67" s="18">
        <v>0</v>
      </c>
      <c r="F67" s="18">
        <v>0</v>
      </c>
      <c r="G67" s="8" t="s">
        <v>573</v>
      </c>
    </row>
    <row r="68" spans="2:7">
      <c r="B68" t="str">
        <f>MLIST!D68</f>
        <v>Heat Recovery Ventilation - New</v>
      </c>
      <c r="C68" s="93">
        <v>0.05</v>
      </c>
      <c r="D68" s="93">
        <v>0</v>
      </c>
      <c r="E68" s="8">
        <v>0</v>
      </c>
      <c r="F68" s="8">
        <v>0</v>
      </c>
      <c r="G68" s="8" t="s">
        <v>578</v>
      </c>
    </row>
    <row r="69" spans="2:7">
      <c r="B69" t="str">
        <f>MLIST!D69</f>
        <v>GSHP - New</v>
      </c>
      <c r="C69" s="8"/>
      <c r="D69" s="8"/>
      <c r="E69" s="8"/>
      <c r="F69" s="8"/>
      <c r="G69" s="8"/>
    </row>
    <row r="70" spans="2:7">
      <c r="B70" t="str">
        <f>MLIST!D70</f>
        <v>GSHP - NR</v>
      </c>
      <c r="C70" s="8"/>
      <c r="D70" s="8"/>
      <c r="E70" s="8"/>
      <c r="F70" s="8"/>
      <c r="G70" s="8"/>
    </row>
    <row r="71" spans="2:7">
      <c r="B71" t="str">
        <f>MLIST!D71</f>
        <v>Whole House Fan - Retro</v>
      </c>
      <c r="C71" s="18">
        <f>[6]Mechanical_WholeHouseFan!$L$3</f>
        <v>2.8689745987573945E-2</v>
      </c>
      <c r="D71" s="18">
        <v>0</v>
      </c>
      <c r="E71" s="18">
        <v>0</v>
      </c>
      <c r="F71" s="18">
        <f>[6]Mechanical_WholeHouseFan!$M$3</f>
        <v>3.7132325292567117E-2</v>
      </c>
      <c r="G71" s="8" t="s">
        <v>516</v>
      </c>
    </row>
    <row r="72" spans="2:7">
      <c r="B72" t="str">
        <f>MLIST!D72</f>
        <v>Whole House Fan - New</v>
      </c>
      <c r="C72" s="18">
        <f>C71</f>
        <v>2.8689745987573945E-2</v>
      </c>
      <c r="D72" s="18">
        <f t="shared" ref="D72:F72" si="0">D71</f>
        <v>0</v>
      </c>
      <c r="E72" s="18">
        <f t="shared" si="0"/>
        <v>0</v>
      </c>
      <c r="F72" s="18">
        <f t="shared" si="0"/>
        <v>3.7132325292567117E-2</v>
      </c>
      <c r="G72" s="8" t="s">
        <v>517</v>
      </c>
    </row>
    <row r="73" spans="2:7">
      <c r="B73" t="str">
        <f>MLIST!D73</f>
        <v>Circulator Controls - New</v>
      </c>
      <c r="C73" s="8"/>
      <c r="D73" s="8"/>
      <c r="E73" s="8"/>
      <c r="F73" s="8"/>
      <c r="G73" s="8"/>
    </row>
    <row r="74" spans="2:7">
      <c r="B74" t="str">
        <f>MLIST!D74</f>
        <v>Circulator Controls - NR</v>
      </c>
      <c r="C74" s="93"/>
      <c r="D74" s="93"/>
      <c r="E74" s="93"/>
      <c r="F74" s="93"/>
      <c r="G74" s="8"/>
    </row>
    <row r="75" spans="2:7">
      <c r="B75" t="str">
        <f>MLIST!D75</f>
        <v>Behavior - Retro</v>
      </c>
      <c r="C75" s="18">
        <v>0</v>
      </c>
      <c r="D75" s="18">
        <v>0</v>
      </c>
      <c r="E75" s="18">
        <v>0</v>
      </c>
      <c r="F75" s="18">
        <v>0</v>
      </c>
      <c r="G75" s="8" t="s">
        <v>603</v>
      </c>
    </row>
    <row r="76" spans="2:7">
      <c r="B76" t="str">
        <f>MLIST!D76</f>
        <v>Behavior - New</v>
      </c>
      <c r="C76" s="18">
        <v>0</v>
      </c>
      <c r="D76" s="18">
        <v>0</v>
      </c>
      <c r="E76" s="18">
        <v>0</v>
      </c>
      <c r="F76" s="18">
        <v>0</v>
      </c>
      <c r="G76" s="8" t="s">
        <v>603</v>
      </c>
    </row>
    <row r="77" spans="2:7">
      <c r="B77" t="str">
        <f>MLIST!D77</f>
        <v>EV Supply Equip - New</v>
      </c>
      <c r="C77" s="18">
        <v>0</v>
      </c>
      <c r="D77" s="18">
        <v>0</v>
      </c>
      <c r="E77" s="18">
        <v>0</v>
      </c>
      <c r="F77" s="18">
        <v>0</v>
      </c>
      <c r="G77" s="8"/>
    </row>
    <row r="78" spans="2:7">
      <c r="B78" t="str">
        <f>MLIST!D78</f>
        <v>EV Supply Equip - NR</v>
      </c>
      <c r="C78" s="18">
        <v>0</v>
      </c>
      <c r="D78" s="18">
        <v>0</v>
      </c>
      <c r="E78" s="18">
        <v>0</v>
      </c>
      <c r="F78" s="18">
        <v>0</v>
      </c>
      <c r="G78" s="8" t="s">
        <v>491</v>
      </c>
    </row>
    <row r="79" spans="2:7">
      <c r="B79" t="str">
        <f>MLIST!D79</f>
        <v>Air cleaners - New</v>
      </c>
      <c r="C79" s="18">
        <f>C80</f>
        <v>0</v>
      </c>
      <c r="D79" s="18">
        <f t="shared" ref="D79:F79" si="1">D80</f>
        <v>0</v>
      </c>
      <c r="E79" s="18">
        <f t="shared" si="1"/>
        <v>0</v>
      </c>
      <c r="F79" s="18">
        <f t="shared" si="1"/>
        <v>0</v>
      </c>
      <c r="G79" s="8"/>
    </row>
    <row r="80" spans="2:7">
      <c r="B80" t="str">
        <f>MLIST!D80</f>
        <v>Air cleaners - NR</v>
      </c>
      <c r="C80" s="18">
        <v>0</v>
      </c>
      <c r="D80" s="18">
        <f>C80</f>
        <v>0</v>
      </c>
      <c r="E80" s="18">
        <f>C80</f>
        <v>0</v>
      </c>
      <c r="F80" s="18">
        <f>C80</f>
        <v>0</v>
      </c>
      <c r="G80" s="8" t="s">
        <v>491</v>
      </c>
    </row>
    <row r="81" spans="2:7">
      <c r="B81" t="str">
        <f>MLIST!D81</f>
        <v>RAC - New</v>
      </c>
      <c r="C81" s="18">
        <v>0</v>
      </c>
      <c r="D81" s="18">
        <v>0</v>
      </c>
      <c r="E81" s="18">
        <v>0</v>
      </c>
      <c r="F81" s="18">
        <v>0</v>
      </c>
      <c r="G81" s="8" t="s">
        <v>491</v>
      </c>
    </row>
    <row r="82" spans="2:7">
      <c r="B82" t="str">
        <f>MLIST!D82</f>
        <v>RAC - NR</v>
      </c>
      <c r="C82" s="18">
        <v>0</v>
      </c>
      <c r="D82" s="18">
        <v>0</v>
      </c>
      <c r="E82" s="18">
        <v>0</v>
      </c>
      <c r="F82" s="18">
        <v>0</v>
      </c>
      <c r="G82" s="8" t="s">
        <v>491</v>
      </c>
    </row>
    <row r="83" spans="2:7">
      <c r="B83" t="str">
        <f>MLIST!D83</f>
        <v>Well Pump - New</v>
      </c>
      <c r="C83" s="18">
        <v>0.12</v>
      </c>
      <c r="D83" s="18">
        <v>0</v>
      </c>
      <c r="E83" s="18">
        <v>0</v>
      </c>
      <c r="F83" s="18">
        <v>0.12</v>
      </c>
      <c r="G83" s="8" t="s">
        <v>523</v>
      </c>
    </row>
    <row r="84" spans="2:7">
      <c r="B84" t="str">
        <f>MLIST!D84</f>
        <v>Well Pump - NR</v>
      </c>
      <c r="C84" s="18">
        <v>0.12</v>
      </c>
      <c r="D84" s="18">
        <v>0</v>
      </c>
      <c r="E84" s="18">
        <v>0</v>
      </c>
      <c r="F84" s="18">
        <v>0.12</v>
      </c>
      <c r="G84" s="8" t="s">
        <v>523</v>
      </c>
    </row>
    <row r="85" spans="2:7">
      <c r="B85" t="str">
        <f>MLIST!D85</f>
        <v>ResWx - Retro</v>
      </c>
      <c r="C85" s="105">
        <v>0.05</v>
      </c>
      <c r="D85" s="105">
        <v>0.05</v>
      </c>
      <c r="E85" s="105">
        <v>0.05</v>
      </c>
      <c r="F85" s="105"/>
      <c r="G85" s="8" t="s">
        <v>543</v>
      </c>
    </row>
  </sheetData>
  <phoneticPr fontId="0" type="noConversion"/>
  <hyperlinks>
    <hyperlink ref="G39" r:id="rId1" xr:uid="{C3FBCD3C-0F5F-498D-95C9-62A7CE4E2142}"/>
    <hyperlink ref="G40" r:id="rId2" xr:uid="{F0A40199-2750-4B5E-8CC6-FD236244DDC6}"/>
  </hyperlinks>
  <pageMargins left="0.75" right="0.75" top="1" bottom="1" header="0.5" footer="0.5"/>
  <pageSetup orientation="portrait" r:id="rId3"/>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0000"/>
  </sheetPr>
  <dimension ref="A1:K109"/>
  <sheetViews>
    <sheetView tabSelected="1" zoomScale="115" zoomScaleNormal="115" workbookViewId="0">
      <pane xSplit="2" ySplit="8" topLeftCell="C12" activePane="bottomRight" state="frozen"/>
      <selection activeCell="B38" sqref="B38"/>
      <selection pane="topRight" activeCell="B38" sqref="B38"/>
      <selection pane="bottomLeft" activeCell="B38" sqref="B38"/>
      <selection pane="bottomRight" activeCell="I30" sqref="I30"/>
    </sheetView>
  </sheetViews>
  <sheetFormatPr defaultRowHeight="12.75"/>
  <cols>
    <col min="1" max="1" width="13.85546875" customWidth="1"/>
    <col min="2" max="2" width="43.85546875" customWidth="1"/>
    <col min="3" max="3" width="12.28515625" bestFit="1" customWidth="1"/>
    <col min="4" max="4" width="19.42578125" bestFit="1" customWidth="1"/>
    <col min="5" max="5" width="19.85546875" bestFit="1" customWidth="1"/>
    <col min="6" max="6" width="12.42578125" bestFit="1" customWidth="1"/>
    <col min="7" max="7" width="17" bestFit="1" customWidth="1"/>
    <col min="8" max="8" width="35.28515625" customWidth="1"/>
  </cols>
  <sheetData>
    <row r="1" spans="1:11">
      <c r="A1" t="s">
        <v>84</v>
      </c>
      <c r="B1" t="s">
        <v>24</v>
      </c>
    </row>
    <row r="2" spans="1:11">
      <c r="A2" s="1">
        <f>COLUMN()</f>
        <v>1</v>
      </c>
      <c r="B2" s="1">
        <f>COLUMN()</f>
        <v>2</v>
      </c>
      <c r="C2" s="1">
        <f>COLUMN()</f>
        <v>3</v>
      </c>
      <c r="D2" s="1">
        <f>COLUMN()</f>
        <v>4</v>
      </c>
      <c r="E2" s="1">
        <f>COLUMN()</f>
        <v>5</v>
      </c>
      <c r="F2" s="1">
        <f>COLUMN()</f>
        <v>6</v>
      </c>
      <c r="G2" s="1">
        <f>COLUMN()</f>
        <v>7</v>
      </c>
    </row>
    <row r="6" spans="1:11">
      <c r="C6" s="25"/>
      <c r="D6" s="25"/>
      <c r="E6" s="25"/>
      <c r="F6" s="25"/>
      <c r="G6" s="25"/>
    </row>
    <row r="8" spans="1:11">
      <c r="A8" s="2" t="s">
        <v>30</v>
      </c>
      <c r="B8" s="2" t="s">
        <v>68</v>
      </c>
      <c r="C8" s="3" t="s">
        <v>110</v>
      </c>
      <c r="D8" s="3" t="s">
        <v>111</v>
      </c>
      <c r="E8" s="3" t="s">
        <v>112</v>
      </c>
      <c r="F8" s="3" t="s">
        <v>113</v>
      </c>
      <c r="G8" s="3" t="s">
        <v>25</v>
      </c>
      <c r="H8" s="3" t="s">
        <v>21</v>
      </c>
      <c r="I8" s="4" t="s">
        <v>131</v>
      </c>
      <c r="J8" s="4" t="s">
        <v>132</v>
      </c>
    </row>
    <row r="9" spans="1:11">
      <c r="B9" t="str">
        <f>MLIST!D9</f>
        <v>Pin Lamps - New</v>
      </c>
      <c r="C9" s="25">
        <f>IF(RIGHT($B9,2)="NR",1/$I9,IF(RIGHT($B9,2)="ew",100%,""))</f>
        <v>1</v>
      </c>
      <c r="D9" s="25">
        <f>IF(RIGHT($B9,2)="NR",1/$I9,IF(RIGHT($B9,2)="ew",100%,""))</f>
        <v>1</v>
      </c>
      <c r="E9" s="25">
        <f>IF(RIGHT($B9,2)="NR",1/$I9,IF(RIGHT($B9,2)="ew",100%,""))</f>
        <v>1</v>
      </c>
      <c r="F9" s="25">
        <f>IF(RIGHT($B9,2)="NR",1/$I9,IF(RIGHT($B9,2)="ew",100%,""))</f>
        <v>1</v>
      </c>
      <c r="G9" s="25">
        <f>IF(RIGHT($B9,2)="NR",1/$I9,IF(RIGHT($B9,2)="ew",100%,""))</f>
        <v>1</v>
      </c>
      <c r="I9">
        <v>8</v>
      </c>
      <c r="J9">
        <v>13.1</v>
      </c>
    </row>
    <row r="10" spans="1:11">
      <c r="A10" s="25"/>
      <c r="B10" t="str">
        <f>MLIST!D10</f>
        <v>Pin Lamps - NR</v>
      </c>
      <c r="C10" s="25">
        <f t="shared" ref="C10:G26" si="0">IF(RIGHT($B10,2)="NR",1/$I10,IF(RIGHT($B10,2)="ew",100%,""))</f>
        <v>0.125</v>
      </c>
      <c r="D10" s="25">
        <f t="shared" si="0"/>
        <v>0.125</v>
      </c>
      <c r="E10" s="25">
        <f t="shared" si="0"/>
        <v>0.125</v>
      </c>
      <c r="F10" s="25">
        <f t="shared" si="0"/>
        <v>0.125</v>
      </c>
      <c r="G10" s="25">
        <f t="shared" si="0"/>
        <v>0.125</v>
      </c>
      <c r="I10">
        <v>8</v>
      </c>
      <c r="J10">
        <v>13.1</v>
      </c>
    </row>
    <row r="11" spans="1:11">
      <c r="B11" t="str">
        <f>MLIST!D11</f>
        <v>Lamps - NR</v>
      </c>
      <c r="C11" s="25">
        <f t="shared" si="0"/>
        <v>8.3333333333333329E-2</v>
      </c>
      <c r="D11" s="25">
        <f t="shared" si="0"/>
        <v>8.3333333333333329E-2</v>
      </c>
      <c r="E11" s="25">
        <f t="shared" si="0"/>
        <v>8.3333333333333329E-2</v>
      </c>
      <c r="F11" s="25">
        <f t="shared" si="0"/>
        <v>8.3333333333333329E-2</v>
      </c>
      <c r="G11" s="25">
        <f t="shared" si="0"/>
        <v>8.3333333333333329E-2</v>
      </c>
      <c r="I11">
        <v>12</v>
      </c>
      <c r="J11">
        <v>12</v>
      </c>
    </row>
    <row r="12" spans="1:11">
      <c r="B12" t="str">
        <f>MLIST!D12</f>
        <v>Dishwasher - New</v>
      </c>
      <c r="C12" s="25">
        <f t="shared" si="0"/>
        <v>1</v>
      </c>
      <c r="D12" s="25">
        <f t="shared" si="0"/>
        <v>1</v>
      </c>
      <c r="E12" s="25">
        <f t="shared" si="0"/>
        <v>1</v>
      </c>
      <c r="F12" s="25">
        <f t="shared" si="0"/>
        <v>1</v>
      </c>
      <c r="G12" s="25">
        <f t="shared" si="0"/>
        <v>1</v>
      </c>
      <c r="I12">
        <v>15.4</v>
      </c>
      <c r="J12">
        <v>15.4</v>
      </c>
    </row>
    <row r="13" spans="1:11">
      <c r="B13" t="str">
        <f>MLIST!D13</f>
        <v>Dishwasher - NR</v>
      </c>
      <c r="C13" s="25">
        <f t="shared" si="0"/>
        <v>6.4935064935064929E-2</v>
      </c>
      <c r="D13" s="25">
        <f t="shared" si="0"/>
        <v>6.4935064935064929E-2</v>
      </c>
      <c r="E13" s="25">
        <f t="shared" si="0"/>
        <v>6.4935064935064929E-2</v>
      </c>
      <c r="F13" s="25">
        <f t="shared" si="0"/>
        <v>6.4935064935064929E-2</v>
      </c>
      <c r="G13" s="25">
        <f t="shared" si="0"/>
        <v>6.4935064935064929E-2</v>
      </c>
      <c r="I13">
        <v>15.4</v>
      </c>
      <c r="J13">
        <v>15.4</v>
      </c>
      <c r="K13" t="s">
        <v>472</v>
      </c>
    </row>
    <row r="14" spans="1:11">
      <c r="B14" t="str">
        <f>MLIST!D14</f>
        <v>Clothes Washer - New</v>
      </c>
      <c r="C14" s="25">
        <f t="shared" si="0"/>
        <v>1</v>
      </c>
      <c r="D14" s="25">
        <f t="shared" si="0"/>
        <v>1</v>
      </c>
      <c r="E14" s="25">
        <f t="shared" si="0"/>
        <v>1</v>
      </c>
      <c r="F14" s="25">
        <f t="shared" si="0"/>
        <v>1</v>
      </c>
      <c r="G14" s="25">
        <f t="shared" si="0"/>
        <v>1</v>
      </c>
      <c r="I14">
        <v>14.2</v>
      </c>
      <c r="J14">
        <v>14.2</v>
      </c>
    </row>
    <row r="15" spans="1:11">
      <c r="B15" t="str">
        <f>MLIST!D15</f>
        <v>Clothes Washer - NR</v>
      </c>
      <c r="C15" s="25">
        <f t="shared" si="0"/>
        <v>7.0422535211267609E-2</v>
      </c>
      <c r="D15" s="25">
        <f t="shared" si="0"/>
        <v>7.0422535211267609E-2</v>
      </c>
      <c r="E15" s="25">
        <f t="shared" si="0"/>
        <v>7.0422535211267609E-2</v>
      </c>
      <c r="F15" s="25">
        <f t="shared" si="0"/>
        <v>7.0422535211267609E-2</v>
      </c>
      <c r="G15" s="25">
        <f t="shared" si="0"/>
        <v>7.0422535211267609E-2</v>
      </c>
      <c r="I15">
        <v>14.2</v>
      </c>
      <c r="J15">
        <v>14.2</v>
      </c>
    </row>
    <row r="16" spans="1:11">
      <c r="B16" t="str">
        <f>MLIST!D16</f>
        <v>WasteWater Heat Recovery - New</v>
      </c>
      <c r="C16" s="25">
        <f t="shared" si="0"/>
        <v>1</v>
      </c>
      <c r="D16" s="25">
        <f t="shared" si="0"/>
        <v>1</v>
      </c>
      <c r="E16" s="25">
        <f t="shared" si="0"/>
        <v>1</v>
      </c>
      <c r="F16" s="25">
        <f t="shared" si="0"/>
        <v>1</v>
      </c>
      <c r="G16" s="25">
        <f t="shared" si="0"/>
        <v>1</v>
      </c>
      <c r="I16">
        <v>20</v>
      </c>
      <c r="J16">
        <v>20</v>
      </c>
    </row>
    <row r="17" spans="2:10">
      <c r="B17" t="str">
        <f>MLIST!D17</f>
        <v>Showerheads - New</v>
      </c>
      <c r="C17" s="25">
        <f t="shared" si="0"/>
        <v>1</v>
      </c>
      <c r="D17" s="25">
        <f t="shared" si="0"/>
        <v>1</v>
      </c>
      <c r="E17" s="25">
        <f t="shared" si="0"/>
        <v>1</v>
      </c>
      <c r="F17" s="25">
        <f t="shared" si="0"/>
        <v>1</v>
      </c>
      <c r="G17" s="25">
        <f t="shared" si="0"/>
        <v>1</v>
      </c>
      <c r="I17">
        <v>10</v>
      </c>
      <c r="J17">
        <v>10</v>
      </c>
    </row>
    <row r="18" spans="2:10">
      <c r="B18" t="str">
        <f>MLIST!D18</f>
        <v>Showerheads - NR</v>
      </c>
      <c r="C18" s="25">
        <f t="shared" si="0"/>
        <v>0.1</v>
      </c>
      <c r="D18" s="25">
        <f t="shared" si="0"/>
        <v>0.1</v>
      </c>
      <c r="E18" s="25">
        <f t="shared" si="0"/>
        <v>0.1</v>
      </c>
      <c r="F18" s="25">
        <f t="shared" si="0"/>
        <v>0.1</v>
      </c>
      <c r="G18" s="25">
        <f t="shared" si="0"/>
        <v>0.1</v>
      </c>
      <c r="I18">
        <v>10</v>
      </c>
      <c r="J18">
        <v>10</v>
      </c>
    </row>
    <row r="19" spans="2:10">
      <c r="B19" t="str">
        <f>MLIST!D19</f>
        <v>TSRV - New</v>
      </c>
      <c r="C19" s="25">
        <f t="shared" si="0"/>
        <v>1</v>
      </c>
      <c r="D19" s="25">
        <f t="shared" si="0"/>
        <v>1</v>
      </c>
      <c r="E19" s="25">
        <f t="shared" si="0"/>
        <v>1</v>
      </c>
      <c r="F19" s="25">
        <f t="shared" si="0"/>
        <v>1</v>
      </c>
      <c r="G19" s="25">
        <f t="shared" si="0"/>
        <v>1</v>
      </c>
    </row>
    <row r="20" spans="2:10">
      <c r="B20" t="str">
        <f>MLIST!D20</f>
        <v>TSRV - Retro</v>
      </c>
      <c r="C20" s="25" t="str">
        <f t="shared" si="0"/>
        <v/>
      </c>
      <c r="D20" s="25" t="str">
        <f t="shared" si="0"/>
        <v/>
      </c>
      <c r="E20" s="25" t="str">
        <f t="shared" si="0"/>
        <v/>
      </c>
      <c r="F20" s="25" t="str">
        <f t="shared" si="0"/>
        <v/>
      </c>
      <c r="G20" s="25" t="str">
        <f t="shared" si="0"/>
        <v/>
      </c>
    </row>
    <row r="21" spans="2:10">
      <c r="B21" t="str">
        <f>MLIST!D21</f>
        <v>HPWH - New</v>
      </c>
      <c r="C21" s="25">
        <f t="shared" si="0"/>
        <v>1</v>
      </c>
      <c r="D21" s="25">
        <f t="shared" si="0"/>
        <v>1</v>
      </c>
      <c r="E21" s="25">
        <f t="shared" si="0"/>
        <v>1</v>
      </c>
      <c r="F21" s="25">
        <f t="shared" si="0"/>
        <v>1</v>
      </c>
      <c r="G21" s="25">
        <f t="shared" si="0"/>
        <v>1</v>
      </c>
      <c r="I21">
        <v>13</v>
      </c>
      <c r="J21">
        <v>13</v>
      </c>
    </row>
    <row r="22" spans="2:10">
      <c r="B22" t="str">
        <f>MLIST!D22</f>
        <v>HPWH - NR</v>
      </c>
      <c r="C22" s="25">
        <f t="shared" si="0"/>
        <v>7.6923076923076927E-2</v>
      </c>
      <c r="D22" s="25">
        <f t="shared" si="0"/>
        <v>7.6923076923076927E-2</v>
      </c>
      <c r="E22" s="25">
        <f t="shared" si="0"/>
        <v>7.6923076923076927E-2</v>
      </c>
      <c r="F22" s="25">
        <f t="shared" si="0"/>
        <v>7.6923076923076927E-2</v>
      </c>
      <c r="G22" s="25">
        <f t="shared" si="0"/>
        <v>7.6923076923076927E-2</v>
      </c>
      <c r="I22">
        <v>13</v>
      </c>
      <c r="J22">
        <v>13</v>
      </c>
    </row>
    <row r="23" spans="2:10">
      <c r="B23" t="str">
        <f>MLIST!D23</f>
        <v>Aerator - New</v>
      </c>
      <c r="C23" s="25">
        <f t="shared" si="0"/>
        <v>1</v>
      </c>
      <c r="D23" s="25">
        <f t="shared" si="0"/>
        <v>1</v>
      </c>
      <c r="E23" s="25">
        <f t="shared" si="0"/>
        <v>1</v>
      </c>
      <c r="F23" s="25">
        <f t="shared" si="0"/>
        <v>1</v>
      </c>
      <c r="G23" s="25">
        <f t="shared" si="0"/>
        <v>1</v>
      </c>
    </row>
    <row r="24" spans="2:10">
      <c r="B24" t="str">
        <f>MLIST!D24</f>
        <v>Aerator - Retro</v>
      </c>
      <c r="C24" s="25" t="str">
        <f t="shared" si="0"/>
        <v/>
      </c>
      <c r="D24" s="25" t="str">
        <f t="shared" si="0"/>
        <v/>
      </c>
      <c r="E24" s="25" t="str">
        <f t="shared" si="0"/>
        <v/>
      </c>
      <c r="F24" s="25" t="str">
        <f t="shared" si="0"/>
        <v/>
      </c>
      <c r="G24" s="25" t="str">
        <f t="shared" si="0"/>
        <v/>
      </c>
    </row>
    <row r="25" spans="2:10">
      <c r="B25" t="str">
        <f>MLIST!D25</f>
        <v>WH Pipe insulation - New</v>
      </c>
      <c r="C25" s="25"/>
      <c r="D25" s="25"/>
      <c r="E25" s="25"/>
      <c r="F25" s="25"/>
      <c r="G25" s="25"/>
    </row>
    <row r="26" spans="2:10">
      <c r="B26" t="str">
        <f>MLIST!D26</f>
        <v>WH Pipe insulation - Retro</v>
      </c>
      <c r="C26" s="25" t="str">
        <f t="shared" si="0"/>
        <v/>
      </c>
      <c r="D26" s="25" t="str">
        <f t="shared" si="0"/>
        <v/>
      </c>
      <c r="E26" s="25" t="str">
        <f t="shared" si="0"/>
        <v/>
      </c>
      <c r="F26" s="25" t="str">
        <f t="shared" si="0"/>
        <v/>
      </c>
      <c r="G26" s="25" t="str">
        <f t="shared" si="0"/>
        <v/>
      </c>
    </row>
    <row r="27" spans="2:10">
      <c r="B27" t="str">
        <f>MLIST!D27</f>
        <v>Circulators - New</v>
      </c>
      <c r="C27" s="25">
        <f t="shared" ref="C27:C78" si="1">IF(RIGHT($B27,2)="NR",1/$I27,IF(RIGHT($B27,2)="ew",100%,""))</f>
        <v>1</v>
      </c>
      <c r="D27" s="25">
        <f t="shared" ref="D27:G58" si="2">IF(RIGHT($B27,2)="NR",1/$I27,IF(RIGHT($B27,2)="ew",100%,""))</f>
        <v>1</v>
      </c>
      <c r="E27" s="25">
        <f t="shared" si="2"/>
        <v>1</v>
      </c>
      <c r="F27" s="25">
        <f t="shared" si="2"/>
        <v>1</v>
      </c>
      <c r="G27" s="25">
        <f t="shared" si="2"/>
        <v>1</v>
      </c>
      <c r="I27">
        <v>11.5</v>
      </c>
      <c r="J27">
        <v>11.5</v>
      </c>
    </row>
    <row r="28" spans="2:10">
      <c r="B28" t="str">
        <f>MLIST!D28</f>
        <v>Circulators - NR</v>
      </c>
      <c r="C28" s="25">
        <f t="shared" si="1"/>
        <v>8.6956521739130432E-2</v>
      </c>
      <c r="D28" s="25">
        <f t="shared" si="2"/>
        <v>8.6956521739130432E-2</v>
      </c>
      <c r="E28" s="25">
        <f t="shared" si="2"/>
        <v>8.6956521739130432E-2</v>
      </c>
      <c r="F28" s="25">
        <f>IF(RIGHT($B28,2)="NR",1/$I28,IF(RIGHT($B28,2)="ew",100%,""))</f>
        <v>8.6956521739130432E-2</v>
      </c>
      <c r="G28" s="25">
        <f>IF(RIGHT($B28,2)="NR",1/$I28,IF(RIGHT($B28,2)="ew",100%,""))</f>
        <v>8.6956521739130432E-2</v>
      </c>
      <c r="I28">
        <v>11.5</v>
      </c>
      <c r="J28">
        <v>11.5</v>
      </c>
    </row>
    <row r="29" spans="2:10">
      <c r="B29" t="str">
        <f>MLIST!D29</f>
        <v>Clothes Dryer - New</v>
      </c>
      <c r="C29" s="25">
        <f t="shared" si="1"/>
        <v>1</v>
      </c>
      <c r="D29" s="25">
        <f t="shared" si="2"/>
        <v>1</v>
      </c>
      <c r="E29" s="25">
        <f t="shared" si="2"/>
        <v>1</v>
      </c>
      <c r="F29" s="25">
        <f t="shared" si="2"/>
        <v>1</v>
      </c>
      <c r="G29" s="25">
        <f t="shared" si="2"/>
        <v>1</v>
      </c>
      <c r="I29">
        <v>12</v>
      </c>
      <c r="J29">
        <v>12</v>
      </c>
    </row>
    <row r="30" spans="2:10">
      <c r="B30" t="str">
        <f>MLIST!D30</f>
        <v>Clothes Dryer - NR</v>
      </c>
      <c r="C30" s="25">
        <f t="shared" si="1"/>
        <v>8.3333333333333329E-2</v>
      </c>
      <c r="D30" s="25">
        <f t="shared" si="2"/>
        <v>8.3333333333333329E-2</v>
      </c>
      <c r="E30" s="25">
        <f t="shared" si="2"/>
        <v>8.3333333333333329E-2</v>
      </c>
      <c r="F30" s="25">
        <f t="shared" si="2"/>
        <v>8.3333333333333329E-2</v>
      </c>
      <c r="G30" s="25">
        <f t="shared" si="2"/>
        <v>8.3333333333333329E-2</v>
      </c>
      <c r="I30">
        <v>12</v>
      </c>
      <c r="J30">
        <v>12</v>
      </c>
    </row>
    <row r="31" spans="2:10">
      <c r="B31" t="str">
        <f>MLIST!D31</f>
        <v>Refrigerator - New</v>
      </c>
      <c r="C31" s="25">
        <f t="shared" si="1"/>
        <v>1</v>
      </c>
      <c r="D31" s="25">
        <f t="shared" si="2"/>
        <v>1</v>
      </c>
      <c r="E31" s="25">
        <f t="shared" si="2"/>
        <v>1</v>
      </c>
      <c r="F31" s="25">
        <f t="shared" si="2"/>
        <v>1</v>
      </c>
      <c r="G31" s="25">
        <f t="shared" si="2"/>
        <v>1</v>
      </c>
      <c r="I31">
        <v>15</v>
      </c>
      <c r="J31">
        <v>15</v>
      </c>
    </row>
    <row r="32" spans="2:10">
      <c r="B32" t="str">
        <f>MLIST!D32</f>
        <v>Refrigerator - NR</v>
      </c>
      <c r="C32" s="25">
        <f t="shared" si="1"/>
        <v>6.6666666666666666E-2</v>
      </c>
      <c r="D32" s="25">
        <f t="shared" si="2"/>
        <v>6.6666666666666666E-2</v>
      </c>
      <c r="E32" s="25">
        <f t="shared" si="2"/>
        <v>6.6666666666666666E-2</v>
      </c>
      <c r="F32" s="25">
        <f t="shared" si="2"/>
        <v>6.6666666666666666E-2</v>
      </c>
      <c r="G32" s="25">
        <f t="shared" si="2"/>
        <v>6.6666666666666666E-2</v>
      </c>
      <c r="I32">
        <v>15</v>
      </c>
      <c r="J32">
        <v>15</v>
      </c>
    </row>
    <row r="33" spans="2:11">
      <c r="B33" t="str">
        <f>MLIST!D33</f>
        <v>Freezer - New</v>
      </c>
      <c r="C33" s="25">
        <f t="shared" si="1"/>
        <v>1</v>
      </c>
      <c r="D33" s="25">
        <f t="shared" si="2"/>
        <v>1</v>
      </c>
      <c r="E33" s="25">
        <f t="shared" si="2"/>
        <v>1</v>
      </c>
      <c r="F33" s="25">
        <f t="shared" si="2"/>
        <v>1</v>
      </c>
      <c r="G33" s="25">
        <f t="shared" si="2"/>
        <v>1</v>
      </c>
      <c r="I33">
        <v>22</v>
      </c>
      <c r="J33">
        <v>22</v>
      </c>
    </row>
    <row r="34" spans="2:11">
      <c r="B34" t="str">
        <f>MLIST!D34</f>
        <v>Freezer - NR</v>
      </c>
      <c r="C34" s="25">
        <f t="shared" si="1"/>
        <v>4.5454545454545456E-2</v>
      </c>
      <c r="D34" s="25">
        <f t="shared" si="2"/>
        <v>4.5454545454545456E-2</v>
      </c>
      <c r="E34" s="25">
        <f t="shared" si="2"/>
        <v>4.5454545454545456E-2</v>
      </c>
      <c r="F34" s="25">
        <f t="shared" si="2"/>
        <v>4.5454545454545456E-2</v>
      </c>
      <c r="G34" s="25">
        <f t="shared" si="2"/>
        <v>4.5454545454545456E-2</v>
      </c>
      <c r="I34">
        <v>22</v>
      </c>
      <c r="J34">
        <v>22</v>
      </c>
    </row>
    <row r="35" spans="2:11">
      <c r="B35" t="str">
        <f>MLIST!D35</f>
        <v>Electric Oven - New</v>
      </c>
      <c r="C35" s="25">
        <f t="shared" si="1"/>
        <v>1</v>
      </c>
      <c r="D35" s="25">
        <f t="shared" si="2"/>
        <v>1</v>
      </c>
      <c r="E35" s="25">
        <f t="shared" si="2"/>
        <v>1</v>
      </c>
      <c r="F35" s="25">
        <f t="shared" si="2"/>
        <v>1</v>
      </c>
      <c r="G35" s="25">
        <f t="shared" si="2"/>
        <v>1</v>
      </c>
      <c r="I35">
        <v>16</v>
      </c>
      <c r="J35">
        <v>16</v>
      </c>
      <c r="K35" t="s">
        <v>489</v>
      </c>
    </row>
    <row r="36" spans="2:11">
      <c r="B36" t="str">
        <f>MLIST!D36</f>
        <v>Electric Oven - NR</v>
      </c>
      <c r="C36" s="25">
        <f t="shared" si="1"/>
        <v>6.25E-2</v>
      </c>
      <c r="D36" s="25">
        <f t="shared" si="2"/>
        <v>6.25E-2</v>
      </c>
      <c r="E36" s="25">
        <f t="shared" si="2"/>
        <v>6.25E-2</v>
      </c>
      <c r="F36" s="25">
        <f t="shared" si="2"/>
        <v>6.25E-2</v>
      </c>
      <c r="G36" s="25">
        <f t="shared" si="2"/>
        <v>6.25E-2</v>
      </c>
      <c r="I36">
        <v>16</v>
      </c>
      <c r="J36">
        <v>16</v>
      </c>
    </row>
    <row r="37" spans="2:11">
      <c r="B37" t="str">
        <f>MLIST!D37</f>
        <v>Microwave - New</v>
      </c>
      <c r="C37" s="25">
        <f t="shared" si="1"/>
        <v>1</v>
      </c>
      <c r="D37" s="25">
        <f t="shared" si="2"/>
        <v>1</v>
      </c>
      <c r="E37" s="25">
        <f t="shared" si="2"/>
        <v>1</v>
      </c>
      <c r="F37" s="25">
        <f t="shared" si="2"/>
        <v>1</v>
      </c>
      <c r="G37" s="25">
        <f t="shared" si="2"/>
        <v>1</v>
      </c>
      <c r="I37">
        <v>11</v>
      </c>
      <c r="J37">
        <v>11</v>
      </c>
    </row>
    <row r="38" spans="2:11">
      <c r="B38" t="str">
        <f>MLIST!D38</f>
        <v>Microwave - NR</v>
      </c>
      <c r="C38" s="25">
        <f t="shared" si="1"/>
        <v>9.0909090909090912E-2</v>
      </c>
      <c r="D38" s="25">
        <f t="shared" si="2"/>
        <v>9.0909090909090912E-2</v>
      </c>
      <c r="E38" s="25">
        <f t="shared" si="2"/>
        <v>9.0909090909090912E-2</v>
      </c>
      <c r="F38" s="25">
        <f t="shared" si="2"/>
        <v>9.0909090909090912E-2</v>
      </c>
      <c r="G38" s="25">
        <f t="shared" si="2"/>
        <v>9.0909090909090912E-2</v>
      </c>
      <c r="I38">
        <v>11</v>
      </c>
      <c r="J38">
        <v>11</v>
      </c>
    </row>
    <row r="39" spans="2:11">
      <c r="B39" t="str">
        <f>MLIST!D39</f>
        <v>Monitor - New</v>
      </c>
      <c r="C39" s="25">
        <f t="shared" si="1"/>
        <v>1</v>
      </c>
      <c r="D39" s="25">
        <f t="shared" si="2"/>
        <v>1</v>
      </c>
      <c r="E39" s="25">
        <f t="shared" si="2"/>
        <v>1</v>
      </c>
      <c r="F39" s="25">
        <f t="shared" si="2"/>
        <v>1</v>
      </c>
      <c r="G39" s="25">
        <f t="shared" si="2"/>
        <v>1</v>
      </c>
      <c r="I39">
        <v>5</v>
      </c>
      <c r="J39" s="112">
        <f>[7]M_Input!$D$8</f>
        <v>5</v>
      </c>
    </row>
    <row r="40" spans="2:11">
      <c r="B40" t="str">
        <f>MLIST!D40</f>
        <v>Monitor - NR</v>
      </c>
      <c r="C40" s="25">
        <f t="shared" si="1"/>
        <v>0.2</v>
      </c>
      <c r="D40" s="25">
        <f t="shared" si="2"/>
        <v>0.2</v>
      </c>
      <c r="E40" s="25">
        <f t="shared" si="2"/>
        <v>0.2</v>
      </c>
      <c r="F40" s="25">
        <f t="shared" si="2"/>
        <v>0.2</v>
      </c>
      <c r="G40" s="25">
        <f t="shared" si="2"/>
        <v>0.2</v>
      </c>
      <c r="I40">
        <v>5</v>
      </c>
      <c r="J40" s="112">
        <f>J39</f>
        <v>5</v>
      </c>
    </row>
    <row r="41" spans="2:11">
      <c r="B41" t="str">
        <f>MLIST!D41</f>
        <v>Desktop - New</v>
      </c>
      <c r="C41" s="25">
        <f t="shared" si="1"/>
        <v>1</v>
      </c>
      <c r="D41" s="25">
        <f t="shared" si="2"/>
        <v>1</v>
      </c>
      <c r="E41" s="25">
        <f t="shared" si="2"/>
        <v>1</v>
      </c>
      <c r="F41" s="25">
        <f t="shared" si="2"/>
        <v>1</v>
      </c>
      <c r="G41" s="25">
        <f t="shared" si="2"/>
        <v>1</v>
      </c>
      <c r="I41">
        <v>7</v>
      </c>
      <c r="J41">
        <v>7</v>
      </c>
    </row>
    <row r="42" spans="2:11">
      <c r="B42" t="str">
        <f>MLIST!D42</f>
        <v>Desktop - NR</v>
      </c>
      <c r="C42" s="25">
        <f>IF(RIGHT($B42,2)="NR",1/$I42,IF(RIGHT($B42,2)="ew",100%,""))</f>
        <v>0.14285714285714285</v>
      </c>
      <c r="D42" s="25">
        <f t="shared" si="2"/>
        <v>0.14285714285714285</v>
      </c>
      <c r="E42" s="25">
        <f t="shared" si="2"/>
        <v>0.14285714285714285</v>
      </c>
      <c r="F42" s="25">
        <f t="shared" si="2"/>
        <v>0.14285714285714285</v>
      </c>
      <c r="G42" s="25">
        <f t="shared" si="2"/>
        <v>0.14285714285714285</v>
      </c>
      <c r="I42">
        <v>7</v>
      </c>
      <c r="J42">
        <v>7</v>
      </c>
    </row>
    <row r="43" spans="2:11">
      <c r="B43" t="str">
        <f>MLIST!D43</f>
        <v>Laptop - New</v>
      </c>
      <c r="C43" s="25">
        <f t="shared" si="1"/>
        <v>1</v>
      </c>
      <c r="D43" s="25">
        <f t="shared" si="2"/>
        <v>1</v>
      </c>
      <c r="E43" s="25">
        <f t="shared" si="2"/>
        <v>1</v>
      </c>
      <c r="F43" s="25">
        <f t="shared" si="2"/>
        <v>1</v>
      </c>
      <c r="G43" s="25">
        <f t="shared" si="2"/>
        <v>1</v>
      </c>
      <c r="I43">
        <v>4</v>
      </c>
      <c r="J43">
        <v>4</v>
      </c>
    </row>
    <row r="44" spans="2:11">
      <c r="B44" t="str">
        <f>MLIST!D44</f>
        <v>Laptop - NR</v>
      </c>
      <c r="C44" s="25">
        <f t="shared" si="1"/>
        <v>0.25</v>
      </c>
      <c r="D44" s="25">
        <f t="shared" si="2"/>
        <v>0.25</v>
      </c>
      <c r="E44" s="25">
        <f t="shared" si="2"/>
        <v>0.25</v>
      </c>
      <c r="F44" s="25">
        <f t="shared" si="2"/>
        <v>0.25</v>
      </c>
      <c r="G44" s="25">
        <f t="shared" si="2"/>
        <v>0.25</v>
      </c>
      <c r="I44">
        <v>4</v>
      </c>
      <c r="J44">
        <v>4</v>
      </c>
    </row>
    <row r="45" spans="2:11">
      <c r="C45" s="25" t="str">
        <f t="shared" si="1"/>
        <v/>
      </c>
      <c r="D45" s="25" t="str">
        <f t="shared" si="2"/>
        <v/>
      </c>
      <c r="E45" s="25" t="str">
        <f t="shared" si="2"/>
        <v/>
      </c>
      <c r="F45" s="25" t="str">
        <f t="shared" si="2"/>
        <v/>
      </c>
      <c r="G45" s="25" t="str">
        <f t="shared" si="2"/>
        <v/>
      </c>
    </row>
    <row r="46" spans="2:11">
      <c r="C46" s="25" t="str">
        <f t="shared" si="1"/>
        <v/>
      </c>
      <c r="D46" s="25" t="str">
        <f t="shared" si="2"/>
        <v/>
      </c>
      <c r="E46" s="25" t="str">
        <f t="shared" si="2"/>
        <v/>
      </c>
      <c r="F46" s="25" t="str">
        <f t="shared" si="2"/>
        <v/>
      </c>
      <c r="G46" s="25" t="str">
        <f t="shared" si="2"/>
        <v/>
      </c>
    </row>
    <row r="47" spans="2:11">
      <c r="B47" t="str">
        <f>MLIST!D47</f>
        <v>Advanced Power Strips - New</v>
      </c>
      <c r="C47" s="25">
        <f t="shared" si="1"/>
        <v>1</v>
      </c>
      <c r="D47" s="25">
        <f t="shared" si="2"/>
        <v>1</v>
      </c>
      <c r="E47" s="25">
        <f t="shared" si="2"/>
        <v>1</v>
      </c>
      <c r="F47" s="25">
        <f t="shared" si="2"/>
        <v>1</v>
      </c>
      <c r="G47" s="25">
        <f t="shared" si="2"/>
        <v>1</v>
      </c>
      <c r="I47">
        <v>5</v>
      </c>
      <c r="J47">
        <v>5</v>
      </c>
    </row>
    <row r="48" spans="2:11">
      <c r="B48" t="str">
        <f>MLIST!D48</f>
        <v>Advanced Power Strips - Retro</v>
      </c>
      <c r="C48" s="25" t="str">
        <f t="shared" si="1"/>
        <v/>
      </c>
      <c r="D48" s="25" t="str">
        <f t="shared" si="2"/>
        <v/>
      </c>
      <c r="E48" s="25" t="str">
        <f t="shared" si="2"/>
        <v/>
      </c>
      <c r="F48" s="25" t="str">
        <f t="shared" si="2"/>
        <v/>
      </c>
      <c r="G48" s="25" t="str">
        <f t="shared" si="2"/>
        <v/>
      </c>
      <c r="I48">
        <v>5</v>
      </c>
      <c r="J48">
        <v>5</v>
      </c>
    </row>
    <row r="49" spans="2:11">
      <c r="B49" t="str">
        <f>MLIST!D49</f>
        <v>UHD TV - New</v>
      </c>
      <c r="C49" s="25">
        <f t="shared" si="1"/>
        <v>1</v>
      </c>
      <c r="D49" s="25">
        <f t="shared" si="2"/>
        <v>1</v>
      </c>
      <c r="E49" s="25">
        <f t="shared" si="2"/>
        <v>1</v>
      </c>
      <c r="F49" s="25">
        <f t="shared" si="2"/>
        <v>1</v>
      </c>
      <c r="G49" s="25">
        <f t="shared" si="2"/>
        <v>1</v>
      </c>
      <c r="I49" s="8">
        <v>7</v>
      </c>
      <c r="J49" s="8">
        <v>7</v>
      </c>
      <c r="K49" t="s">
        <v>537</v>
      </c>
    </row>
    <row r="50" spans="2:11">
      <c r="B50" t="str">
        <f>MLIST!D50</f>
        <v>UHD TV - NR</v>
      </c>
      <c r="C50" s="25">
        <f t="shared" si="1"/>
        <v>0.14285714285714285</v>
      </c>
      <c r="D50" s="25">
        <f t="shared" si="2"/>
        <v>0.14285714285714285</v>
      </c>
      <c r="E50" s="25">
        <f t="shared" si="2"/>
        <v>0.14285714285714285</v>
      </c>
      <c r="F50" s="25">
        <f>IF(RIGHT($B50,2)="NR",1/$I50,IF(RIGHT($B50,2)="ew",100%,""))</f>
        <v>0.14285714285714285</v>
      </c>
      <c r="G50" s="25">
        <f t="shared" si="2"/>
        <v>0.14285714285714285</v>
      </c>
      <c r="I50" s="8">
        <v>7</v>
      </c>
      <c r="J50" s="8">
        <v>7</v>
      </c>
      <c r="K50" t="s">
        <v>537</v>
      </c>
    </row>
    <row r="51" spans="2:11">
      <c r="B51" t="str">
        <f>MLIST!D51</f>
        <v>Fixtures - New</v>
      </c>
      <c r="C51" s="25">
        <f t="shared" si="1"/>
        <v>1</v>
      </c>
      <c r="D51" s="25">
        <f t="shared" si="2"/>
        <v>1</v>
      </c>
      <c r="E51" s="25">
        <f t="shared" si="2"/>
        <v>1</v>
      </c>
      <c r="F51" s="25">
        <f t="shared" si="2"/>
        <v>1</v>
      </c>
      <c r="G51" s="25">
        <f t="shared" si="2"/>
        <v>1</v>
      </c>
      <c r="I51" s="8">
        <v>20</v>
      </c>
      <c r="J51">
        <v>20</v>
      </c>
    </row>
    <row r="52" spans="2:11">
      <c r="B52" t="str">
        <f>MLIST!D52</f>
        <v>Fixtures - NR</v>
      </c>
      <c r="C52" s="25">
        <f t="shared" si="1"/>
        <v>0.05</v>
      </c>
      <c r="D52" s="25">
        <f t="shared" si="2"/>
        <v>0.05</v>
      </c>
      <c r="E52" s="25">
        <f t="shared" si="2"/>
        <v>0.05</v>
      </c>
      <c r="F52" s="25">
        <f t="shared" si="2"/>
        <v>0.05</v>
      </c>
      <c r="G52" s="25">
        <f t="shared" si="2"/>
        <v>0.05</v>
      </c>
      <c r="I52" s="8">
        <v>20</v>
      </c>
      <c r="J52">
        <v>20</v>
      </c>
    </row>
    <row r="53" spans="2:11">
      <c r="B53" t="str">
        <f>MLIST!D53</f>
        <v>ASHP Upgrade - New</v>
      </c>
      <c r="C53" s="25">
        <f t="shared" si="1"/>
        <v>1</v>
      </c>
      <c r="D53" s="25">
        <f t="shared" si="2"/>
        <v>1</v>
      </c>
      <c r="E53" s="25">
        <f t="shared" si="2"/>
        <v>1</v>
      </c>
      <c r="F53" s="25">
        <f t="shared" si="2"/>
        <v>1</v>
      </c>
      <c r="G53" s="25">
        <f t="shared" si="2"/>
        <v>1</v>
      </c>
      <c r="I53">
        <v>18</v>
      </c>
      <c r="J53">
        <v>18</v>
      </c>
    </row>
    <row r="54" spans="2:11">
      <c r="B54" t="str">
        <f>MLIST!D54</f>
        <v>ASHP Upgrade - NR</v>
      </c>
      <c r="C54" s="25">
        <f t="shared" si="1"/>
        <v>5.5555555555555552E-2</v>
      </c>
      <c r="D54" s="25">
        <f t="shared" si="2"/>
        <v>5.5555555555555552E-2</v>
      </c>
      <c r="E54" s="25">
        <f t="shared" si="2"/>
        <v>5.5555555555555552E-2</v>
      </c>
      <c r="F54" s="25">
        <f t="shared" si="2"/>
        <v>5.5555555555555552E-2</v>
      </c>
      <c r="G54" s="25">
        <f t="shared" si="2"/>
        <v>5.5555555555555552E-2</v>
      </c>
      <c r="I54">
        <v>18</v>
      </c>
      <c r="J54">
        <v>18</v>
      </c>
    </row>
    <row r="55" spans="2:11">
      <c r="B55" t="str">
        <f>MLIST!D55</f>
        <v>ASHP Conversion - New</v>
      </c>
      <c r="C55" s="25">
        <f t="shared" si="1"/>
        <v>1</v>
      </c>
      <c r="D55" s="25">
        <f t="shared" si="2"/>
        <v>1</v>
      </c>
      <c r="E55" s="25">
        <f t="shared" si="2"/>
        <v>1</v>
      </c>
      <c r="F55" s="25">
        <f t="shared" si="2"/>
        <v>1</v>
      </c>
      <c r="G55" s="25">
        <f t="shared" si="2"/>
        <v>1</v>
      </c>
      <c r="I55">
        <v>18</v>
      </c>
      <c r="J55">
        <v>18</v>
      </c>
    </row>
    <row r="56" spans="2:11">
      <c r="B56" t="str">
        <f>MLIST!D56</f>
        <v>ASHP Conversion - Retro</v>
      </c>
      <c r="C56" s="25" t="str">
        <f t="shared" si="1"/>
        <v/>
      </c>
      <c r="D56" s="25" t="str">
        <f t="shared" si="2"/>
        <v/>
      </c>
      <c r="E56" s="25" t="str">
        <f t="shared" si="2"/>
        <v/>
      </c>
      <c r="F56" s="25" t="str">
        <f t="shared" si="2"/>
        <v/>
      </c>
      <c r="G56" s="25" t="str">
        <f t="shared" si="2"/>
        <v/>
      </c>
      <c r="I56">
        <v>18</v>
      </c>
      <c r="J56">
        <v>18</v>
      </c>
    </row>
    <row r="57" spans="2:11">
      <c r="B57" t="str">
        <f>MLIST!D57</f>
        <v>DHP - New</v>
      </c>
      <c r="C57" s="25">
        <f t="shared" si="1"/>
        <v>1</v>
      </c>
      <c r="D57" s="25">
        <f t="shared" si="2"/>
        <v>1</v>
      </c>
      <c r="E57" s="25">
        <f t="shared" si="2"/>
        <v>1</v>
      </c>
      <c r="F57" s="25">
        <f t="shared" si="2"/>
        <v>1</v>
      </c>
      <c r="G57" s="25">
        <f t="shared" si="2"/>
        <v>1</v>
      </c>
    </row>
    <row r="58" spans="2:11">
      <c r="B58" t="str">
        <f>MLIST!D58</f>
        <v>DHP - Retro</v>
      </c>
      <c r="C58" s="25" t="str">
        <f t="shared" si="1"/>
        <v/>
      </c>
      <c r="D58" s="25" t="str">
        <f t="shared" si="2"/>
        <v/>
      </c>
      <c r="E58" s="25" t="str">
        <f t="shared" si="2"/>
        <v/>
      </c>
      <c r="F58" s="25" t="str">
        <f t="shared" si="2"/>
        <v/>
      </c>
      <c r="G58" s="25" t="str">
        <f t="shared" si="2"/>
        <v/>
      </c>
      <c r="I58">
        <v>22</v>
      </c>
      <c r="J58">
        <v>15</v>
      </c>
    </row>
    <row r="59" spans="2:11">
      <c r="B59" t="str">
        <f>MLIST!D59</f>
        <v>DHP Ducted - Retro</v>
      </c>
      <c r="C59" s="25" t="str">
        <f t="shared" si="1"/>
        <v/>
      </c>
      <c r="D59" s="25" t="str">
        <f t="shared" ref="D59:G85" si="3">IF(RIGHT($B59,2)="NR",1/$I59,IF(RIGHT($B59,2)="ew",100%,""))</f>
        <v/>
      </c>
      <c r="E59" s="25" t="str">
        <f t="shared" si="3"/>
        <v/>
      </c>
      <c r="F59" s="25" t="str">
        <f t="shared" si="3"/>
        <v/>
      </c>
      <c r="G59" s="25" t="str">
        <f t="shared" si="3"/>
        <v/>
      </c>
      <c r="J59">
        <v>15</v>
      </c>
    </row>
    <row r="60" spans="2:11">
      <c r="B60" t="str">
        <f>MLIST!D60</f>
        <v>Duct Sealing - New</v>
      </c>
      <c r="C60" s="25">
        <f t="shared" si="1"/>
        <v>1</v>
      </c>
      <c r="D60" s="25">
        <f t="shared" si="3"/>
        <v>1</v>
      </c>
      <c r="E60" s="25">
        <f t="shared" si="3"/>
        <v>1</v>
      </c>
      <c r="F60" s="25">
        <f t="shared" si="3"/>
        <v>1</v>
      </c>
      <c r="G60" s="25">
        <f t="shared" si="3"/>
        <v>1</v>
      </c>
      <c r="J60">
        <v>20</v>
      </c>
    </row>
    <row r="61" spans="2:11">
      <c r="B61" t="str">
        <f>MLIST!D61</f>
        <v>Duct Sealing - Retro</v>
      </c>
      <c r="C61" s="25" t="str">
        <f t="shared" si="1"/>
        <v/>
      </c>
      <c r="D61" s="25" t="str">
        <f t="shared" si="3"/>
        <v/>
      </c>
      <c r="E61" s="25" t="str">
        <f t="shared" si="3"/>
        <v/>
      </c>
      <c r="F61" s="25" t="str">
        <f t="shared" si="3"/>
        <v/>
      </c>
      <c r="G61" s="25" t="str">
        <f t="shared" si="3"/>
        <v/>
      </c>
      <c r="J61">
        <v>20</v>
      </c>
    </row>
    <row r="62" spans="2:11">
      <c r="B62" t="str">
        <f>MLIST!D62</f>
        <v>Smart tstats - New</v>
      </c>
      <c r="C62" s="25">
        <f t="shared" si="1"/>
        <v>1</v>
      </c>
      <c r="D62" s="25">
        <f t="shared" si="3"/>
        <v>1</v>
      </c>
      <c r="E62" s="25">
        <f t="shared" si="3"/>
        <v>1</v>
      </c>
      <c r="F62" s="25">
        <f t="shared" si="3"/>
        <v>1</v>
      </c>
      <c r="G62" s="25">
        <f t="shared" si="3"/>
        <v>1</v>
      </c>
      <c r="J62">
        <v>5</v>
      </c>
    </row>
    <row r="63" spans="2:11">
      <c r="B63" t="str">
        <f>MLIST!D63</f>
        <v>Smart tstats - Retro</v>
      </c>
      <c r="C63" s="25" t="str">
        <f t="shared" si="1"/>
        <v/>
      </c>
      <c r="D63" s="25" t="str">
        <f t="shared" si="3"/>
        <v/>
      </c>
      <c r="E63" s="25" t="str">
        <f t="shared" si="3"/>
        <v/>
      </c>
      <c r="F63" s="25" t="str">
        <f t="shared" si="3"/>
        <v/>
      </c>
      <c r="G63" s="25" t="str">
        <f t="shared" si="3"/>
        <v/>
      </c>
      <c r="J63">
        <v>5</v>
      </c>
    </row>
    <row r="64" spans="2:11">
      <c r="B64" t="str">
        <f>MLIST!D64</f>
        <v>Cellular Shades - New</v>
      </c>
      <c r="C64" s="25">
        <f t="shared" si="1"/>
        <v>1</v>
      </c>
      <c r="D64" s="25">
        <f t="shared" si="3"/>
        <v>1</v>
      </c>
      <c r="E64" s="25">
        <f t="shared" si="3"/>
        <v>1</v>
      </c>
      <c r="F64" s="25">
        <f t="shared" si="3"/>
        <v>1</v>
      </c>
      <c r="G64" s="25">
        <f t="shared" si="3"/>
        <v>1</v>
      </c>
      <c r="I64">
        <v>15</v>
      </c>
      <c r="J64">
        <v>15</v>
      </c>
      <c r="K64" t="s">
        <v>610</v>
      </c>
    </row>
    <row r="65" spans="2:11">
      <c r="B65" t="str">
        <f>MLIST!D65</f>
        <v>Cellular Shades - Retro</v>
      </c>
      <c r="C65" s="25" t="str">
        <f t="shared" si="1"/>
        <v/>
      </c>
      <c r="D65" s="25" t="str">
        <f t="shared" si="3"/>
        <v/>
      </c>
      <c r="E65" s="25" t="str">
        <f t="shared" si="3"/>
        <v/>
      </c>
      <c r="F65" s="25" t="str">
        <f t="shared" si="3"/>
        <v/>
      </c>
      <c r="G65" s="25" t="str">
        <f t="shared" si="3"/>
        <v/>
      </c>
    </row>
    <row r="66" spans="2:11">
      <c r="B66" t="str">
        <f>MLIST!D66</f>
        <v>CAC - New</v>
      </c>
      <c r="C66" s="25">
        <f t="shared" si="1"/>
        <v>1</v>
      </c>
      <c r="D66" s="25">
        <f t="shared" si="3"/>
        <v>1</v>
      </c>
      <c r="E66" s="25">
        <f t="shared" si="3"/>
        <v>1</v>
      </c>
      <c r="F66" s="25">
        <f t="shared" si="3"/>
        <v>1</v>
      </c>
      <c r="G66" s="25">
        <f t="shared" si="3"/>
        <v>1</v>
      </c>
      <c r="I66">
        <v>18</v>
      </c>
      <c r="J66">
        <v>18</v>
      </c>
    </row>
    <row r="67" spans="2:11">
      <c r="B67" t="str">
        <f>MLIST!D67</f>
        <v>CAC - NR</v>
      </c>
      <c r="C67" s="25">
        <f t="shared" si="1"/>
        <v>5.5555555555555552E-2</v>
      </c>
      <c r="D67" s="25">
        <f t="shared" si="3"/>
        <v>5.5555555555555552E-2</v>
      </c>
      <c r="E67" s="25">
        <f t="shared" si="3"/>
        <v>5.5555555555555552E-2</v>
      </c>
      <c r="F67" s="25">
        <f t="shared" si="3"/>
        <v>5.5555555555555552E-2</v>
      </c>
      <c r="G67" s="25">
        <f t="shared" si="3"/>
        <v>5.5555555555555552E-2</v>
      </c>
      <c r="I67">
        <v>18</v>
      </c>
      <c r="J67">
        <v>18</v>
      </c>
    </row>
    <row r="68" spans="2:11">
      <c r="B68" t="str">
        <f>MLIST!D68</f>
        <v>Heat Recovery Ventilation - New</v>
      </c>
      <c r="C68" s="25">
        <f t="shared" si="1"/>
        <v>1</v>
      </c>
      <c r="D68" s="25">
        <f t="shared" si="3"/>
        <v>1</v>
      </c>
      <c r="E68" s="25">
        <f t="shared" si="3"/>
        <v>1</v>
      </c>
      <c r="F68" s="25">
        <f t="shared" si="3"/>
        <v>1</v>
      </c>
      <c r="G68" s="25">
        <f t="shared" si="3"/>
        <v>1</v>
      </c>
      <c r="I68">
        <v>15</v>
      </c>
      <c r="J68">
        <v>15</v>
      </c>
      <c r="K68" t="s">
        <v>625</v>
      </c>
    </row>
    <row r="69" spans="2:11">
      <c r="B69" t="str">
        <f>MLIST!D69</f>
        <v>GSHP - New</v>
      </c>
      <c r="C69" s="25">
        <f t="shared" si="1"/>
        <v>1</v>
      </c>
      <c r="D69" s="25">
        <f t="shared" si="3"/>
        <v>1</v>
      </c>
      <c r="E69" s="25">
        <f t="shared" si="3"/>
        <v>1</v>
      </c>
      <c r="F69" s="25">
        <f t="shared" si="3"/>
        <v>1</v>
      </c>
      <c r="G69" s="25">
        <f t="shared" si="3"/>
        <v>1</v>
      </c>
      <c r="I69">
        <v>20</v>
      </c>
      <c r="J69">
        <v>20</v>
      </c>
    </row>
    <row r="70" spans="2:11">
      <c r="B70" t="str">
        <f>MLIST!D70</f>
        <v>GSHP - NR</v>
      </c>
      <c r="C70" s="25">
        <f t="shared" si="1"/>
        <v>0.05</v>
      </c>
      <c r="D70" s="25">
        <f t="shared" si="3"/>
        <v>0.05</v>
      </c>
      <c r="E70" s="25">
        <f t="shared" si="3"/>
        <v>0.05</v>
      </c>
      <c r="F70" s="25">
        <f t="shared" si="3"/>
        <v>0.05</v>
      </c>
      <c r="G70" s="25">
        <f t="shared" si="3"/>
        <v>0.05</v>
      </c>
      <c r="I70">
        <v>20</v>
      </c>
      <c r="J70">
        <v>20</v>
      </c>
    </row>
    <row r="71" spans="2:11">
      <c r="B71" t="str">
        <f>MLIST!D71</f>
        <v>Whole House Fan - Retro</v>
      </c>
      <c r="C71" s="25" t="str">
        <f t="shared" si="1"/>
        <v/>
      </c>
      <c r="D71" s="25" t="str">
        <f t="shared" si="3"/>
        <v/>
      </c>
      <c r="E71" s="25" t="str">
        <f t="shared" si="3"/>
        <v/>
      </c>
      <c r="F71" s="25" t="str">
        <f t="shared" si="3"/>
        <v/>
      </c>
      <c r="G71" s="25" t="str">
        <f t="shared" si="3"/>
        <v/>
      </c>
    </row>
    <row r="72" spans="2:11">
      <c r="C72" s="25"/>
      <c r="D72" s="25"/>
      <c r="E72" s="25"/>
      <c r="F72" s="25"/>
      <c r="G72" s="25"/>
    </row>
    <row r="73" spans="2:11">
      <c r="B73" t="str">
        <f>MLIST!D73</f>
        <v>Circulator Controls - New</v>
      </c>
      <c r="C73" s="25">
        <f t="shared" si="1"/>
        <v>1</v>
      </c>
      <c r="D73" s="25">
        <f t="shared" si="3"/>
        <v>1</v>
      </c>
      <c r="E73" s="25">
        <f t="shared" si="3"/>
        <v>1</v>
      </c>
      <c r="F73" s="25">
        <f t="shared" si="3"/>
        <v>1</v>
      </c>
      <c r="G73" s="25">
        <f t="shared" si="3"/>
        <v>1</v>
      </c>
      <c r="I73">
        <v>11.5</v>
      </c>
      <c r="J73">
        <v>11.5</v>
      </c>
    </row>
    <row r="74" spans="2:11">
      <c r="B74" t="str">
        <f>MLIST!D74</f>
        <v>Circulator Controls - NR</v>
      </c>
      <c r="C74" s="25">
        <f t="shared" si="1"/>
        <v>8.6956521739130432E-2</v>
      </c>
      <c r="D74" s="25">
        <f t="shared" si="3"/>
        <v>8.6956521739130432E-2</v>
      </c>
      <c r="E74" s="25">
        <f t="shared" si="3"/>
        <v>8.6956521739130432E-2</v>
      </c>
      <c r="F74" s="25">
        <f t="shared" si="3"/>
        <v>8.6956521739130432E-2</v>
      </c>
      <c r="G74" s="25">
        <f t="shared" si="3"/>
        <v>8.6956521739130432E-2</v>
      </c>
      <c r="I74">
        <v>11.5</v>
      </c>
      <c r="J74">
        <v>11.5</v>
      </c>
    </row>
    <row r="75" spans="2:11">
      <c r="B75" t="str">
        <f>MLIST!D75</f>
        <v>Behavior - Retro</v>
      </c>
      <c r="C75" s="25" t="str">
        <f t="shared" si="1"/>
        <v/>
      </c>
      <c r="D75" s="25" t="str">
        <f t="shared" si="3"/>
        <v/>
      </c>
      <c r="E75" s="25" t="str">
        <f t="shared" si="3"/>
        <v/>
      </c>
      <c r="F75" s="25" t="str">
        <f t="shared" si="3"/>
        <v/>
      </c>
      <c r="G75" s="25" t="str">
        <f t="shared" si="3"/>
        <v/>
      </c>
      <c r="I75">
        <v>2</v>
      </c>
      <c r="J75">
        <v>2</v>
      </c>
    </row>
    <row r="76" spans="2:11">
      <c r="B76" t="str">
        <f>MLIST!D76</f>
        <v>Behavior - New</v>
      </c>
      <c r="C76" s="25">
        <f t="shared" si="1"/>
        <v>1</v>
      </c>
      <c r="D76" s="25">
        <f t="shared" si="3"/>
        <v>1</v>
      </c>
      <c r="E76" s="25">
        <f t="shared" si="3"/>
        <v>1</v>
      </c>
      <c r="F76" s="25">
        <f t="shared" si="3"/>
        <v>1</v>
      </c>
      <c r="G76" s="25">
        <f t="shared" si="3"/>
        <v>1</v>
      </c>
      <c r="I76">
        <v>2</v>
      </c>
      <c r="J76">
        <v>2</v>
      </c>
    </row>
    <row r="77" spans="2:11">
      <c r="B77" t="str">
        <f>MLIST!D77</f>
        <v>EV Supply Equip - New</v>
      </c>
      <c r="C77" s="25">
        <f t="shared" si="1"/>
        <v>1</v>
      </c>
      <c r="D77" s="25">
        <f t="shared" si="3"/>
        <v>1</v>
      </c>
      <c r="E77" s="25">
        <f t="shared" si="3"/>
        <v>1</v>
      </c>
      <c r="F77" s="25">
        <f t="shared" si="3"/>
        <v>1</v>
      </c>
      <c r="G77" s="25">
        <f t="shared" si="3"/>
        <v>1</v>
      </c>
    </row>
    <row r="78" spans="2:11">
      <c r="B78" t="str">
        <f>MLIST!D78</f>
        <v>EV Supply Equip - NR</v>
      </c>
      <c r="C78" s="25">
        <f t="shared" si="1"/>
        <v>1</v>
      </c>
      <c r="D78" s="25">
        <f t="shared" si="3"/>
        <v>1</v>
      </c>
      <c r="E78" s="25">
        <f t="shared" si="3"/>
        <v>1</v>
      </c>
      <c r="F78" s="25">
        <f t="shared" si="3"/>
        <v>1</v>
      </c>
      <c r="G78" s="25">
        <f t="shared" si="3"/>
        <v>1</v>
      </c>
      <c r="I78">
        <v>1</v>
      </c>
      <c r="J78">
        <v>1</v>
      </c>
      <c r="K78" t="s">
        <v>589</v>
      </c>
    </row>
    <row r="79" spans="2:11">
      <c r="B79" t="str">
        <f>MLIST!D79</f>
        <v>Air cleaners - New</v>
      </c>
      <c r="C79" s="25">
        <f t="shared" ref="C79:C85" si="4">IF(RIGHT($B79,2)="NR",1/$I79,IF(RIGHT($B79,2)="ew",100%,""))</f>
        <v>1</v>
      </c>
      <c r="D79" s="25">
        <f t="shared" si="3"/>
        <v>1</v>
      </c>
      <c r="E79" s="25">
        <f t="shared" si="3"/>
        <v>1</v>
      </c>
      <c r="F79" s="25">
        <f t="shared" si="3"/>
        <v>1</v>
      </c>
      <c r="G79" s="25">
        <f t="shared" si="3"/>
        <v>1</v>
      </c>
      <c r="I79" s="8">
        <v>9</v>
      </c>
      <c r="J79" s="8">
        <v>9</v>
      </c>
    </row>
    <row r="80" spans="2:11">
      <c r="B80" t="str">
        <f>MLIST!D80</f>
        <v>Air cleaners - NR</v>
      </c>
      <c r="C80" s="25">
        <f t="shared" si="4"/>
        <v>0.1111111111111111</v>
      </c>
      <c r="D80" s="25">
        <f t="shared" si="3"/>
        <v>0.1111111111111111</v>
      </c>
      <c r="E80" s="25">
        <f t="shared" si="3"/>
        <v>0.1111111111111111</v>
      </c>
      <c r="F80" s="25">
        <f t="shared" si="3"/>
        <v>0.1111111111111111</v>
      </c>
      <c r="G80" s="25">
        <f t="shared" si="3"/>
        <v>0.1111111111111111</v>
      </c>
      <c r="I80" s="8">
        <v>9</v>
      </c>
      <c r="J80" s="8">
        <v>9</v>
      </c>
      <c r="K80" t="s">
        <v>530</v>
      </c>
    </row>
    <row r="81" spans="2:10">
      <c r="B81" t="str">
        <f>MLIST!D81</f>
        <v>RAC - New</v>
      </c>
      <c r="C81" s="25">
        <f t="shared" si="4"/>
        <v>1</v>
      </c>
      <c r="D81" s="25">
        <f t="shared" si="3"/>
        <v>1</v>
      </c>
      <c r="E81" s="25">
        <f t="shared" si="3"/>
        <v>1</v>
      </c>
      <c r="F81" s="25">
        <f t="shared" si="3"/>
        <v>1</v>
      </c>
      <c r="G81" s="25">
        <f t="shared" si="3"/>
        <v>1</v>
      </c>
      <c r="I81" s="8">
        <v>9</v>
      </c>
      <c r="J81" s="8">
        <v>9</v>
      </c>
    </row>
    <row r="82" spans="2:10">
      <c r="B82" t="str">
        <f>MLIST!D82</f>
        <v>RAC - NR</v>
      </c>
      <c r="C82" s="25">
        <f t="shared" si="4"/>
        <v>0.1111111111111111</v>
      </c>
      <c r="D82" s="25">
        <f t="shared" si="3"/>
        <v>0.1111111111111111</v>
      </c>
      <c r="E82" s="25">
        <f t="shared" si="3"/>
        <v>0.1111111111111111</v>
      </c>
      <c r="F82" s="25">
        <f t="shared" si="3"/>
        <v>0.1111111111111111</v>
      </c>
      <c r="G82" s="25">
        <f t="shared" si="3"/>
        <v>0.1111111111111111</v>
      </c>
      <c r="I82">
        <v>9</v>
      </c>
      <c r="J82" s="8">
        <v>9</v>
      </c>
    </row>
    <row r="83" spans="2:10">
      <c r="B83" t="str">
        <f>MLIST!D83</f>
        <v>Well Pump - New</v>
      </c>
      <c r="C83" s="25">
        <f t="shared" si="4"/>
        <v>1</v>
      </c>
      <c r="D83" s="25">
        <f t="shared" si="3"/>
        <v>1</v>
      </c>
      <c r="E83" s="25">
        <f t="shared" si="3"/>
        <v>1</v>
      </c>
      <c r="F83" s="25">
        <f t="shared" si="3"/>
        <v>1</v>
      </c>
      <c r="G83" s="25">
        <f t="shared" si="3"/>
        <v>1</v>
      </c>
      <c r="I83">
        <v>20</v>
      </c>
      <c r="J83">
        <v>20</v>
      </c>
    </row>
    <row r="84" spans="2:10">
      <c r="B84" t="str">
        <f>MLIST!D84</f>
        <v>Well Pump - NR</v>
      </c>
      <c r="C84" s="25">
        <f>IF(RIGHT($B84,2)="NR",1/$I84,IF(RIGHT($B84,2)="ew",100%,""))</f>
        <v>0.05</v>
      </c>
      <c r="D84" s="25">
        <f t="shared" si="3"/>
        <v>0.05</v>
      </c>
      <c r="E84" s="25">
        <f t="shared" si="3"/>
        <v>0.05</v>
      </c>
      <c r="F84" s="25">
        <f t="shared" si="3"/>
        <v>0.05</v>
      </c>
      <c r="G84" s="25">
        <f t="shared" si="3"/>
        <v>0.05</v>
      </c>
      <c r="I84">
        <v>20</v>
      </c>
      <c r="J84">
        <v>20</v>
      </c>
    </row>
    <row r="85" spans="2:10">
      <c r="B85" t="str">
        <f>MLIST!D85</f>
        <v>ResWx - Retro</v>
      </c>
      <c r="C85" s="25" t="str">
        <f t="shared" si="4"/>
        <v/>
      </c>
      <c r="D85" s="25" t="str">
        <f t="shared" si="3"/>
        <v/>
      </c>
      <c r="E85" s="25" t="str">
        <f t="shared" si="3"/>
        <v/>
      </c>
      <c r="F85" s="25" t="str">
        <f t="shared" si="3"/>
        <v/>
      </c>
      <c r="G85" s="25" t="str">
        <f t="shared" si="3"/>
        <v/>
      </c>
      <c r="J85">
        <v>45</v>
      </c>
    </row>
    <row r="86" spans="2:10">
      <c r="C86" s="25"/>
      <c r="D86" s="25"/>
      <c r="E86" s="25"/>
      <c r="F86" s="25"/>
      <c r="G86" s="25"/>
    </row>
    <row r="87" spans="2:10">
      <c r="C87" s="25"/>
      <c r="D87" s="25"/>
      <c r="E87" s="25"/>
      <c r="F87" s="25"/>
      <c r="G87" s="25"/>
    </row>
    <row r="88" spans="2:10">
      <c r="C88" s="25"/>
      <c r="D88" s="25"/>
      <c r="E88" s="25"/>
      <c r="F88" s="25"/>
      <c r="G88" s="25"/>
    </row>
    <row r="89" spans="2:10">
      <c r="C89" s="25"/>
      <c r="D89" s="25"/>
      <c r="E89" s="25"/>
      <c r="F89" s="25"/>
      <c r="G89" s="25"/>
    </row>
    <row r="90" spans="2:10">
      <c r="C90" s="25"/>
      <c r="D90" s="25"/>
      <c r="E90" s="25"/>
      <c r="F90" s="25"/>
      <c r="G90" s="25"/>
    </row>
    <row r="91" spans="2:10">
      <c r="C91" s="25"/>
      <c r="D91" s="25"/>
      <c r="E91" s="25"/>
      <c r="F91" s="25"/>
      <c r="G91" s="25"/>
    </row>
    <row r="92" spans="2:10">
      <c r="C92" s="25"/>
      <c r="D92" s="25"/>
      <c r="E92" s="25"/>
      <c r="F92" s="25"/>
      <c r="G92" s="25"/>
    </row>
    <row r="93" spans="2:10">
      <c r="C93" s="25"/>
      <c r="D93" s="25"/>
      <c r="E93" s="25"/>
      <c r="F93" s="25"/>
      <c r="G93" s="25"/>
    </row>
    <row r="94" spans="2:10">
      <c r="C94" s="25"/>
      <c r="D94" s="25"/>
      <c r="E94" s="25"/>
      <c r="F94" s="25"/>
      <c r="G94" s="25"/>
    </row>
    <row r="95" spans="2:10">
      <c r="C95" s="25"/>
      <c r="D95" s="25"/>
      <c r="E95" s="25"/>
      <c r="F95" s="25"/>
      <c r="G95" s="25"/>
    </row>
    <row r="96" spans="2:10">
      <c r="C96" s="25"/>
      <c r="D96" s="25"/>
      <c r="E96" s="25"/>
      <c r="F96" s="25"/>
      <c r="G96" s="25"/>
    </row>
    <row r="97" spans="3:7">
      <c r="C97" s="25"/>
      <c r="D97" s="25"/>
      <c r="E97" s="25"/>
      <c r="F97" s="25"/>
      <c r="G97" s="25"/>
    </row>
    <row r="98" spans="3:7">
      <c r="C98" s="25"/>
      <c r="D98" s="25"/>
      <c r="E98" s="25"/>
      <c r="F98" s="25"/>
      <c r="G98" s="25"/>
    </row>
    <row r="99" spans="3:7">
      <c r="C99" s="25"/>
      <c r="D99" s="25"/>
      <c r="E99" s="25"/>
      <c r="F99" s="25"/>
      <c r="G99" s="25"/>
    </row>
    <row r="100" spans="3:7">
      <c r="C100" s="25"/>
      <c r="D100" s="25"/>
      <c r="E100" s="25"/>
      <c r="F100" s="25"/>
      <c r="G100" s="25"/>
    </row>
    <row r="101" spans="3:7">
      <c r="C101" s="25"/>
      <c r="D101" s="25"/>
      <c r="E101" s="25"/>
      <c r="F101" s="25"/>
      <c r="G101" s="25"/>
    </row>
    <row r="102" spans="3:7">
      <c r="C102" s="25"/>
      <c r="D102" s="25"/>
      <c r="E102" s="25"/>
      <c r="F102" s="25"/>
      <c r="G102" s="25"/>
    </row>
    <row r="103" spans="3:7">
      <c r="C103" s="25"/>
      <c r="D103" s="25"/>
      <c r="E103" s="25"/>
      <c r="F103" s="25"/>
      <c r="G103" s="25"/>
    </row>
    <row r="104" spans="3:7">
      <c r="C104" s="25"/>
      <c r="D104" s="25"/>
      <c r="E104" s="25"/>
      <c r="F104" s="25"/>
      <c r="G104" s="25"/>
    </row>
    <row r="105" spans="3:7">
      <c r="C105" s="25"/>
      <c r="D105" s="25"/>
      <c r="E105" s="25"/>
      <c r="F105" s="25"/>
      <c r="G105" s="25"/>
    </row>
    <row r="106" spans="3:7">
      <c r="C106" s="25"/>
      <c r="D106" s="25"/>
      <c r="E106" s="25"/>
      <c r="F106" s="25"/>
      <c r="G106" s="25"/>
    </row>
    <row r="107" spans="3:7">
      <c r="C107" s="25"/>
      <c r="D107" s="25"/>
      <c r="E107" s="25"/>
      <c r="F107" s="25"/>
      <c r="G107" s="25"/>
    </row>
    <row r="108" spans="3:7">
      <c r="C108" s="25"/>
      <c r="D108" s="25"/>
      <c r="E108" s="25"/>
      <c r="F108" s="25"/>
      <c r="G108" s="25"/>
    </row>
    <row r="109" spans="3:7">
      <c r="C109" s="25"/>
      <c r="D109" s="25"/>
      <c r="E109" s="25"/>
      <c r="F109" s="25"/>
      <c r="G109" s="25"/>
    </row>
  </sheetData>
  <phoneticPr fontId="0" type="noConversion"/>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rgb="FFFF0000"/>
  </sheetPr>
  <dimension ref="A1:AA117"/>
  <sheetViews>
    <sheetView topLeftCell="A18" zoomScale="130" zoomScaleNormal="130" workbookViewId="0">
      <selection activeCell="C34" sqref="C34"/>
    </sheetView>
  </sheetViews>
  <sheetFormatPr defaultRowHeight="12.75" outlineLevelCol="1"/>
  <cols>
    <col min="1" max="1" width="13.7109375" customWidth="1"/>
    <col min="2" max="2" width="49.85546875" customWidth="1"/>
    <col min="3" max="3" width="16.28515625" customWidth="1"/>
    <col min="4" max="19" width="9.7109375" customWidth="1" outlineLevel="1"/>
    <col min="20" max="20" width="7.85546875" customWidth="1" outlineLevel="1"/>
    <col min="21" max="23" width="9.7109375" customWidth="1" outlineLevel="1"/>
    <col min="24" max="25" width="9.7109375" customWidth="1"/>
    <col min="27" max="27" width="36" customWidth="1"/>
  </cols>
  <sheetData>
    <row r="1" spans="1:27">
      <c r="A1" t="s">
        <v>22</v>
      </c>
      <c r="B1" t="s">
        <v>23</v>
      </c>
      <c r="C1" s="34" t="s">
        <v>285</v>
      </c>
      <c r="D1" s="42">
        <v>0.10937459468255628</v>
      </c>
      <c r="E1" s="42">
        <v>0.21874918936511256</v>
      </c>
      <c r="F1" s="42">
        <v>0.32812378404766884</v>
      </c>
      <c r="G1" s="42">
        <v>0.43749837873022512</v>
      </c>
      <c r="H1" s="42">
        <v>0.5468729734127814</v>
      </c>
      <c r="I1" s="42">
        <v>0.64531010862708205</v>
      </c>
      <c r="J1" s="42">
        <v>0.7240598167985226</v>
      </c>
      <c r="K1" s="42">
        <v>0.78705958333567505</v>
      </c>
      <c r="L1" s="42">
        <v>0.83745939656539703</v>
      </c>
      <c r="M1" s="42">
        <v>0.87777924714917455</v>
      </c>
      <c r="N1" s="42">
        <v>0.91003512761619654</v>
      </c>
      <c r="O1" s="42">
        <v>0.93583983198981413</v>
      </c>
      <c r="P1" s="42">
        <v>0.9564835954887082</v>
      </c>
      <c r="Q1" s="42">
        <v>0.97299860628782353</v>
      </c>
      <c r="R1" s="42">
        <v>0.9862106149271157</v>
      </c>
      <c r="S1" s="42">
        <v>0.99678022183854953</v>
      </c>
      <c r="T1" s="42">
        <v>0.99685231466234414</v>
      </c>
      <c r="U1" s="42">
        <v>0.99687806209941365</v>
      </c>
      <c r="V1" s="42">
        <v>0.99688683963477831</v>
      </c>
      <c r="W1" s="42">
        <v>0.99688970187457115</v>
      </c>
      <c r="X1" s="42"/>
      <c r="Y1" s="26"/>
      <c r="Z1" s="26"/>
      <c r="AA1" s="26" t="s">
        <v>512</v>
      </c>
    </row>
    <row r="2" spans="1:27">
      <c r="C2" s="34" t="s">
        <v>292</v>
      </c>
      <c r="D2" s="37">
        <v>4.2999999999999997E-2</v>
      </c>
      <c r="E2" s="42">
        <v>9.5797142280278316E-2</v>
      </c>
      <c r="F2" s="42">
        <v>0.16040539374775648</v>
      </c>
      <c r="G2" s="42">
        <v>0.23540539374775649</v>
      </c>
      <c r="H2" s="42">
        <v>0.32095239121809005</v>
      </c>
      <c r="I2" s="42">
        <v>0.42096711425629652</v>
      </c>
      <c r="J2" s="42">
        <v>0.53068481860864725</v>
      </c>
      <c r="K2" s="42">
        <v>0.642769203728351</v>
      </c>
      <c r="L2" s="42">
        <v>0.74839528535557953</v>
      </c>
      <c r="M2" s="42">
        <v>0.83918984935345187</v>
      </c>
      <c r="N2" s="42">
        <v>0.90945051634530116</v>
      </c>
      <c r="O2" s="42">
        <v>0.9576688767502457</v>
      </c>
      <c r="P2" s="42">
        <v>0.9865231113648858</v>
      </c>
      <c r="Q2" s="42">
        <v>1</v>
      </c>
      <c r="R2" s="42">
        <v>1</v>
      </c>
      <c r="S2" s="42">
        <v>1</v>
      </c>
      <c r="T2" s="42">
        <v>1</v>
      </c>
      <c r="U2" s="42">
        <v>1</v>
      </c>
      <c r="V2" s="42">
        <v>1</v>
      </c>
      <c r="W2" s="42">
        <v>1</v>
      </c>
      <c r="X2" s="42"/>
      <c r="Y2" s="26"/>
      <c r="Z2" s="26"/>
      <c r="AA2" s="26">
        <v>0.6</v>
      </c>
    </row>
    <row r="3" spans="1:27">
      <c r="C3" s="34" t="s">
        <v>293</v>
      </c>
      <c r="D3" s="42">
        <v>5.0000000000000001E-3</v>
      </c>
      <c r="E3" s="42">
        <v>7.6904586297764643E-3</v>
      </c>
      <c r="F3" s="42">
        <v>1.6792013047419844E-2</v>
      </c>
      <c r="G3" s="42">
        <v>3.15969387774655E-2</v>
      </c>
      <c r="H3" s="42">
        <v>5.406874819795171E-2</v>
      </c>
      <c r="I3" s="42">
        <v>8.6253181011834101E-2</v>
      </c>
      <c r="J3" s="42">
        <v>0.1300328481838382</v>
      </c>
      <c r="K3" s="42">
        <v>0.18678710893858319</v>
      </c>
      <c r="L3" s="42">
        <v>0.2569823480072907</v>
      </c>
      <c r="M3" s="42">
        <v>0.33975920985004748</v>
      </c>
      <c r="N3" s="42">
        <v>0.43262946935754232</v>
      </c>
      <c r="O3" s="42">
        <v>0.53142594003645804</v>
      </c>
      <c r="P3" s="42">
        <v>0.63063487292644704</v>
      </c>
      <c r="Q3" s="42">
        <v>0.7241560234206913</v>
      </c>
      <c r="R3" s="42">
        <v>0.80638203131755359</v>
      </c>
      <c r="S3" s="42">
        <v>0.87331559734491926</v>
      </c>
      <c r="T3" s="42">
        <v>0.92334516248836807</v>
      </c>
      <c r="U3" s="42">
        <v>0.96</v>
      </c>
      <c r="V3" s="42">
        <v>0.98</v>
      </c>
      <c r="W3" s="42">
        <v>0.996</v>
      </c>
      <c r="X3" s="42"/>
      <c r="Y3" s="26"/>
      <c r="Z3" s="26"/>
      <c r="AA3" s="26">
        <v>0.85</v>
      </c>
    </row>
    <row r="4" spans="1:27">
      <c r="C4" s="34" t="s">
        <v>286</v>
      </c>
      <c r="D4" s="42">
        <v>0.45</v>
      </c>
      <c r="E4" s="42">
        <v>0.66</v>
      </c>
      <c r="F4" s="42">
        <v>0.8</v>
      </c>
      <c r="G4" s="42">
        <v>0.89</v>
      </c>
      <c r="H4" s="42">
        <v>0.94954036260972652</v>
      </c>
      <c r="I4" s="42">
        <v>0.97931054391458994</v>
      </c>
      <c r="J4" s="42">
        <v>0.99254173560564019</v>
      </c>
      <c r="K4" s="42">
        <v>0.99783421228206048</v>
      </c>
      <c r="L4" s="42">
        <v>0.99975874925530417</v>
      </c>
      <c r="M4" s="42">
        <v>1</v>
      </c>
      <c r="N4" s="42">
        <v>1</v>
      </c>
      <c r="O4" s="42">
        <v>1</v>
      </c>
      <c r="P4" s="42">
        <v>1</v>
      </c>
      <c r="Q4" s="42">
        <v>1</v>
      </c>
      <c r="R4" s="42">
        <v>1</v>
      </c>
      <c r="S4" s="42">
        <v>1</v>
      </c>
      <c r="T4" s="42">
        <v>1</v>
      </c>
      <c r="U4" s="42">
        <v>1</v>
      </c>
      <c r="V4" s="42">
        <v>1</v>
      </c>
      <c r="W4" s="42">
        <v>1</v>
      </c>
      <c r="X4" s="42"/>
      <c r="Y4" s="26"/>
      <c r="Z4" s="26"/>
      <c r="AA4" s="26">
        <v>0.95</v>
      </c>
    </row>
    <row r="5" spans="1:27">
      <c r="C5" s="34" t="s">
        <v>287</v>
      </c>
      <c r="D5" s="37">
        <v>0.22119921692859512</v>
      </c>
      <c r="E5" s="37">
        <v>0.37624232795148943</v>
      </c>
      <c r="F5" s="37">
        <v>0.48357361352878442</v>
      </c>
      <c r="G5" s="37">
        <v>0.56716330278444227</v>
      </c>
      <c r="H5" s="37">
        <v>0.64040048266456928</v>
      </c>
      <c r="I5" s="37">
        <v>0.70377511937632964</v>
      </c>
      <c r="J5" s="37">
        <v>0.7580669577441127</v>
      </c>
      <c r="K5" s="37">
        <v>0.80419335000071168</v>
      </c>
      <c r="L5" s="37">
        <v>0.84311022627788457</v>
      </c>
      <c r="M5" s="37">
        <v>0.87575014259103623</v>
      </c>
      <c r="N5" s="37">
        <v>0.90298584871682319</v>
      </c>
      <c r="O5" s="37">
        <v>0.92419703797508856</v>
      </c>
      <c r="P5" s="37">
        <v>0.94071632877930145</v>
      </c>
      <c r="Q5" s="37">
        <v>0.95358156539340677</v>
      </c>
      <c r="R5" s="37">
        <v>0.96360102174287088</v>
      </c>
      <c r="S5" s="37">
        <v>0.97140418219378311</v>
      </c>
      <c r="T5" s="37">
        <v>0.97748128966338554</v>
      </c>
      <c r="U5" s="37">
        <v>0.98399999999999999</v>
      </c>
      <c r="V5" s="37">
        <v>0.98899999999999999</v>
      </c>
      <c r="W5" s="37">
        <v>0.996</v>
      </c>
      <c r="X5" s="42"/>
      <c r="Y5" s="26"/>
      <c r="Z5" s="26"/>
      <c r="AA5" s="26">
        <v>1</v>
      </c>
    </row>
    <row r="6" spans="1:27">
      <c r="C6" s="34" t="s">
        <v>288</v>
      </c>
      <c r="D6" s="37">
        <v>0.05</v>
      </c>
      <c r="E6" s="37">
        <v>0.1</v>
      </c>
      <c r="F6" s="37">
        <v>0.15000000000000002</v>
      </c>
      <c r="G6" s="37">
        <v>0.2</v>
      </c>
      <c r="H6" s="37">
        <v>0.25</v>
      </c>
      <c r="I6" s="37">
        <v>0.3</v>
      </c>
      <c r="J6" s="37">
        <v>0.35</v>
      </c>
      <c r="K6" s="37">
        <v>0.39999999999999997</v>
      </c>
      <c r="L6" s="37">
        <v>0.44999999999999996</v>
      </c>
      <c r="M6" s="37">
        <v>0.49999999999999994</v>
      </c>
      <c r="N6" s="37">
        <v>0.54999999999999993</v>
      </c>
      <c r="O6" s="37">
        <v>0.6</v>
      </c>
      <c r="P6" s="37">
        <v>0.65</v>
      </c>
      <c r="Q6" s="37">
        <v>0.70000000000000007</v>
      </c>
      <c r="R6" s="37">
        <v>0.75000000000000011</v>
      </c>
      <c r="S6" s="37">
        <v>0.80000000000000016</v>
      </c>
      <c r="T6" s="37">
        <v>0.8500000000000002</v>
      </c>
      <c r="U6" s="37">
        <v>0.90000000000000024</v>
      </c>
      <c r="V6" s="37">
        <v>0.95000000000000029</v>
      </c>
      <c r="W6" s="37">
        <v>1.0000000000000002</v>
      </c>
      <c r="X6" s="42"/>
      <c r="Y6" s="26"/>
      <c r="Z6" s="26"/>
    </row>
    <row r="7" spans="1:27">
      <c r="C7" s="34" t="s">
        <v>289</v>
      </c>
      <c r="D7" s="58">
        <v>5.5320496977002724E-3</v>
      </c>
      <c r="E7" s="58">
        <v>1.4227918344261844E-2</v>
      </c>
      <c r="F7" s="37">
        <v>3.1619655637384989E-2</v>
      </c>
      <c r="G7" s="37">
        <v>6.2055195900350503E-2</v>
      </c>
      <c r="H7" s="37">
        <v>0.10939936964274129</v>
      </c>
      <c r="I7" s="37">
        <v>0.17568121288208835</v>
      </c>
      <c r="J7" s="37">
        <v>0.26003992245943919</v>
      </c>
      <c r="K7" s="37">
        <v>0.3584584169663485</v>
      </c>
      <c r="L7" s="37">
        <v>0.46444756489686617</v>
      </c>
      <c r="M7" s="37">
        <v>0.57043671282738384</v>
      </c>
      <c r="N7" s="37">
        <v>0.66935991756253377</v>
      </c>
      <c r="O7" s="37">
        <v>0.75591772170578986</v>
      </c>
      <c r="P7" s="37">
        <v>0.82720061923553012</v>
      </c>
      <c r="Q7" s="37">
        <v>0.88264287286977261</v>
      </c>
      <c r="R7" s="37">
        <v>0.92349505975816193</v>
      </c>
      <c r="S7" s="37">
        <v>0.95209159058003434</v>
      </c>
      <c r="T7" s="37">
        <v>0.97115594446128262</v>
      </c>
      <c r="U7" s="37">
        <v>0.98328780602207699</v>
      </c>
      <c r="V7" s="37">
        <v>0.99067241740690848</v>
      </c>
      <c r="W7" s="37">
        <v>0.996</v>
      </c>
      <c r="X7" s="42"/>
      <c r="Y7" s="26"/>
      <c r="Z7" s="26"/>
    </row>
    <row r="8" spans="1:27">
      <c r="C8" s="85" t="s">
        <v>281</v>
      </c>
      <c r="D8" s="37">
        <v>0.10937459468255628</v>
      </c>
      <c r="E8" s="37">
        <v>0.10937459468255628</v>
      </c>
      <c r="F8" s="37">
        <v>0.10937459468255628</v>
      </c>
      <c r="G8" s="37">
        <v>0.10937459468255628</v>
      </c>
      <c r="H8" s="37">
        <v>0.10937459468255628</v>
      </c>
      <c r="I8" s="37">
        <v>9.8437135214300656E-2</v>
      </c>
      <c r="J8" s="37">
        <v>7.874970817144053E-2</v>
      </c>
      <c r="K8" s="37">
        <v>6.2999766537152418E-2</v>
      </c>
      <c r="L8" s="37">
        <v>5.0399813229721938E-2</v>
      </c>
      <c r="M8" s="37">
        <v>4.0319850583777551E-2</v>
      </c>
      <c r="N8" s="37">
        <v>3.225588046702204E-2</v>
      </c>
      <c r="O8" s="37">
        <v>2.5804704373617631E-2</v>
      </c>
      <c r="P8" s="37">
        <v>2.0643763498894106E-2</v>
      </c>
      <c r="Q8" s="37">
        <v>1.6515010799115284E-2</v>
      </c>
      <c r="R8" s="37">
        <v>1.3212008639292228E-2</v>
      </c>
      <c r="S8" s="37">
        <v>1.0569606911433781E-2</v>
      </c>
      <c r="T8" s="37">
        <v>7.2092823794611682E-5</v>
      </c>
      <c r="U8" s="37">
        <v>2.5747437069512102E-5</v>
      </c>
      <c r="V8" s="37">
        <v>8.7775353646568632E-6</v>
      </c>
      <c r="W8" s="37">
        <v>2.8622397928446119E-6</v>
      </c>
      <c r="X8" s="42"/>
      <c r="Y8" s="26">
        <f t="shared" ref="Y8:Y14" si="0">SUM(D8:W8)</f>
        <v>0.99688970187457115</v>
      </c>
      <c r="Z8" s="26"/>
    </row>
    <row r="9" spans="1:27">
      <c r="C9" s="85" t="s">
        <v>291</v>
      </c>
      <c r="D9" s="37">
        <v>4.2999999999999997E-2</v>
      </c>
      <c r="E9" s="37">
        <v>5.279714228027832E-2</v>
      </c>
      <c r="F9" s="37">
        <v>6.4608251467478173E-2</v>
      </c>
      <c r="G9" s="37">
        <v>7.4999999999999997E-2</v>
      </c>
      <c r="H9" s="37">
        <v>8.5546997470333563E-2</v>
      </c>
      <c r="I9" s="37">
        <v>0.10001472303820647</v>
      </c>
      <c r="J9" s="37">
        <v>0.10971770435235073</v>
      </c>
      <c r="K9" s="37">
        <v>0.11208438511970376</v>
      </c>
      <c r="L9" s="37">
        <v>0.10562608162722853</v>
      </c>
      <c r="M9" s="37">
        <v>9.0794563997872335E-2</v>
      </c>
      <c r="N9" s="37">
        <v>7.0260666991849297E-2</v>
      </c>
      <c r="O9" s="37">
        <v>4.65E-2</v>
      </c>
      <c r="P9" s="37">
        <v>2.7E-2</v>
      </c>
      <c r="Q9" s="37">
        <v>1.2999999999999999E-2</v>
      </c>
      <c r="R9" s="37">
        <v>5.4999999999999997E-3</v>
      </c>
      <c r="S9" s="37">
        <v>2E-3</v>
      </c>
      <c r="T9" s="37">
        <v>6.2471001963848583E-4</v>
      </c>
      <c r="U9" s="37">
        <v>1.3615841889635938E-4</v>
      </c>
      <c r="V9" s="37">
        <v>2.2380636622298944E-5</v>
      </c>
      <c r="W9" s="37">
        <v>2.68643837586513E-6</v>
      </c>
      <c r="X9" s="42"/>
      <c r="Y9" s="26">
        <f t="shared" si="0"/>
        <v>1.004236451858834</v>
      </c>
      <c r="Z9" s="26"/>
    </row>
    <row r="10" spans="1:27">
      <c r="C10" s="85" t="s">
        <v>294</v>
      </c>
      <c r="D10" s="37">
        <v>2.5643970768378654E-3</v>
      </c>
      <c r="E10" s="37">
        <v>5.1260615529385989E-3</v>
      </c>
      <c r="F10" s="37">
        <v>9.1015544176433795E-3</v>
      </c>
      <c r="G10" s="37">
        <v>1.4804925730045659E-2</v>
      </c>
      <c r="H10" s="37">
        <v>2.2471809420486211E-2</v>
      </c>
      <c r="I10" s="37">
        <v>3.2184432813882391E-2</v>
      </c>
      <c r="J10" s="37">
        <v>4.3779667172004086E-2</v>
      </c>
      <c r="K10" s="37">
        <v>5.675426075474499E-2</v>
      </c>
      <c r="L10" s="37">
        <v>7.0195239068707532E-2</v>
      </c>
      <c r="M10" s="37">
        <v>8.2776861842756788E-2</v>
      </c>
      <c r="N10" s="37">
        <v>9.2870259507494834E-2</v>
      </c>
      <c r="O10" s="37">
        <v>9.8796470678915727E-2</v>
      </c>
      <c r="P10" s="37">
        <v>9.9208932889988999E-2</v>
      </c>
      <c r="Q10" s="37">
        <v>9.3521150494244254E-2</v>
      </c>
      <c r="R10" s="37">
        <v>8.2226007896862296E-2</v>
      </c>
      <c r="S10" s="37">
        <v>6.8000000000000005E-2</v>
      </c>
      <c r="T10" s="37">
        <v>5.1999999999999998E-2</v>
      </c>
      <c r="U10" s="37">
        <v>3.5999999999999997E-2</v>
      </c>
      <c r="V10" s="37">
        <v>2.3E-2</v>
      </c>
      <c r="W10" s="37">
        <v>1.4999999999999999E-2</v>
      </c>
      <c r="X10" s="42"/>
      <c r="Y10" s="26">
        <f t="shared" si="0"/>
        <v>1.0003820313175538</v>
      </c>
      <c r="Z10" s="26"/>
    </row>
    <row r="11" spans="1:27">
      <c r="C11" s="86" t="s">
        <v>282</v>
      </c>
      <c r="D11" s="37">
        <v>0.45</v>
      </c>
      <c r="E11" s="37">
        <v>0.21</v>
      </c>
      <c r="F11" s="37">
        <v>0.14000000000000001</v>
      </c>
      <c r="G11" s="37">
        <v>0.09</v>
      </c>
      <c r="H11" s="37">
        <v>5.9540362609726505E-2</v>
      </c>
      <c r="I11" s="37">
        <v>2.9770181304863419E-2</v>
      </c>
      <c r="J11" s="37">
        <v>1.3231191691050248E-2</v>
      </c>
      <c r="K11" s="37">
        <v>5.2924766764202991E-3</v>
      </c>
      <c r="L11" s="37">
        <v>1.9245369732436846E-3</v>
      </c>
      <c r="M11" s="37">
        <v>6.415123244144505E-4</v>
      </c>
      <c r="N11" s="37">
        <v>1.9738840751215569E-4</v>
      </c>
      <c r="O11" s="37">
        <v>5.6396687860615913E-5</v>
      </c>
      <c r="P11" s="37">
        <v>1.5039116763038152E-5</v>
      </c>
      <c r="Q11" s="37">
        <v>3.7597791905374933E-6</v>
      </c>
      <c r="R11" s="37">
        <v>8.8465392733549919E-7</v>
      </c>
      <c r="S11" s="37">
        <v>1.9658976146974538E-7</v>
      </c>
      <c r="T11" s="37">
        <v>4.13873183502389E-8</v>
      </c>
      <c r="U11" s="37">
        <v>8.2774636034343985E-9</v>
      </c>
      <c r="V11" s="37">
        <v>1.5766598027155965E-9</v>
      </c>
      <c r="W11" s="37">
        <v>2.8666535811794347E-10</v>
      </c>
      <c r="X11" s="37"/>
      <c r="Y11" s="26">
        <f t="shared" si="0"/>
        <v>1.0006739783428409</v>
      </c>
      <c r="Z11" s="26"/>
    </row>
    <row r="12" spans="1:27">
      <c r="C12" s="86" t="s">
        <v>283</v>
      </c>
      <c r="D12" s="37">
        <v>0.22119921692859512</v>
      </c>
      <c r="E12" s="88">
        <v>0.15504311102289431</v>
      </c>
      <c r="F12" s="37">
        <v>0.10733128557729499</v>
      </c>
      <c r="G12" s="37">
        <v>8.3589689255657879E-2</v>
      </c>
      <c r="H12" s="37">
        <v>7.3237179880126971E-2</v>
      </c>
      <c r="I12" s="37">
        <v>6.3374636711760357E-2</v>
      </c>
      <c r="J12" s="37">
        <v>5.4291838367783084E-2</v>
      </c>
      <c r="K12" s="37">
        <v>4.612639225659896E-2</v>
      </c>
      <c r="L12" s="37">
        <v>3.8916876277172864E-2</v>
      </c>
      <c r="M12" s="37">
        <v>3.2639916313151704E-2</v>
      </c>
      <c r="N12" s="37">
        <v>2.7235706125786907E-2</v>
      </c>
      <c r="O12" s="37">
        <v>2.1211189258265428E-2</v>
      </c>
      <c r="P12" s="37">
        <v>1.6519290804212883E-2</v>
      </c>
      <c r="Q12" s="37">
        <v>1.2865236614105324E-2</v>
      </c>
      <c r="R12" s="37">
        <v>1.0019456349464106E-2</v>
      </c>
      <c r="S12" s="37">
        <v>9.1999999999999998E-3</v>
      </c>
      <c r="T12" s="37">
        <v>7.1999999999999998E-3</v>
      </c>
      <c r="U12" s="37">
        <v>6.1999999999999998E-3</v>
      </c>
      <c r="V12" s="37">
        <v>5.1999999999999998E-3</v>
      </c>
      <c r="W12" s="37">
        <v>4.1999999999999997E-3</v>
      </c>
      <c r="X12" s="42"/>
      <c r="Y12" s="26">
        <f t="shared" si="0"/>
        <v>0.9956010217428708</v>
      </c>
      <c r="Z12" s="26"/>
    </row>
    <row r="13" spans="1:27">
      <c r="C13" s="86" t="s">
        <v>284</v>
      </c>
      <c r="D13" s="37">
        <v>0.05</v>
      </c>
      <c r="E13" s="37">
        <v>0.05</v>
      </c>
      <c r="F13" s="37">
        <v>0.05</v>
      </c>
      <c r="G13" s="37">
        <v>0.05</v>
      </c>
      <c r="H13" s="37">
        <v>0.05</v>
      </c>
      <c r="I13" s="37">
        <v>0.05</v>
      </c>
      <c r="J13" s="37">
        <v>0.05</v>
      </c>
      <c r="K13" s="37">
        <v>0.05</v>
      </c>
      <c r="L13" s="37">
        <v>0.05</v>
      </c>
      <c r="M13" s="37">
        <v>0.05</v>
      </c>
      <c r="N13" s="37">
        <v>0.05</v>
      </c>
      <c r="O13" s="37">
        <v>0.05</v>
      </c>
      <c r="P13" s="37">
        <v>0.05</v>
      </c>
      <c r="Q13" s="37">
        <v>0.05</v>
      </c>
      <c r="R13" s="37">
        <v>0.05</v>
      </c>
      <c r="S13" s="37">
        <v>0.05</v>
      </c>
      <c r="T13" s="37">
        <v>0.05</v>
      </c>
      <c r="U13" s="37">
        <v>0.05</v>
      </c>
      <c r="V13" s="37">
        <v>0.05</v>
      </c>
      <c r="W13" s="37">
        <v>0.05</v>
      </c>
      <c r="X13" s="42"/>
      <c r="Y13" s="26">
        <f t="shared" si="0"/>
        <v>1.0000000000000002</v>
      </c>
      <c r="Z13" s="26"/>
    </row>
    <row r="14" spans="1:27">
      <c r="C14" s="86" t="s">
        <v>290</v>
      </c>
      <c r="D14" s="88">
        <v>5.5320496977002724E-3</v>
      </c>
      <c r="E14" s="88">
        <v>8.6958686465615706E-3</v>
      </c>
      <c r="F14" s="88">
        <v>1.7391737293123145E-2</v>
      </c>
      <c r="G14" s="88">
        <v>3.0435540262965514E-2</v>
      </c>
      <c r="H14" s="88">
        <v>4.7344173742390784E-2</v>
      </c>
      <c r="I14" s="88">
        <v>6.6281843239347063E-2</v>
      </c>
      <c r="J14" s="88">
        <v>8.4358709577350838E-2</v>
      </c>
      <c r="K14" s="88">
        <v>9.8418494506909315E-2</v>
      </c>
      <c r="L14" s="88">
        <v>0.10598914793051767</v>
      </c>
      <c r="M14" s="88">
        <v>0.10598914793051767</v>
      </c>
      <c r="N14" s="88">
        <v>9.8923204735149928E-2</v>
      </c>
      <c r="O14" s="88">
        <v>8.655780414325609E-2</v>
      </c>
      <c r="P14" s="88">
        <v>7.1282897529740263E-2</v>
      </c>
      <c r="Q14" s="88">
        <v>5.5442253634242489E-2</v>
      </c>
      <c r="R14" s="88">
        <v>4.0852186888389319E-2</v>
      </c>
      <c r="S14" s="88">
        <v>2.8596530821872412E-2</v>
      </c>
      <c r="T14" s="88">
        <v>1.9064353881248275E-2</v>
      </c>
      <c r="U14" s="88">
        <v>1.2131861560794377E-2</v>
      </c>
      <c r="V14" s="88">
        <v>7.3846113848314854E-3</v>
      </c>
      <c r="W14" s="88">
        <v>5.0000000000000001E-3</v>
      </c>
      <c r="X14" s="42"/>
      <c r="Y14" s="26">
        <f t="shared" si="0"/>
        <v>0.99567241740690848</v>
      </c>
      <c r="Z14" s="26"/>
    </row>
    <row r="15" spans="1:27">
      <c r="C15" s="86"/>
      <c r="D15" s="88"/>
      <c r="E15" s="88"/>
      <c r="F15" s="88"/>
      <c r="G15" s="88"/>
      <c r="H15" s="88"/>
      <c r="I15" s="88"/>
      <c r="J15" s="88"/>
      <c r="K15" s="88"/>
      <c r="L15" s="88"/>
      <c r="M15" s="88"/>
      <c r="N15" s="88"/>
      <c r="O15" s="88"/>
      <c r="P15" s="88"/>
      <c r="Q15" s="88"/>
      <c r="R15" s="88"/>
      <c r="S15" s="88"/>
      <c r="T15" s="88"/>
      <c r="U15" s="88"/>
      <c r="V15" s="88"/>
      <c r="W15" s="88"/>
      <c r="X15" s="42"/>
      <c r="Y15" s="26"/>
      <c r="Z15" s="26"/>
    </row>
    <row r="16" spans="1:27">
      <c r="A16" s="2"/>
      <c r="B16" s="2"/>
      <c r="C16" s="2"/>
      <c r="D16" s="2"/>
      <c r="E16" s="2"/>
      <c r="F16" s="2"/>
      <c r="G16" s="2"/>
      <c r="H16" s="2"/>
      <c r="I16" s="2"/>
      <c r="J16" s="2"/>
      <c r="K16" s="2"/>
      <c r="L16" s="2"/>
      <c r="M16" s="2"/>
      <c r="N16" s="2"/>
      <c r="O16" s="2"/>
      <c r="P16" s="2"/>
      <c r="Q16" s="2"/>
      <c r="R16" s="2"/>
      <c r="S16" s="2"/>
      <c r="T16" s="2"/>
      <c r="U16" s="2"/>
      <c r="V16" s="2"/>
      <c r="W16" s="2"/>
      <c r="X16" s="2"/>
      <c r="Y16" s="2"/>
    </row>
    <row r="17" spans="1:27">
      <c r="A17" s="2" t="s">
        <v>43</v>
      </c>
      <c r="B17" s="2" t="s">
        <v>68</v>
      </c>
      <c r="C17" s="2" t="s">
        <v>93</v>
      </c>
      <c r="D17" s="2">
        <v>2022</v>
      </c>
      <c r="E17" s="2">
        <v>2023</v>
      </c>
      <c r="F17" s="2">
        <v>2024</v>
      </c>
      <c r="G17" s="2">
        <v>2025</v>
      </c>
      <c r="H17" s="2">
        <v>2026</v>
      </c>
      <c r="I17" s="2">
        <v>2027</v>
      </c>
      <c r="J17" s="2">
        <v>2028</v>
      </c>
      <c r="K17" s="2">
        <v>2029</v>
      </c>
      <c r="L17" s="2">
        <v>2030</v>
      </c>
      <c r="M17" s="2">
        <v>2031</v>
      </c>
      <c r="N17" s="2">
        <v>2032</v>
      </c>
      <c r="O17" s="2">
        <v>2033</v>
      </c>
      <c r="P17" s="2">
        <v>2034</v>
      </c>
      <c r="Q17" s="2">
        <v>2035</v>
      </c>
      <c r="R17" s="2">
        <v>2036</v>
      </c>
      <c r="S17" s="2">
        <v>2037</v>
      </c>
      <c r="T17" s="2">
        <v>2038</v>
      </c>
      <c r="U17" s="2">
        <v>2039</v>
      </c>
      <c r="V17" s="2">
        <v>2040</v>
      </c>
      <c r="W17" s="2">
        <v>2041</v>
      </c>
      <c r="X17" s="2" t="s">
        <v>511</v>
      </c>
      <c r="Y17" s="2"/>
      <c r="AA17" s="33" t="s">
        <v>21</v>
      </c>
    </row>
    <row r="18" spans="1:27">
      <c r="A18" t="str">
        <f>MLIST!A9</f>
        <v>Lighting</v>
      </c>
      <c r="B18" t="str">
        <f>MLIST!D9</f>
        <v>Pin Lamps - New</v>
      </c>
      <c r="C18" t="s">
        <v>287</v>
      </c>
      <c r="D18" s="25">
        <f>IF(ISBLANK($C18),"",VLOOKUP($C18,$C$1:$X$15,D$17-$D$17+2,FALSE))</f>
        <v>0.22119921692859512</v>
      </c>
      <c r="E18" s="25">
        <f t="shared" ref="D18:M27" si="1">IF(ISBLANK($C18),"",VLOOKUP($C18,$C$1:$X$15,E$17-$D$17+2,FALSE))</f>
        <v>0.37624232795148943</v>
      </c>
      <c r="F18" s="25">
        <f t="shared" si="1"/>
        <v>0.48357361352878442</v>
      </c>
      <c r="G18" s="25">
        <f t="shared" si="1"/>
        <v>0.56716330278444227</v>
      </c>
      <c r="H18" s="25">
        <f t="shared" si="1"/>
        <v>0.64040048266456928</v>
      </c>
      <c r="I18" s="25">
        <f>IF(ISBLANK($C18),"",VLOOKUP($C18,$C$1:$X$15,I$17-$D$17+2,FALSE))</f>
        <v>0.70377511937632964</v>
      </c>
      <c r="J18" s="25">
        <f t="shared" si="1"/>
        <v>0.7580669577441127</v>
      </c>
      <c r="K18" s="25">
        <f t="shared" si="1"/>
        <v>0.80419335000071168</v>
      </c>
      <c r="L18" s="25">
        <f t="shared" si="1"/>
        <v>0.84311022627788457</v>
      </c>
      <c r="M18" s="25">
        <f t="shared" si="1"/>
        <v>0.87575014259103623</v>
      </c>
      <c r="N18" s="25">
        <f t="shared" ref="N18:W27" si="2">IF(ISBLANK($C18),"",VLOOKUP($C18,$C$1:$X$15,N$17-$D$17+2,FALSE))</f>
        <v>0.90298584871682319</v>
      </c>
      <c r="O18" s="25">
        <f t="shared" si="2"/>
        <v>0.92419703797508856</v>
      </c>
      <c r="P18" s="25">
        <f t="shared" si="2"/>
        <v>0.94071632877930145</v>
      </c>
      <c r="Q18" s="25">
        <f t="shared" si="2"/>
        <v>0.95358156539340677</v>
      </c>
      <c r="R18" s="25">
        <f t="shared" si="2"/>
        <v>0.96360102174287088</v>
      </c>
      <c r="S18" s="25">
        <f t="shared" si="2"/>
        <v>0.97140418219378311</v>
      </c>
      <c r="T18" s="25">
        <f t="shared" si="2"/>
        <v>0.97748128966338554</v>
      </c>
      <c r="U18" s="25">
        <f t="shared" si="2"/>
        <v>0.98399999999999999</v>
      </c>
      <c r="V18" s="25">
        <f t="shared" si="2"/>
        <v>0.98899999999999999</v>
      </c>
      <c r="W18" s="25">
        <f t="shared" si="2"/>
        <v>0.996</v>
      </c>
      <c r="X18" s="25">
        <v>0.95</v>
      </c>
      <c r="Z18" s="25" t="b">
        <f>IF(IF(OR(RIGHT(B18,2)="NR",RIGHT(B18,2)="ew"),"LO","Retro")=LEFT(C18,2),TRUE,FALSE)</f>
        <v>1</v>
      </c>
    </row>
    <row r="19" spans="1:27">
      <c r="A19" t="str">
        <f>MLIST!A10</f>
        <v>Lighting</v>
      </c>
      <c r="B19" t="str">
        <f>MLIST!D10</f>
        <v>Pin Lamps - NR</v>
      </c>
      <c r="C19" t="s">
        <v>287</v>
      </c>
      <c r="D19" s="25">
        <f t="shared" si="1"/>
        <v>0.22119921692859512</v>
      </c>
      <c r="E19" s="25">
        <f t="shared" si="1"/>
        <v>0.37624232795148943</v>
      </c>
      <c r="F19" s="25">
        <f t="shared" si="1"/>
        <v>0.48357361352878442</v>
      </c>
      <c r="G19" s="25">
        <f t="shared" si="1"/>
        <v>0.56716330278444227</v>
      </c>
      <c r="H19" s="25">
        <f t="shared" si="1"/>
        <v>0.64040048266456928</v>
      </c>
      <c r="I19" s="25">
        <f t="shared" si="1"/>
        <v>0.70377511937632964</v>
      </c>
      <c r="J19" s="25">
        <f t="shared" si="1"/>
        <v>0.7580669577441127</v>
      </c>
      <c r="K19" s="25">
        <f t="shared" si="1"/>
        <v>0.80419335000071168</v>
      </c>
      <c r="L19" s="25">
        <f t="shared" si="1"/>
        <v>0.84311022627788457</v>
      </c>
      <c r="M19" s="25">
        <f t="shared" si="1"/>
        <v>0.87575014259103623</v>
      </c>
      <c r="N19" s="25">
        <f t="shared" si="2"/>
        <v>0.90298584871682319</v>
      </c>
      <c r="O19" s="25">
        <f t="shared" si="2"/>
        <v>0.92419703797508856</v>
      </c>
      <c r="P19" s="25">
        <f t="shared" si="2"/>
        <v>0.94071632877930145</v>
      </c>
      <c r="Q19" s="25">
        <f t="shared" si="2"/>
        <v>0.95358156539340677</v>
      </c>
      <c r="R19" s="25">
        <f t="shared" si="2"/>
        <v>0.96360102174287088</v>
      </c>
      <c r="S19" s="25">
        <f t="shared" si="2"/>
        <v>0.97140418219378311</v>
      </c>
      <c r="T19" s="25">
        <f t="shared" si="2"/>
        <v>0.97748128966338554</v>
      </c>
      <c r="U19" s="25">
        <f t="shared" si="2"/>
        <v>0.98399999999999999</v>
      </c>
      <c r="V19" s="25">
        <f t="shared" si="2"/>
        <v>0.98899999999999999</v>
      </c>
      <c r="W19" s="25">
        <f t="shared" si="2"/>
        <v>0.996</v>
      </c>
      <c r="X19" s="25">
        <v>0.95</v>
      </c>
      <c r="Z19" s="25" t="b">
        <f>IF(IF(OR(RIGHT(B19,2)="NR",RIGHT(B19,2)="ew"),"LO","Re")=LEFT(C19,2),TRUE,FALSE)</f>
        <v>1</v>
      </c>
    </row>
    <row r="20" spans="1:27">
      <c r="A20" t="str">
        <f>MLIST!A11</f>
        <v>Lighting</v>
      </c>
      <c r="B20" t="str">
        <f>MLIST!D11</f>
        <v>Lamps - NR</v>
      </c>
      <c r="C20" t="s">
        <v>285</v>
      </c>
      <c r="D20" s="25">
        <f t="shared" si="1"/>
        <v>0.10937459468255628</v>
      </c>
      <c r="E20" s="25">
        <f t="shared" si="1"/>
        <v>0.21874918936511256</v>
      </c>
      <c r="F20" s="25">
        <f t="shared" si="1"/>
        <v>0.32812378404766884</v>
      </c>
      <c r="G20" s="25">
        <f t="shared" si="1"/>
        <v>0.43749837873022512</v>
      </c>
      <c r="H20" s="25">
        <f t="shared" si="1"/>
        <v>0.5468729734127814</v>
      </c>
      <c r="I20" s="25">
        <f t="shared" si="1"/>
        <v>0.64531010862708205</v>
      </c>
      <c r="J20" s="25">
        <f t="shared" si="1"/>
        <v>0.7240598167985226</v>
      </c>
      <c r="K20" s="25">
        <f t="shared" si="1"/>
        <v>0.78705958333567505</v>
      </c>
      <c r="L20" s="25">
        <f t="shared" si="1"/>
        <v>0.83745939656539703</v>
      </c>
      <c r="M20" s="25">
        <f t="shared" si="1"/>
        <v>0.87777924714917455</v>
      </c>
      <c r="N20" s="25">
        <f t="shared" si="2"/>
        <v>0.91003512761619654</v>
      </c>
      <c r="O20" s="25">
        <f t="shared" si="2"/>
        <v>0.93583983198981413</v>
      </c>
      <c r="P20" s="25">
        <f t="shared" si="2"/>
        <v>0.9564835954887082</v>
      </c>
      <c r="Q20" s="25">
        <f t="shared" si="2"/>
        <v>0.97299860628782353</v>
      </c>
      <c r="R20" s="25">
        <f t="shared" si="2"/>
        <v>0.9862106149271157</v>
      </c>
      <c r="S20" s="25">
        <f t="shared" si="2"/>
        <v>0.99678022183854953</v>
      </c>
      <c r="T20" s="25">
        <f t="shared" si="2"/>
        <v>0.99685231466234414</v>
      </c>
      <c r="U20" s="25">
        <f t="shared" si="2"/>
        <v>0.99687806209941365</v>
      </c>
      <c r="V20" s="25">
        <f t="shared" si="2"/>
        <v>0.99688683963477831</v>
      </c>
      <c r="W20" s="25">
        <f t="shared" si="2"/>
        <v>0.99688970187457115</v>
      </c>
      <c r="X20" s="25">
        <v>0.95</v>
      </c>
      <c r="Z20" s="25" t="b">
        <f t="shared" ref="Z20:Z85" si="3">IF(IF(OR(RIGHT(B20,2)="NR",RIGHT(B20,2)="ew"),"LO","Re")=LEFT(C20,2),TRUE,FALSE)</f>
        <v>1</v>
      </c>
    </row>
    <row r="21" spans="1:27">
      <c r="A21" t="str">
        <f>MLIST!A12</f>
        <v>Water Heating</v>
      </c>
      <c r="B21" t="str">
        <f>MLIST!D12</f>
        <v>Dishwasher - New</v>
      </c>
      <c r="C21" t="s">
        <v>285</v>
      </c>
      <c r="D21" s="25">
        <f t="shared" si="1"/>
        <v>0.10937459468255628</v>
      </c>
      <c r="E21" s="25">
        <f t="shared" si="1"/>
        <v>0.21874918936511256</v>
      </c>
      <c r="F21" s="25">
        <f t="shared" si="1"/>
        <v>0.32812378404766884</v>
      </c>
      <c r="G21" s="25">
        <f t="shared" si="1"/>
        <v>0.43749837873022512</v>
      </c>
      <c r="H21" s="25">
        <f t="shared" si="1"/>
        <v>0.5468729734127814</v>
      </c>
      <c r="I21" s="25">
        <f t="shared" si="1"/>
        <v>0.64531010862708205</v>
      </c>
      <c r="J21" s="25">
        <f t="shared" si="1"/>
        <v>0.7240598167985226</v>
      </c>
      <c r="K21" s="25">
        <f t="shared" si="1"/>
        <v>0.78705958333567505</v>
      </c>
      <c r="L21" s="25">
        <f t="shared" si="1"/>
        <v>0.83745939656539703</v>
      </c>
      <c r="M21" s="25">
        <f t="shared" si="1"/>
        <v>0.87777924714917455</v>
      </c>
      <c r="N21" s="25">
        <f t="shared" si="2"/>
        <v>0.91003512761619654</v>
      </c>
      <c r="O21" s="25">
        <f t="shared" si="2"/>
        <v>0.93583983198981413</v>
      </c>
      <c r="P21" s="25">
        <f t="shared" si="2"/>
        <v>0.9564835954887082</v>
      </c>
      <c r="Q21" s="25">
        <f t="shared" si="2"/>
        <v>0.97299860628782353</v>
      </c>
      <c r="R21" s="25">
        <f t="shared" si="2"/>
        <v>0.9862106149271157</v>
      </c>
      <c r="S21" s="25">
        <f t="shared" si="2"/>
        <v>0.99678022183854953</v>
      </c>
      <c r="T21" s="25">
        <f t="shared" si="2"/>
        <v>0.99685231466234414</v>
      </c>
      <c r="U21" s="25">
        <f t="shared" si="2"/>
        <v>0.99687806209941365</v>
      </c>
      <c r="V21" s="25">
        <f t="shared" si="2"/>
        <v>0.99688683963477831</v>
      </c>
      <c r="W21" s="25">
        <f t="shared" si="2"/>
        <v>0.99688970187457115</v>
      </c>
      <c r="X21" s="25">
        <v>0.95</v>
      </c>
      <c r="Z21" s="25" t="b">
        <f t="shared" si="3"/>
        <v>1</v>
      </c>
    </row>
    <row r="22" spans="1:27">
      <c r="A22" t="str">
        <f>MLIST!A13</f>
        <v>Water Heating</v>
      </c>
      <c r="B22" t="str">
        <f>MLIST!D13</f>
        <v>Dishwasher - NR</v>
      </c>
      <c r="C22" t="s">
        <v>285</v>
      </c>
      <c r="D22" s="25">
        <f t="shared" si="1"/>
        <v>0.10937459468255628</v>
      </c>
      <c r="E22" s="25">
        <f t="shared" si="1"/>
        <v>0.21874918936511256</v>
      </c>
      <c r="F22" s="25">
        <f t="shared" si="1"/>
        <v>0.32812378404766884</v>
      </c>
      <c r="G22" s="25">
        <f t="shared" si="1"/>
        <v>0.43749837873022512</v>
      </c>
      <c r="H22" s="25">
        <f t="shared" si="1"/>
        <v>0.5468729734127814</v>
      </c>
      <c r="I22" s="25">
        <f t="shared" si="1"/>
        <v>0.64531010862708205</v>
      </c>
      <c r="J22" s="25">
        <f t="shared" si="1"/>
        <v>0.7240598167985226</v>
      </c>
      <c r="K22" s="25">
        <f t="shared" si="1"/>
        <v>0.78705958333567505</v>
      </c>
      <c r="L22" s="25">
        <f t="shared" si="1"/>
        <v>0.83745939656539703</v>
      </c>
      <c r="M22" s="25">
        <f t="shared" si="1"/>
        <v>0.87777924714917455</v>
      </c>
      <c r="N22" s="25">
        <f t="shared" si="2"/>
        <v>0.91003512761619654</v>
      </c>
      <c r="O22" s="25">
        <f t="shared" si="2"/>
        <v>0.93583983198981413</v>
      </c>
      <c r="P22" s="25">
        <f t="shared" si="2"/>
        <v>0.9564835954887082</v>
      </c>
      <c r="Q22" s="25">
        <f t="shared" si="2"/>
        <v>0.97299860628782353</v>
      </c>
      <c r="R22" s="25">
        <f t="shared" si="2"/>
        <v>0.9862106149271157</v>
      </c>
      <c r="S22" s="25">
        <f t="shared" si="2"/>
        <v>0.99678022183854953</v>
      </c>
      <c r="T22" s="25">
        <f t="shared" si="2"/>
        <v>0.99685231466234414</v>
      </c>
      <c r="U22" s="25">
        <f t="shared" si="2"/>
        <v>0.99687806209941365</v>
      </c>
      <c r="V22" s="25">
        <f t="shared" si="2"/>
        <v>0.99688683963477831</v>
      </c>
      <c r="W22" s="25">
        <f t="shared" si="2"/>
        <v>0.99688970187457115</v>
      </c>
      <c r="X22" s="25">
        <v>0.95</v>
      </c>
      <c r="Z22" s="25" t="b">
        <f t="shared" si="3"/>
        <v>1</v>
      </c>
    </row>
    <row r="23" spans="1:27">
      <c r="A23" t="str">
        <f>MLIST!A14</f>
        <v>Water Heating</v>
      </c>
      <c r="B23" t="str">
        <f>MLIST!D14</f>
        <v>Clothes Washer - New</v>
      </c>
      <c r="C23" t="s">
        <v>285</v>
      </c>
      <c r="D23" s="25">
        <f t="shared" si="1"/>
        <v>0.10937459468255628</v>
      </c>
      <c r="E23" s="25">
        <f t="shared" si="1"/>
        <v>0.21874918936511256</v>
      </c>
      <c r="F23" s="25">
        <f t="shared" si="1"/>
        <v>0.32812378404766884</v>
      </c>
      <c r="G23" s="25">
        <f t="shared" si="1"/>
        <v>0.43749837873022512</v>
      </c>
      <c r="H23" s="25">
        <f t="shared" si="1"/>
        <v>0.5468729734127814</v>
      </c>
      <c r="I23" s="25">
        <f t="shared" si="1"/>
        <v>0.64531010862708205</v>
      </c>
      <c r="J23" s="25">
        <f t="shared" si="1"/>
        <v>0.7240598167985226</v>
      </c>
      <c r="K23" s="25">
        <f t="shared" si="1"/>
        <v>0.78705958333567505</v>
      </c>
      <c r="L23" s="25">
        <f t="shared" si="1"/>
        <v>0.83745939656539703</v>
      </c>
      <c r="M23" s="25">
        <f t="shared" si="1"/>
        <v>0.87777924714917455</v>
      </c>
      <c r="N23" s="25">
        <f t="shared" si="2"/>
        <v>0.91003512761619654</v>
      </c>
      <c r="O23" s="25">
        <f t="shared" si="2"/>
        <v>0.93583983198981413</v>
      </c>
      <c r="P23" s="25">
        <f t="shared" si="2"/>
        <v>0.9564835954887082</v>
      </c>
      <c r="Q23" s="25">
        <f t="shared" si="2"/>
        <v>0.97299860628782353</v>
      </c>
      <c r="R23" s="25">
        <f t="shared" si="2"/>
        <v>0.9862106149271157</v>
      </c>
      <c r="S23" s="25">
        <f t="shared" si="2"/>
        <v>0.99678022183854953</v>
      </c>
      <c r="T23" s="25">
        <f t="shared" si="2"/>
        <v>0.99685231466234414</v>
      </c>
      <c r="U23" s="25">
        <f t="shared" si="2"/>
        <v>0.99687806209941365</v>
      </c>
      <c r="V23" s="25">
        <f t="shared" si="2"/>
        <v>0.99688683963477831</v>
      </c>
      <c r="W23" s="25">
        <f t="shared" si="2"/>
        <v>0.99688970187457115</v>
      </c>
      <c r="X23" s="25">
        <v>0.85</v>
      </c>
      <c r="Z23" s="25" t="b">
        <f t="shared" si="3"/>
        <v>1</v>
      </c>
    </row>
    <row r="24" spans="1:27">
      <c r="A24" t="str">
        <f>MLIST!A15</f>
        <v>Water Heating</v>
      </c>
      <c r="B24" t="str">
        <f>MLIST!D15</f>
        <v>Clothes Washer - NR</v>
      </c>
      <c r="C24" t="s">
        <v>285</v>
      </c>
      <c r="D24" s="25">
        <f t="shared" si="1"/>
        <v>0.10937459468255628</v>
      </c>
      <c r="E24" s="25">
        <f t="shared" si="1"/>
        <v>0.21874918936511256</v>
      </c>
      <c r="F24" s="25">
        <f t="shared" si="1"/>
        <v>0.32812378404766884</v>
      </c>
      <c r="G24" s="25">
        <f t="shared" si="1"/>
        <v>0.43749837873022512</v>
      </c>
      <c r="H24" s="25">
        <f t="shared" si="1"/>
        <v>0.5468729734127814</v>
      </c>
      <c r="I24" s="25">
        <f t="shared" si="1"/>
        <v>0.64531010862708205</v>
      </c>
      <c r="J24" s="25">
        <f t="shared" si="1"/>
        <v>0.7240598167985226</v>
      </c>
      <c r="K24" s="25">
        <f t="shared" si="1"/>
        <v>0.78705958333567505</v>
      </c>
      <c r="L24" s="25">
        <f t="shared" si="1"/>
        <v>0.83745939656539703</v>
      </c>
      <c r="M24" s="25">
        <f t="shared" si="1"/>
        <v>0.87777924714917455</v>
      </c>
      <c r="N24" s="25">
        <f t="shared" si="2"/>
        <v>0.91003512761619654</v>
      </c>
      <c r="O24" s="25">
        <f t="shared" si="2"/>
        <v>0.93583983198981413</v>
      </c>
      <c r="P24" s="25">
        <f t="shared" si="2"/>
        <v>0.9564835954887082</v>
      </c>
      <c r="Q24" s="25">
        <f t="shared" si="2"/>
        <v>0.97299860628782353</v>
      </c>
      <c r="R24" s="25">
        <f t="shared" si="2"/>
        <v>0.9862106149271157</v>
      </c>
      <c r="S24" s="25">
        <f t="shared" si="2"/>
        <v>0.99678022183854953</v>
      </c>
      <c r="T24" s="25">
        <f t="shared" si="2"/>
        <v>0.99685231466234414</v>
      </c>
      <c r="U24" s="25">
        <f t="shared" si="2"/>
        <v>0.99687806209941365</v>
      </c>
      <c r="V24" s="25">
        <f t="shared" si="2"/>
        <v>0.99688683963477831</v>
      </c>
      <c r="W24" s="25">
        <f t="shared" si="2"/>
        <v>0.99688970187457115</v>
      </c>
      <c r="X24" s="25">
        <v>0.85</v>
      </c>
      <c r="Z24" s="25" t="b">
        <f t="shared" si="3"/>
        <v>1</v>
      </c>
    </row>
    <row r="25" spans="1:27">
      <c r="A25" t="str">
        <f>MLIST!A16</f>
        <v>Water Heating</v>
      </c>
      <c r="B25" t="str">
        <f>MLIST!D16</f>
        <v>WasteWater Heat Recovery - New</v>
      </c>
      <c r="C25" t="s">
        <v>293</v>
      </c>
      <c r="D25" s="25">
        <f t="shared" si="1"/>
        <v>5.0000000000000001E-3</v>
      </c>
      <c r="E25" s="25">
        <f t="shared" si="1"/>
        <v>7.6904586297764643E-3</v>
      </c>
      <c r="F25" s="25">
        <f t="shared" si="1"/>
        <v>1.6792013047419844E-2</v>
      </c>
      <c r="G25" s="25">
        <f t="shared" si="1"/>
        <v>3.15969387774655E-2</v>
      </c>
      <c r="H25" s="25">
        <f t="shared" si="1"/>
        <v>5.406874819795171E-2</v>
      </c>
      <c r="I25" s="25">
        <f t="shared" si="1"/>
        <v>8.6253181011834101E-2</v>
      </c>
      <c r="J25" s="25">
        <f t="shared" si="1"/>
        <v>0.1300328481838382</v>
      </c>
      <c r="K25" s="25">
        <f t="shared" si="1"/>
        <v>0.18678710893858319</v>
      </c>
      <c r="L25" s="25">
        <f t="shared" si="1"/>
        <v>0.2569823480072907</v>
      </c>
      <c r="M25" s="25">
        <f t="shared" si="1"/>
        <v>0.33975920985004748</v>
      </c>
      <c r="N25" s="25">
        <f t="shared" si="2"/>
        <v>0.43262946935754232</v>
      </c>
      <c r="O25" s="25">
        <f t="shared" si="2"/>
        <v>0.53142594003645804</v>
      </c>
      <c r="P25" s="25">
        <f t="shared" si="2"/>
        <v>0.63063487292644704</v>
      </c>
      <c r="Q25" s="25">
        <f t="shared" si="2"/>
        <v>0.7241560234206913</v>
      </c>
      <c r="R25" s="25">
        <f t="shared" si="2"/>
        <v>0.80638203131755359</v>
      </c>
      <c r="S25" s="25">
        <f t="shared" si="2"/>
        <v>0.87331559734491926</v>
      </c>
      <c r="T25" s="25">
        <f t="shared" si="2"/>
        <v>0.92334516248836807</v>
      </c>
      <c r="U25" s="25">
        <f t="shared" si="2"/>
        <v>0.96</v>
      </c>
      <c r="V25" s="25">
        <f t="shared" si="2"/>
        <v>0.98</v>
      </c>
      <c r="W25" s="25">
        <f t="shared" si="2"/>
        <v>0.996</v>
      </c>
      <c r="X25" s="25">
        <v>0.6</v>
      </c>
      <c r="Z25" s="25" t="b">
        <f t="shared" si="3"/>
        <v>1</v>
      </c>
    </row>
    <row r="26" spans="1:27">
      <c r="A26" t="str">
        <f>MLIST!A17</f>
        <v>Water Heating</v>
      </c>
      <c r="B26" t="str">
        <f>MLIST!D17</f>
        <v>Showerheads - New</v>
      </c>
      <c r="C26" t="s">
        <v>285</v>
      </c>
      <c r="D26" s="25">
        <f t="shared" si="1"/>
        <v>0.10937459468255628</v>
      </c>
      <c r="E26" s="25">
        <f t="shared" si="1"/>
        <v>0.21874918936511256</v>
      </c>
      <c r="F26" s="25">
        <f t="shared" si="1"/>
        <v>0.32812378404766884</v>
      </c>
      <c r="G26" s="25">
        <f t="shared" si="1"/>
        <v>0.43749837873022512</v>
      </c>
      <c r="H26" s="25">
        <f t="shared" si="1"/>
        <v>0.5468729734127814</v>
      </c>
      <c r="I26" s="25">
        <f t="shared" si="1"/>
        <v>0.64531010862708205</v>
      </c>
      <c r="J26" s="25">
        <f t="shared" si="1"/>
        <v>0.7240598167985226</v>
      </c>
      <c r="K26" s="25">
        <f t="shared" si="1"/>
        <v>0.78705958333567505</v>
      </c>
      <c r="L26" s="25">
        <f t="shared" si="1"/>
        <v>0.83745939656539703</v>
      </c>
      <c r="M26" s="25">
        <f t="shared" si="1"/>
        <v>0.87777924714917455</v>
      </c>
      <c r="N26" s="25">
        <f t="shared" si="2"/>
        <v>0.91003512761619654</v>
      </c>
      <c r="O26" s="25">
        <f t="shared" si="2"/>
        <v>0.93583983198981413</v>
      </c>
      <c r="P26" s="25">
        <f t="shared" si="2"/>
        <v>0.9564835954887082</v>
      </c>
      <c r="Q26" s="25">
        <f t="shared" si="2"/>
        <v>0.97299860628782353</v>
      </c>
      <c r="R26" s="25">
        <f t="shared" si="2"/>
        <v>0.9862106149271157</v>
      </c>
      <c r="S26" s="25">
        <f t="shared" si="2"/>
        <v>0.99678022183854953</v>
      </c>
      <c r="T26" s="25">
        <f t="shared" si="2"/>
        <v>0.99685231466234414</v>
      </c>
      <c r="U26" s="25">
        <f t="shared" si="2"/>
        <v>0.99687806209941365</v>
      </c>
      <c r="V26" s="25">
        <f t="shared" si="2"/>
        <v>0.99688683963477831</v>
      </c>
      <c r="W26" s="25">
        <f t="shared" si="2"/>
        <v>0.99688970187457115</v>
      </c>
      <c r="X26" s="25">
        <v>0.95</v>
      </c>
      <c r="Z26" s="25" t="b">
        <f t="shared" si="3"/>
        <v>1</v>
      </c>
    </row>
    <row r="27" spans="1:27">
      <c r="A27" t="str">
        <f>MLIST!A18</f>
        <v>Water Heating</v>
      </c>
      <c r="B27" t="str">
        <f>MLIST!D18</f>
        <v>Showerheads - NR</v>
      </c>
      <c r="C27" t="s">
        <v>285</v>
      </c>
      <c r="D27" s="25">
        <f t="shared" si="1"/>
        <v>0.10937459468255628</v>
      </c>
      <c r="E27" s="25">
        <f t="shared" si="1"/>
        <v>0.21874918936511256</v>
      </c>
      <c r="F27" s="25">
        <f t="shared" si="1"/>
        <v>0.32812378404766884</v>
      </c>
      <c r="G27" s="25">
        <f t="shared" si="1"/>
        <v>0.43749837873022512</v>
      </c>
      <c r="H27" s="25">
        <f t="shared" si="1"/>
        <v>0.5468729734127814</v>
      </c>
      <c r="I27" s="25">
        <f t="shared" si="1"/>
        <v>0.64531010862708205</v>
      </c>
      <c r="J27" s="25">
        <f t="shared" si="1"/>
        <v>0.7240598167985226</v>
      </c>
      <c r="K27" s="25">
        <f t="shared" si="1"/>
        <v>0.78705958333567505</v>
      </c>
      <c r="L27" s="25">
        <f t="shared" si="1"/>
        <v>0.83745939656539703</v>
      </c>
      <c r="M27" s="25">
        <f t="shared" si="1"/>
        <v>0.87777924714917455</v>
      </c>
      <c r="N27" s="25">
        <f t="shared" si="2"/>
        <v>0.91003512761619654</v>
      </c>
      <c r="O27" s="25">
        <f t="shared" si="2"/>
        <v>0.93583983198981413</v>
      </c>
      <c r="P27" s="25">
        <f t="shared" si="2"/>
        <v>0.9564835954887082</v>
      </c>
      <c r="Q27" s="25">
        <f t="shared" si="2"/>
        <v>0.97299860628782353</v>
      </c>
      <c r="R27" s="25">
        <f t="shared" si="2"/>
        <v>0.9862106149271157</v>
      </c>
      <c r="S27" s="25">
        <f t="shared" si="2"/>
        <v>0.99678022183854953</v>
      </c>
      <c r="T27" s="25">
        <f t="shared" si="2"/>
        <v>0.99685231466234414</v>
      </c>
      <c r="U27" s="25">
        <f t="shared" si="2"/>
        <v>0.99687806209941365</v>
      </c>
      <c r="V27" s="25">
        <f t="shared" si="2"/>
        <v>0.99688683963477831</v>
      </c>
      <c r="W27" s="25">
        <f t="shared" si="2"/>
        <v>0.99688970187457115</v>
      </c>
      <c r="X27" s="25">
        <v>0.95</v>
      </c>
      <c r="Z27" s="25" t="b">
        <f t="shared" si="3"/>
        <v>1</v>
      </c>
    </row>
    <row r="28" spans="1:27">
      <c r="A28" t="str">
        <f>MLIST!A19</f>
        <v>Water Heating</v>
      </c>
      <c r="B28" t="str">
        <f>MLIST!D19</f>
        <v>TSRV - New</v>
      </c>
      <c r="C28" t="s">
        <v>289</v>
      </c>
      <c r="D28" s="25">
        <f t="shared" ref="D28:M38" si="4">IF(ISBLANK($C28),"",VLOOKUP($C28,$C$1:$X$15,D$17-$D$17+2,FALSE))</f>
        <v>5.5320496977002724E-3</v>
      </c>
      <c r="E28" s="25">
        <f t="shared" si="4"/>
        <v>1.4227918344261844E-2</v>
      </c>
      <c r="F28" s="25">
        <f t="shared" si="4"/>
        <v>3.1619655637384989E-2</v>
      </c>
      <c r="G28" s="25">
        <f t="shared" si="4"/>
        <v>6.2055195900350503E-2</v>
      </c>
      <c r="H28" s="25">
        <f t="shared" si="4"/>
        <v>0.10939936964274129</v>
      </c>
      <c r="I28" s="25">
        <f t="shared" si="4"/>
        <v>0.17568121288208835</v>
      </c>
      <c r="J28" s="25">
        <f t="shared" si="4"/>
        <v>0.26003992245943919</v>
      </c>
      <c r="K28" s="25">
        <f t="shared" si="4"/>
        <v>0.3584584169663485</v>
      </c>
      <c r="L28" s="25">
        <f t="shared" si="4"/>
        <v>0.46444756489686617</v>
      </c>
      <c r="M28" s="25">
        <f t="shared" si="4"/>
        <v>0.57043671282738384</v>
      </c>
      <c r="N28" s="25">
        <f t="shared" ref="N28:W38" si="5">IF(ISBLANK($C28),"",VLOOKUP($C28,$C$1:$X$15,N$17-$D$17+2,FALSE))</f>
        <v>0.66935991756253377</v>
      </c>
      <c r="O28" s="25">
        <f t="shared" si="5"/>
        <v>0.75591772170578986</v>
      </c>
      <c r="P28" s="25">
        <f t="shared" si="5"/>
        <v>0.82720061923553012</v>
      </c>
      <c r="Q28" s="25">
        <f t="shared" si="5"/>
        <v>0.88264287286977261</v>
      </c>
      <c r="R28" s="25">
        <f t="shared" si="5"/>
        <v>0.92349505975816193</v>
      </c>
      <c r="S28" s="25">
        <f t="shared" si="5"/>
        <v>0.95209159058003434</v>
      </c>
      <c r="T28" s="25">
        <f t="shared" si="5"/>
        <v>0.97115594446128262</v>
      </c>
      <c r="U28" s="25">
        <f t="shared" si="5"/>
        <v>0.98328780602207699</v>
      </c>
      <c r="V28" s="25">
        <f t="shared" si="5"/>
        <v>0.99067241740690848</v>
      </c>
      <c r="W28" s="25">
        <f t="shared" si="5"/>
        <v>0.996</v>
      </c>
      <c r="X28" s="25">
        <v>0.85</v>
      </c>
      <c r="Z28" s="25" t="b">
        <f t="shared" si="3"/>
        <v>1</v>
      </c>
    </row>
    <row r="29" spans="1:27">
      <c r="A29" t="str">
        <f>MLIST!A20</f>
        <v>Water Heating</v>
      </c>
      <c r="B29" t="str">
        <f>MLIST!D20</f>
        <v>TSRV - Retro</v>
      </c>
      <c r="C29" t="s">
        <v>290</v>
      </c>
      <c r="D29" s="25">
        <f t="shared" si="4"/>
        <v>5.5320496977002724E-3</v>
      </c>
      <c r="E29" s="25">
        <f t="shared" si="4"/>
        <v>8.6958686465615706E-3</v>
      </c>
      <c r="F29" s="25">
        <f t="shared" si="4"/>
        <v>1.7391737293123145E-2</v>
      </c>
      <c r="G29" s="25">
        <f t="shared" si="4"/>
        <v>3.0435540262965514E-2</v>
      </c>
      <c r="H29" s="25">
        <f t="shared" si="4"/>
        <v>4.7344173742390784E-2</v>
      </c>
      <c r="I29" s="25">
        <f t="shared" si="4"/>
        <v>6.6281843239347063E-2</v>
      </c>
      <c r="J29" s="25">
        <f t="shared" si="4"/>
        <v>8.4358709577350838E-2</v>
      </c>
      <c r="K29" s="25">
        <f t="shared" si="4"/>
        <v>9.8418494506909315E-2</v>
      </c>
      <c r="L29" s="25">
        <f t="shared" si="4"/>
        <v>0.10598914793051767</v>
      </c>
      <c r="M29" s="25">
        <f t="shared" si="4"/>
        <v>0.10598914793051767</v>
      </c>
      <c r="N29" s="25">
        <f t="shared" si="5"/>
        <v>9.8923204735149928E-2</v>
      </c>
      <c r="O29" s="25">
        <f t="shared" si="5"/>
        <v>8.655780414325609E-2</v>
      </c>
      <c r="P29" s="25">
        <f t="shared" si="5"/>
        <v>7.1282897529740263E-2</v>
      </c>
      <c r="Q29" s="25">
        <f t="shared" si="5"/>
        <v>5.5442253634242489E-2</v>
      </c>
      <c r="R29" s="25">
        <f t="shared" si="5"/>
        <v>4.0852186888389319E-2</v>
      </c>
      <c r="S29" s="25">
        <f t="shared" si="5"/>
        <v>2.8596530821872412E-2</v>
      </c>
      <c r="T29" s="25">
        <f t="shared" si="5"/>
        <v>1.9064353881248275E-2</v>
      </c>
      <c r="U29" s="25">
        <f t="shared" si="5"/>
        <v>1.2131861560794377E-2</v>
      </c>
      <c r="V29" s="25">
        <f t="shared" si="5"/>
        <v>7.3846113848314854E-3</v>
      </c>
      <c r="W29" s="25">
        <f t="shared" si="5"/>
        <v>5.0000000000000001E-3</v>
      </c>
      <c r="X29" s="25">
        <v>0.85</v>
      </c>
      <c r="Z29" s="25" t="b">
        <f t="shared" si="3"/>
        <v>1</v>
      </c>
    </row>
    <row r="30" spans="1:27">
      <c r="A30" t="str">
        <f>MLIST!A21</f>
        <v>Water Heating</v>
      </c>
      <c r="B30" t="str">
        <f>MLIST!D21</f>
        <v>HPWH - New</v>
      </c>
      <c r="C30" t="s">
        <v>285</v>
      </c>
      <c r="D30" s="25">
        <f t="shared" si="4"/>
        <v>0.10937459468255628</v>
      </c>
      <c r="E30" s="25">
        <f t="shared" si="4"/>
        <v>0.21874918936511256</v>
      </c>
      <c r="F30" s="25">
        <f t="shared" si="4"/>
        <v>0.32812378404766884</v>
      </c>
      <c r="G30" s="25">
        <f t="shared" si="4"/>
        <v>0.43749837873022512</v>
      </c>
      <c r="H30" s="25">
        <f t="shared" si="4"/>
        <v>0.5468729734127814</v>
      </c>
      <c r="I30" s="25">
        <f t="shared" si="4"/>
        <v>0.64531010862708205</v>
      </c>
      <c r="J30" s="25">
        <f t="shared" si="4"/>
        <v>0.7240598167985226</v>
      </c>
      <c r="K30" s="25">
        <f t="shared" si="4"/>
        <v>0.78705958333567505</v>
      </c>
      <c r="L30" s="25">
        <f t="shared" si="4"/>
        <v>0.83745939656539703</v>
      </c>
      <c r="M30" s="25">
        <f t="shared" si="4"/>
        <v>0.87777924714917455</v>
      </c>
      <c r="N30" s="25">
        <f t="shared" si="5"/>
        <v>0.91003512761619654</v>
      </c>
      <c r="O30" s="25">
        <f t="shared" si="5"/>
        <v>0.93583983198981413</v>
      </c>
      <c r="P30" s="25">
        <f t="shared" si="5"/>
        <v>0.9564835954887082</v>
      </c>
      <c r="Q30" s="25">
        <f t="shared" si="5"/>
        <v>0.97299860628782353</v>
      </c>
      <c r="R30" s="25">
        <f t="shared" si="5"/>
        <v>0.9862106149271157</v>
      </c>
      <c r="S30" s="25">
        <f t="shared" si="5"/>
        <v>0.99678022183854953</v>
      </c>
      <c r="T30" s="25">
        <f t="shared" si="5"/>
        <v>0.99685231466234414</v>
      </c>
      <c r="U30" s="25">
        <f t="shared" si="5"/>
        <v>0.99687806209941365</v>
      </c>
      <c r="V30" s="25">
        <f t="shared" si="5"/>
        <v>0.99688683963477831</v>
      </c>
      <c r="W30" s="25">
        <f t="shared" si="5"/>
        <v>0.99688970187457115</v>
      </c>
      <c r="X30" s="25">
        <v>0.85</v>
      </c>
      <c r="Z30" s="25" t="b">
        <f t="shared" si="3"/>
        <v>1</v>
      </c>
    </row>
    <row r="31" spans="1:27">
      <c r="A31" t="str">
        <f>MLIST!A22</f>
        <v>Water Heating</v>
      </c>
      <c r="B31" t="str">
        <f>MLIST!D22</f>
        <v>HPWH - NR</v>
      </c>
      <c r="C31" t="s">
        <v>292</v>
      </c>
      <c r="D31" s="25">
        <f t="shared" si="4"/>
        <v>4.2999999999999997E-2</v>
      </c>
      <c r="E31" s="25">
        <f t="shared" si="4"/>
        <v>9.5797142280278316E-2</v>
      </c>
      <c r="F31" s="25">
        <f t="shared" si="4"/>
        <v>0.16040539374775648</v>
      </c>
      <c r="G31" s="25">
        <f t="shared" si="4"/>
        <v>0.23540539374775649</v>
      </c>
      <c r="H31" s="25">
        <f t="shared" si="4"/>
        <v>0.32095239121809005</v>
      </c>
      <c r="I31" s="25">
        <f t="shared" si="4"/>
        <v>0.42096711425629652</v>
      </c>
      <c r="J31" s="25">
        <f t="shared" si="4"/>
        <v>0.53068481860864725</v>
      </c>
      <c r="K31" s="25">
        <f t="shared" si="4"/>
        <v>0.642769203728351</v>
      </c>
      <c r="L31" s="25">
        <f t="shared" si="4"/>
        <v>0.74839528535557953</v>
      </c>
      <c r="M31" s="25">
        <f t="shared" si="4"/>
        <v>0.83918984935345187</v>
      </c>
      <c r="N31" s="25">
        <f t="shared" si="5"/>
        <v>0.90945051634530116</v>
      </c>
      <c r="O31" s="25">
        <f t="shared" si="5"/>
        <v>0.9576688767502457</v>
      </c>
      <c r="P31" s="25">
        <f t="shared" si="5"/>
        <v>0.9865231113648858</v>
      </c>
      <c r="Q31" s="25">
        <f t="shared" si="5"/>
        <v>1</v>
      </c>
      <c r="R31" s="25">
        <f t="shared" si="5"/>
        <v>1</v>
      </c>
      <c r="S31" s="25">
        <f t="shared" si="5"/>
        <v>1</v>
      </c>
      <c r="T31" s="25">
        <f t="shared" si="5"/>
        <v>1</v>
      </c>
      <c r="U31" s="25">
        <f t="shared" si="5"/>
        <v>1</v>
      </c>
      <c r="V31" s="25">
        <f t="shared" si="5"/>
        <v>1</v>
      </c>
      <c r="W31" s="25">
        <f t="shared" si="5"/>
        <v>1</v>
      </c>
      <c r="X31" s="25">
        <v>0.85</v>
      </c>
      <c r="Z31" s="25" t="b">
        <f t="shared" si="3"/>
        <v>1</v>
      </c>
    </row>
    <row r="32" spans="1:27">
      <c r="A32" t="str">
        <f>MLIST!A23</f>
        <v>Water Heating</v>
      </c>
      <c r="B32" t="str">
        <f>MLIST!D23</f>
        <v>Aerator - New</v>
      </c>
      <c r="C32" t="s">
        <v>285</v>
      </c>
      <c r="D32" s="25">
        <f t="shared" si="4"/>
        <v>0.10937459468255628</v>
      </c>
      <c r="E32" s="25">
        <f t="shared" si="4"/>
        <v>0.21874918936511256</v>
      </c>
      <c r="F32" s="25">
        <f t="shared" si="4"/>
        <v>0.32812378404766884</v>
      </c>
      <c r="G32" s="25">
        <f t="shared" si="4"/>
        <v>0.43749837873022512</v>
      </c>
      <c r="H32" s="25">
        <f t="shared" si="4"/>
        <v>0.5468729734127814</v>
      </c>
      <c r="I32" s="25">
        <f t="shared" si="4"/>
        <v>0.64531010862708205</v>
      </c>
      <c r="J32" s="25">
        <f t="shared" si="4"/>
        <v>0.7240598167985226</v>
      </c>
      <c r="K32" s="25">
        <f t="shared" si="4"/>
        <v>0.78705958333567505</v>
      </c>
      <c r="L32" s="25">
        <f t="shared" si="4"/>
        <v>0.83745939656539703</v>
      </c>
      <c r="M32" s="25">
        <f t="shared" si="4"/>
        <v>0.87777924714917455</v>
      </c>
      <c r="N32" s="25">
        <f t="shared" si="5"/>
        <v>0.91003512761619654</v>
      </c>
      <c r="O32" s="25">
        <f t="shared" si="5"/>
        <v>0.93583983198981413</v>
      </c>
      <c r="P32" s="25">
        <f t="shared" si="5"/>
        <v>0.9564835954887082</v>
      </c>
      <c r="Q32" s="25">
        <f t="shared" si="5"/>
        <v>0.97299860628782353</v>
      </c>
      <c r="R32" s="25">
        <f t="shared" si="5"/>
        <v>0.9862106149271157</v>
      </c>
      <c r="S32" s="25">
        <f t="shared" si="5"/>
        <v>0.99678022183854953</v>
      </c>
      <c r="T32" s="25">
        <f t="shared" si="5"/>
        <v>0.99685231466234414</v>
      </c>
      <c r="U32" s="25">
        <f t="shared" si="5"/>
        <v>0.99687806209941365</v>
      </c>
      <c r="V32" s="25">
        <f t="shared" si="5"/>
        <v>0.99688683963477831</v>
      </c>
      <c r="W32" s="25">
        <f t="shared" si="5"/>
        <v>0.99688970187457115</v>
      </c>
      <c r="X32" s="25">
        <v>0.85</v>
      </c>
      <c r="Z32" s="25" t="b">
        <f t="shared" si="3"/>
        <v>1</v>
      </c>
    </row>
    <row r="33" spans="1:26">
      <c r="A33" t="str">
        <f>MLIST!A24</f>
        <v>Water Heating</v>
      </c>
      <c r="B33" t="str">
        <f>MLIST!D24</f>
        <v>Aerator - Retro</v>
      </c>
      <c r="C33" t="s">
        <v>281</v>
      </c>
      <c r="D33" s="25">
        <f t="shared" si="4"/>
        <v>0.10937459468255628</v>
      </c>
      <c r="E33" s="25">
        <f t="shared" si="4"/>
        <v>0.10937459468255628</v>
      </c>
      <c r="F33" s="25">
        <f t="shared" si="4"/>
        <v>0.10937459468255628</v>
      </c>
      <c r="G33" s="25">
        <f t="shared" si="4"/>
        <v>0.10937459468255628</v>
      </c>
      <c r="H33" s="25">
        <f t="shared" si="4"/>
        <v>0.10937459468255628</v>
      </c>
      <c r="I33" s="25">
        <f t="shared" si="4"/>
        <v>9.8437135214300656E-2</v>
      </c>
      <c r="J33" s="25">
        <f t="shared" si="4"/>
        <v>7.874970817144053E-2</v>
      </c>
      <c r="K33" s="25">
        <f t="shared" si="4"/>
        <v>6.2999766537152418E-2</v>
      </c>
      <c r="L33" s="25">
        <f t="shared" si="4"/>
        <v>5.0399813229721938E-2</v>
      </c>
      <c r="M33" s="25">
        <f t="shared" si="4"/>
        <v>4.0319850583777551E-2</v>
      </c>
      <c r="N33" s="25">
        <f t="shared" si="5"/>
        <v>3.225588046702204E-2</v>
      </c>
      <c r="O33" s="25">
        <f t="shared" si="5"/>
        <v>2.5804704373617631E-2</v>
      </c>
      <c r="P33" s="25">
        <f t="shared" si="5"/>
        <v>2.0643763498894106E-2</v>
      </c>
      <c r="Q33" s="25">
        <f t="shared" si="5"/>
        <v>1.6515010799115284E-2</v>
      </c>
      <c r="R33" s="25">
        <f t="shared" si="5"/>
        <v>1.3212008639292228E-2</v>
      </c>
      <c r="S33" s="25">
        <f t="shared" si="5"/>
        <v>1.0569606911433781E-2</v>
      </c>
      <c r="T33" s="25">
        <f t="shared" si="5"/>
        <v>7.2092823794611682E-5</v>
      </c>
      <c r="U33" s="25">
        <f t="shared" si="5"/>
        <v>2.5747437069512102E-5</v>
      </c>
      <c r="V33" s="25">
        <f t="shared" si="5"/>
        <v>8.7775353646568632E-6</v>
      </c>
      <c r="W33" s="25">
        <f t="shared" si="5"/>
        <v>2.8622397928446119E-6</v>
      </c>
      <c r="X33" s="25">
        <v>0.85</v>
      </c>
      <c r="Z33" s="25" t="b">
        <f t="shared" si="3"/>
        <v>1</v>
      </c>
    </row>
    <row r="34" spans="1:26">
      <c r="A34" t="str">
        <f>MLIST!A25</f>
        <v>Water heating</v>
      </c>
      <c r="B34" t="str">
        <f>MLIST!D25</f>
        <v>WH Pipe insulation - New</v>
      </c>
      <c r="C34" t="s">
        <v>289</v>
      </c>
      <c r="D34" s="25">
        <f t="shared" si="4"/>
        <v>5.5320496977002724E-3</v>
      </c>
      <c r="E34" s="25">
        <f t="shared" si="4"/>
        <v>1.4227918344261844E-2</v>
      </c>
      <c r="F34" s="25">
        <f t="shared" si="4"/>
        <v>3.1619655637384989E-2</v>
      </c>
      <c r="G34" s="25">
        <f t="shared" si="4"/>
        <v>6.2055195900350503E-2</v>
      </c>
      <c r="H34" s="25">
        <f t="shared" si="4"/>
        <v>0.10939936964274129</v>
      </c>
      <c r="I34" s="25">
        <f t="shared" si="4"/>
        <v>0.17568121288208835</v>
      </c>
      <c r="J34" s="25">
        <f t="shared" si="4"/>
        <v>0.26003992245943919</v>
      </c>
      <c r="K34" s="25">
        <f t="shared" si="4"/>
        <v>0.3584584169663485</v>
      </c>
      <c r="L34" s="25">
        <f t="shared" si="4"/>
        <v>0.46444756489686617</v>
      </c>
      <c r="M34" s="25">
        <f t="shared" si="4"/>
        <v>0.57043671282738384</v>
      </c>
      <c r="N34" s="25">
        <f t="shared" si="5"/>
        <v>0.66935991756253377</v>
      </c>
      <c r="O34" s="25">
        <f t="shared" si="5"/>
        <v>0.75591772170578986</v>
      </c>
      <c r="P34" s="25">
        <f t="shared" si="5"/>
        <v>0.82720061923553012</v>
      </c>
      <c r="Q34" s="25">
        <f t="shared" si="5"/>
        <v>0.88264287286977261</v>
      </c>
      <c r="R34" s="25">
        <f t="shared" si="5"/>
        <v>0.92349505975816193</v>
      </c>
      <c r="S34" s="25">
        <f t="shared" si="5"/>
        <v>0.95209159058003434</v>
      </c>
      <c r="T34" s="25">
        <f t="shared" si="5"/>
        <v>0.97115594446128262</v>
      </c>
      <c r="U34" s="25">
        <f t="shared" si="5"/>
        <v>0.98328780602207699</v>
      </c>
      <c r="V34" s="25">
        <f t="shared" si="5"/>
        <v>0.99067241740690848</v>
      </c>
      <c r="W34" s="25">
        <f t="shared" si="5"/>
        <v>0.996</v>
      </c>
      <c r="X34" s="25">
        <v>0.95</v>
      </c>
      <c r="Z34" s="25" t="b">
        <f t="shared" ref="Z34" si="6">IF(IF(OR(RIGHT(B34,2)="NR",RIGHT(B34,2)="ew"),"LO","Re")=LEFT(C34,2),TRUE,FALSE)</f>
        <v>1</v>
      </c>
    </row>
    <row r="35" spans="1:26">
      <c r="A35" t="str">
        <f>MLIST!A26</f>
        <v>Water heating</v>
      </c>
      <c r="B35" t="str">
        <f>MLIST!D26</f>
        <v>WH Pipe insulation - Retro</v>
      </c>
      <c r="C35" t="s">
        <v>290</v>
      </c>
      <c r="D35" s="25">
        <f t="shared" si="4"/>
        <v>5.5320496977002724E-3</v>
      </c>
      <c r="E35" s="25">
        <f t="shared" si="4"/>
        <v>8.6958686465615706E-3</v>
      </c>
      <c r="F35" s="25">
        <f t="shared" si="4"/>
        <v>1.7391737293123145E-2</v>
      </c>
      <c r="G35" s="25">
        <f t="shared" si="4"/>
        <v>3.0435540262965514E-2</v>
      </c>
      <c r="H35" s="25">
        <f t="shared" si="4"/>
        <v>4.7344173742390784E-2</v>
      </c>
      <c r="I35" s="25">
        <f t="shared" si="4"/>
        <v>6.6281843239347063E-2</v>
      </c>
      <c r="J35" s="25">
        <f t="shared" si="4"/>
        <v>8.4358709577350838E-2</v>
      </c>
      <c r="K35" s="25">
        <f t="shared" si="4"/>
        <v>9.8418494506909315E-2</v>
      </c>
      <c r="L35" s="25">
        <f t="shared" si="4"/>
        <v>0.10598914793051767</v>
      </c>
      <c r="M35" s="25">
        <f t="shared" si="4"/>
        <v>0.10598914793051767</v>
      </c>
      <c r="N35" s="25">
        <f t="shared" si="5"/>
        <v>9.8923204735149928E-2</v>
      </c>
      <c r="O35" s="25">
        <f t="shared" si="5"/>
        <v>8.655780414325609E-2</v>
      </c>
      <c r="P35" s="25">
        <f t="shared" si="5"/>
        <v>7.1282897529740263E-2</v>
      </c>
      <c r="Q35" s="25">
        <f t="shared" si="5"/>
        <v>5.5442253634242489E-2</v>
      </c>
      <c r="R35" s="25">
        <f t="shared" si="5"/>
        <v>4.0852186888389319E-2</v>
      </c>
      <c r="S35" s="25">
        <f t="shared" si="5"/>
        <v>2.8596530821872412E-2</v>
      </c>
      <c r="T35" s="25">
        <f t="shared" si="5"/>
        <v>1.9064353881248275E-2</v>
      </c>
      <c r="U35" s="25">
        <f t="shared" si="5"/>
        <v>1.2131861560794377E-2</v>
      </c>
      <c r="V35" s="25">
        <f t="shared" si="5"/>
        <v>7.3846113848314854E-3</v>
      </c>
      <c r="W35" s="25">
        <f t="shared" si="5"/>
        <v>5.0000000000000001E-3</v>
      </c>
      <c r="X35" s="25">
        <v>0.85</v>
      </c>
      <c r="Z35" s="25" t="b">
        <f t="shared" si="3"/>
        <v>1</v>
      </c>
    </row>
    <row r="36" spans="1:26">
      <c r="A36" t="str">
        <f>MLIST!A27</f>
        <v>Water Heating</v>
      </c>
      <c r="B36" t="str">
        <f>MLIST!D27</f>
        <v>Circulators - New</v>
      </c>
      <c r="C36" t="s">
        <v>285</v>
      </c>
      <c r="D36" s="25">
        <f t="shared" si="4"/>
        <v>0.10937459468255628</v>
      </c>
      <c r="E36" s="25">
        <f t="shared" si="4"/>
        <v>0.21874918936511256</v>
      </c>
      <c r="F36" s="25">
        <f t="shared" si="4"/>
        <v>0.32812378404766884</v>
      </c>
      <c r="G36" s="25">
        <f t="shared" si="4"/>
        <v>0.43749837873022512</v>
      </c>
      <c r="H36" s="25">
        <f t="shared" si="4"/>
        <v>0.5468729734127814</v>
      </c>
      <c r="I36" s="25">
        <f t="shared" si="4"/>
        <v>0.64531010862708205</v>
      </c>
      <c r="J36" s="25">
        <f t="shared" si="4"/>
        <v>0.7240598167985226</v>
      </c>
      <c r="K36" s="25">
        <f t="shared" si="4"/>
        <v>0.78705958333567505</v>
      </c>
      <c r="L36" s="25">
        <f t="shared" si="4"/>
        <v>0.83745939656539703</v>
      </c>
      <c r="M36" s="25">
        <f t="shared" si="4"/>
        <v>0.87777924714917455</v>
      </c>
      <c r="N36" s="25">
        <f t="shared" si="5"/>
        <v>0.91003512761619654</v>
      </c>
      <c r="O36" s="25">
        <f t="shared" si="5"/>
        <v>0.93583983198981413</v>
      </c>
      <c r="P36" s="25">
        <f t="shared" si="5"/>
        <v>0.9564835954887082</v>
      </c>
      <c r="Q36" s="25">
        <f t="shared" si="5"/>
        <v>0.97299860628782353</v>
      </c>
      <c r="R36" s="25">
        <f t="shared" si="5"/>
        <v>0.9862106149271157</v>
      </c>
      <c r="S36" s="25">
        <f t="shared" si="5"/>
        <v>0.99678022183854953</v>
      </c>
      <c r="T36" s="25">
        <f t="shared" si="5"/>
        <v>0.99685231466234414</v>
      </c>
      <c r="U36" s="25">
        <f t="shared" si="5"/>
        <v>0.99687806209941365</v>
      </c>
      <c r="V36" s="25">
        <f t="shared" si="5"/>
        <v>0.99688683963477831</v>
      </c>
      <c r="W36" s="25">
        <f t="shared" si="5"/>
        <v>0.99688970187457115</v>
      </c>
      <c r="X36" s="25">
        <v>0.95</v>
      </c>
      <c r="Z36" s="25" t="b">
        <f t="shared" si="3"/>
        <v>1</v>
      </c>
    </row>
    <row r="37" spans="1:26">
      <c r="A37" t="str">
        <f>MLIST!A28</f>
        <v>Water Heating</v>
      </c>
      <c r="B37" t="str">
        <f>MLIST!D28</f>
        <v>Circulators - NR</v>
      </c>
      <c r="C37" t="s">
        <v>285</v>
      </c>
      <c r="D37" s="25">
        <f t="shared" si="4"/>
        <v>0.10937459468255628</v>
      </c>
      <c r="E37" s="25">
        <f t="shared" si="4"/>
        <v>0.21874918936511256</v>
      </c>
      <c r="F37" s="25">
        <f t="shared" si="4"/>
        <v>0.32812378404766884</v>
      </c>
      <c r="G37" s="25">
        <f t="shared" si="4"/>
        <v>0.43749837873022512</v>
      </c>
      <c r="H37" s="25">
        <f t="shared" si="4"/>
        <v>0.5468729734127814</v>
      </c>
      <c r="I37" s="25">
        <f t="shared" si="4"/>
        <v>0.64531010862708205</v>
      </c>
      <c r="J37" s="25">
        <f t="shared" si="4"/>
        <v>0.7240598167985226</v>
      </c>
      <c r="K37" s="25">
        <f t="shared" si="4"/>
        <v>0.78705958333567505</v>
      </c>
      <c r="L37" s="25">
        <f t="shared" si="4"/>
        <v>0.83745939656539703</v>
      </c>
      <c r="M37" s="25">
        <f t="shared" si="4"/>
        <v>0.87777924714917455</v>
      </c>
      <c r="N37" s="25">
        <f t="shared" si="5"/>
        <v>0.91003512761619654</v>
      </c>
      <c r="O37" s="25">
        <f t="shared" si="5"/>
        <v>0.93583983198981413</v>
      </c>
      <c r="P37" s="25">
        <f t="shared" si="5"/>
        <v>0.9564835954887082</v>
      </c>
      <c r="Q37" s="25">
        <f t="shared" si="5"/>
        <v>0.97299860628782353</v>
      </c>
      <c r="R37" s="25">
        <f t="shared" si="5"/>
        <v>0.9862106149271157</v>
      </c>
      <c r="S37" s="25">
        <f t="shared" si="5"/>
        <v>0.99678022183854953</v>
      </c>
      <c r="T37" s="25">
        <f t="shared" si="5"/>
        <v>0.99685231466234414</v>
      </c>
      <c r="U37" s="25">
        <f t="shared" si="5"/>
        <v>0.99687806209941365</v>
      </c>
      <c r="V37" s="25">
        <f t="shared" si="5"/>
        <v>0.99688683963477831</v>
      </c>
      <c r="W37" s="25">
        <f t="shared" si="5"/>
        <v>0.99688970187457115</v>
      </c>
      <c r="X37" s="25">
        <v>0.95</v>
      </c>
      <c r="Z37" s="25" t="b">
        <f t="shared" si="3"/>
        <v>1</v>
      </c>
    </row>
    <row r="38" spans="1:26">
      <c r="A38" t="str">
        <f>MLIST!A29</f>
        <v>Dryer</v>
      </c>
      <c r="B38" t="str">
        <f>MLIST!D29</f>
        <v>Clothes Dryer - New</v>
      </c>
      <c r="C38" t="s">
        <v>285</v>
      </c>
      <c r="D38" s="25">
        <f t="shared" si="4"/>
        <v>0.10937459468255628</v>
      </c>
      <c r="E38" s="25">
        <f t="shared" si="4"/>
        <v>0.21874918936511256</v>
      </c>
      <c r="F38" s="25">
        <f t="shared" si="4"/>
        <v>0.32812378404766884</v>
      </c>
      <c r="G38" s="25">
        <f t="shared" si="4"/>
        <v>0.43749837873022512</v>
      </c>
      <c r="H38" s="25">
        <f t="shared" si="4"/>
        <v>0.5468729734127814</v>
      </c>
      <c r="I38" s="25">
        <f t="shared" si="4"/>
        <v>0.64531010862708205</v>
      </c>
      <c r="J38" s="25">
        <f t="shared" si="4"/>
        <v>0.7240598167985226</v>
      </c>
      <c r="K38" s="25">
        <f t="shared" si="4"/>
        <v>0.78705958333567505</v>
      </c>
      <c r="L38" s="25">
        <f t="shared" si="4"/>
        <v>0.83745939656539703</v>
      </c>
      <c r="M38" s="25">
        <f t="shared" si="4"/>
        <v>0.87777924714917455</v>
      </c>
      <c r="N38" s="25">
        <f t="shared" si="5"/>
        <v>0.91003512761619654</v>
      </c>
      <c r="O38" s="25">
        <f t="shared" si="5"/>
        <v>0.93583983198981413</v>
      </c>
      <c r="P38" s="25">
        <f t="shared" si="5"/>
        <v>0.9564835954887082</v>
      </c>
      <c r="Q38" s="25">
        <f t="shared" si="5"/>
        <v>0.97299860628782353</v>
      </c>
      <c r="R38" s="25">
        <f t="shared" si="5"/>
        <v>0.9862106149271157</v>
      </c>
      <c r="S38" s="25">
        <f t="shared" si="5"/>
        <v>0.99678022183854953</v>
      </c>
      <c r="T38" s="25">
        <f t="shared" si="5"/>
        <v>0.99685231466234414</v>
      </c>
      <c r="U38" s="25">
        <f t="shared" si="5"/>
        <v>0.99687806209941365</v>
      </c>
      <c r="V38" s="25">
        <f t="shared" si="5"/>
        <v>0.99688683963477831</v>
      </c>
      <c r="W38" s="25">
        <f t="shared" si="5"/>
        <v>0.99688970187457115</v>
      </c>
      <c r="X38" s="25">
        <v>0.95</v>
      </c>
      <c r="Z38" s="25" t="b">
        <f t="shared" si="3"/>
        <v>1</v>
      </c>
    </row>
    <row r="39" spans="1:26">
      <c r="A39" t="str">
        <f>MLIST!A30</f>
        <v>Dryer</v>
      </c>
      <c r="B39" t="str">
        <f>MLIST!D30</f>
        <v>Clothes Dryer - NR</v>
      </c>
      <c r="C39" t="s">
        <v>285</v>
      </c>
      <c r="D39" s="25">
        <f t="shared" ref="D39:M48" si="7">IF(ISBLANK($C39),"",VLOOKUP($C39,$C$1:$X$15,D$17-$D$17+2,FALSE))</f>
        <v>0.10937459468255628</v>
      </c>
      <c r="E39" s="25">
        <f t="shared" si="7"/>
        <v>0.21874918936511256</v>
      </c>
      <c r="F39" s="25">
        <f t="shared" si="7"/>
        <v>0.32812378404766884</v>
      </c>
      <c r="G39" s="25">
        <f t="shared" si="7"/>
        <v>0.43749837873022512</v>
      </c>
      <c r="H39" s="25">
        <f t="shared" si="7"/>
        <v>0.5468729734127814</v>
      </c>
      <c r="I39" s="25">
        <f t="shared" si="7"/>
        <v>0.64531010862708205</v>
      </c>
      <c r="J39" s="25">
        <f t="shared" si="7"/>
        <v>0.7240598167985226</v>
      </c>
      <c r="K39" s="25">
        <f t="shared" si="7"/>
        <v>0.78705958333567505</v>
      </c>
      <c r="L39" s="25">
        <f t="shared" si="7"/>
        <v>0.83745939656539703</v>
      </c>
      <c r="M39" s="25">
        <f t="shared" si="7"/>
        <v>0.87777924714917455</v>
      </c>
      <c r="N39" s="25">
        <f t="shared" ref="N39:W48" si="8">IF(ISBLANK($C39),"",VLOOKUP($C39,$C$1:$X$15,N$17-$D$17+2,FALSE))</f>
        <v>0.91003512761619654</v>
      </c>
      <c r="O39" s="25">
        <f t="shared" si="8"/>
        <v>0.93583983198981413</v>
      </c>
      <c r="P39" s="25">
        <f t="shared" si="8"/>
        <v>0.9564835954887082</v>
      </c>
      <c r="Q39" s="25">
        <f t="shared" si="8"/>
        <v>0.97299860628782353</v>
      </c>
      <c r="R39" s="25">
        <f t="shared" si="8"/>
        <v>0.9862106149271157</v>
      </c>
      <c r="S39" s="25">
        <f t="shared" si="8"/>
        <v>0.99678022183854953</v>
      </c>
      <c r="T39" s="25">
        <f t="shared" si="8"/>
        <v>0.99685231466234414</v>
      </c>
      <c r="U39" s="25">
        <f t="shared" si="8"/>
        <v>0.99687806209941365</v>
      </c>
      <c r="V39" s="25">
        <f t="shared" si="8"/>
        <v>0.99688683963477831</v>
      </c>
      <c r="W39" s="25">
        <f t="shared" si="8"/>
        <v>0.99688970187457115</v>
      </c>
      <c r="X39" s="25">
        <v>0.95</v>
      </c>
      <c r="Z39" s="25" t="b">
        <f t="shared" si="3"/>
        <v>1</v>
      </c>
    </row>
    <row r="40" spans="1:26">
      <c r="A40" t="str">
        <f>MLIST!A31</f>
        <v>Refrigeration</v>
      </c>
      <c r="B40" t="str">
        <f>MLIST!D31</f>
        <v>Refrigerator - New</v>
      </c>
      <c r="C40" t="s">
        <v>285</v>
      </c>
      <c r="D40" s="25">
        <f t="shared" si="7"/>
        <v>0.10937459468255628</v>
      </c>
      <c r="E40" s="25">
        <f t="shared" si="7"/>
        <v>0.21874918936511256</v>
      </c>
      <c r="F40" s="25">
        <f t="shared" si="7"/>
        <v>0.32812378404766884</v>
      </c>
      <c r="G40" s="25">
        <f t="shared" si="7"/>
        <v>0.43749837873022512</v>
      </c>
      <c r="H40" s="25">
        <f t="shared" si="7"/>
        <v>0.5468729734127814</v>
      </c>
      <c r="I40" s="25">
        <f t="shared" si="7"/>
        <v>0.64531010862708205</v>
      </c>
      <c r="J40" s="25">
        <f t="shared" si="7"/>
        <v>0.7240598167985226</v>
      </c>
      <c r="K40" s="25">
        <f t="shared" si="7"/>
        <v>0.78705958333567505</v>
      </c>
      <c r="L40" s="25">
        <f t="shared" si="7"/>
        <v>0.83745939656539703</v>
      </c>
      <c r="M40" s="25">
        <f t="shared" si="7"/>
        <v>0.87777924714917455</v>
      </c>
      <c r="N40" s="25">
        <f t="shared" si="8"/>
        <v>0.91003512761619654</v>
      </c>
      <c r="O40" s="25">
        <f t="shared" si="8"/>
        <v>0.93583983198981413</v>
      </c>
      <c r="P40" s="25">
        <f t="shared" si="8"/>
        <v>0.9564835954887082</v>
      </c>
      <c r="Q40" s="25">
        <f t="shared" si="8"/>
        <v>0.97299860628782353</v>
      </c>
      <c r="R40" s="25">
        <f t="shared" si="8"/>
        <v>0.9862106149271157</v>
      </c>
      <c r="S40" s="25">
        <f t="shared" si="8"/>
        <v>0.99678022183854953</v>
      </c>
      <c r="T40" s="25">
        <f t="shared" si="8"/>
        <v>0.99685231466234414</v>
      </c>
      <c r="U40" s="25">
        <f t="shared" si="8"/>
        <v>0.99687806209941365</v>
      </c>
      <c r="V40" s="25">
        <f t="shared" si="8"/>
        <v>0.99688683963477831</v>
      </c>
      <c r="W40" s="25">
        <f t="shared" si="8"/>
        <v>0.99688970187457115</v>
      </c>
      <c r="X40" s="25">
        <v>1</v>
      </c>
      <c r="Z40" s="25" t="b">
        <f t="shared" si="3"/>
        <v>1</v>
      </c>
    </row>
    <row r="41" spans="1:26">
      <c r="A41" t="str">
        <f>MLIST!A32</f>
        <v>Refrigeration</v>
      </c>
      <c r="B41" t="str">
        <f>MLIST!D32</f>
        <v>Refrigerator - NR</v>
      </c>
      <c r="C41" t="s">
        <v>285</v>
      </c>
      <c r="D41" s="25">
        <f t="shared" si="7"/>
        <v>0.10937459468255628</v>
      </c>
      <c r="E41" s="25">
        <f t="shared" si="7"/>
        <v>0.21874918936511256</v>
      </c>
      <c r="F41" s="25">
        <f t="shared" si="7"/>
        <v>0.32812378404766884</v>
      </c>
      <c r="G41" s="25">
        <f t="shared" si="7"/>
        <v>0.43749837873022512</v>
      </c>
      <c r="H41" s="25">
        <f t="shared" si="7"/>
        <v>0.5468729734127814</v>
      </c>
      <c r="I41" s="25">
        <f t="shared" si="7"/>
        <v>0.64531010862708205</v>
      </c>
      <c r="J41" s="25">
        <f t="shared" si="7"/>
        <v>0.7240598167985226</v>
      </c>
      <c r="K41" s="25">
        <f t="shared" si="7"/>
        <v>0.78705958333567505</v>
      </c>
      <c r="L41" s="25">
        <f t="shared" si="7"/>
        <v>0.83745939656539703</v>
      </c>
      <c r="M41" s="25">
        <f t="shared" si="7"/>
        <v>0.87777924714917455</v>
      </c>
      <c r="N41" s="25">
        <f t="shared" si="8"/>
        <v>0.91003512761619654</v>
      </c>
      <c r="O41" s="25">
        <f t="shared" si="8"/>
        <v>0.93583983198981413</v>
      </c>
      <c r="P41" s="25">
        <f t="shared" si="8"/>
        <v>0.9564835954887082</v>
      </c>
      <c r="Q41" s="25">
        <f t="shared" si="8"/>
        <v>0.97299860628782353</v>
      </c>
      <c r="R41" s="25">
        <f t="shared" si="8"/>
        <v>0.9862106149271157</v>
      </c>
      <c r="S41" s="25">
        <f t="shared" si="8"/>
        <v>0.99678022183854953</v>
      </c>
      <c r="T41" s="25">
        <f t="shared" si="8"/>
        <v>0.99685231466234414</v>
      </c>
      <c r="U41" s="25">
        <f t="shared" si="8"/>
        <v>0.99687806209941365</v>
      </c>
      <c r="V41" s="25">
        <f t="shared" si="8"/>
        <v>0.99688683963477831</v>
      </c>
      <c r="W41" s="25">
        <f t="shared" si="8"/>
        <v>0.99688970187457115</v>
      </c>
      <c r="X41" s="25">
        <v>1</v>
      </c>
      <c r="Z41" s="25" t="b">
        <f>IF(IF(OR(RIGHT(B41,2)="NR",RIGHT(B41,2)="ew"),"LO","Re")=LEFT(C41,2),TRUE,FALSE)</f>
        <v>1</v>
      </c>
    </row>
    <row r="42" spans="1:26">
      <c r="A42" t="str">
        <f>MLIST!A33</f>
        <v>Refrigeration</v>
      </c>
      <c r="B42" t="str">
        <f>MLIST!D33</f>
        <v>Freezer - New</v>
      </c>
      <c r="C42" t="s">
        <v>285</v>
      </c>
      <c r="D42" s="25">
        <f t="shared" si="7"/>
        <v>0.10937459468255628</v>
      </c>
      <c r="E42" s="25">
        <f t="shared" si="7"/>
        <v>0.21874918936511256</v>
      </c>
      <c r="F42" s="25">
        <f t="shared" si="7"/>
        <v>0.32812378404766884</v>
      </c>
      <c r="G42" s="25">
        <f t="shared" si="7"/>
        <v>0.43749837873022512</v>
      </c>
      <c r="H42" s="25">
        <f t="shared" si="7"/>
        <v>0.5468729734127814</v>
      </c>
      <c r="I42" s="25">
        <f t="shared" si="7"/>
        <v>0.64531010862708205</v>
      </c>
      <c r="J42" s="25">
        <f t="shared" si="7"/>
        <v>0.7240598167985226</v>
      </c>
      <c r="K42" s="25">
        <f t="shared" si="7"/>
        <v>0.78705958333567505</v>
      </c>
      <c r="L42" s="25">
        <f t="shared" si="7"/>
        <v>0.83745939656539703</v>
      </c>
      <c r="M42" s="25">
        <f t="shared" si="7"/>
        <v>0.87777924714917455</v>
      </c>
      <c r="N42" s="25">
        <f t="shared" si="8"/>
        <v>0.91003512761619654</v>
      </c>
      <c r="O42" s="25">
        <f t="shared" si="8"/>
        <v>0.93583983198981413</v>
      </c>
      <c r="P42" s="25">
        <f t="shared" si="8"/>
        <v>0.9564835954887082</v>
      </c>
      <c r="Q42" s="25">
        <f t="shared" si="8"/>
        <v>0.97299860628782353</v>
      </c>
      <c r="R42" s="25">
        <f t="shared" si="8"/>
        <v>0.9862106149271157</v>
      </c>
      <c r="S42" s="25">
        <f t="shared" si="8"/>
        <v>0.99678022183854953</v>
      </c>
      <c r="T42" s="25">
        <f t="shared" si="8"/>
        <v>0.99685231466234414</v>
      </c>
      <c r="U42" s="25">
        <f t="shared" si="8"/>
        <v>0.99687806209941365</v>
      </c>
      <c r="V42" s="25">
        <f t="shared" si="8"/>
        <v>0.99688683963477831</v>
      </c>
      <c r="W42" s="25">
        <f t="shared" si="8"/>
        <v>0.99688970187457115</v>
      </c>
      <c r="X42" s="25">
        <v>1</v>
      </c>
      <c r="Z42" s="25" t="b">
        <f t="shared" si="3"/>
        <v>1</v>
      </c>
    </row>
    <row r="43" spans="1:26">
      <c r="A43" t="str">
        <f>MLIST!A34</f>
        <v>Refrigeration</v>
      </c>
      <c r="B43" t="str">
        <f>MLIST!D34</f>
        <v>Freezer - NR</v>
      </c>
      <c r="C43" t="s">
        <v>285</v>
      </c>
      <c r="D43" s="25">
        <f t="shared" si="7"/>
        <v>0.10937459468255628</v>
      </c>
      <c r="E43" s="25">
        <f t="shared" si="7"/>
        <v>0.21874918936511256</v>
      </c>
      <c r="F43" s="25">
        <f t="shared" si="7"/>
        <v>0.32812378404766884</v>
      </c>
      <c r="G43" s="25">
        <f t="shared" si="7"/>
        <v>0.43749837873022512</v>
      </c>
      <c r="H43" s="25">
        <f t="shared" si="7"/>
        <v>0.5468729734127814</v>
      </c>
      <c r="I43" s="25">
        <f t="shared" si="7"/>
        <v>0.64531010862708205</v>
      </c>
      <c r="J43" s="25">
        <f t="shared" si="7"/>
        <v>0.7240598167985226</v>
      </c>
      <c r="K43" s="25">
        <f t="shared" si="7"/>
        <v>0.78705958333567505</v>
      </c>
      <c r="L43" s="25">
        <f t="shared" si="7"/>
        <v>0.83745939656539703</v>
      </c>
      <c r="M43" s="25">
        <f t="shared" si="7"/>
        <v>0.87777924714917455</v>
      </c>
      <c r="N43" s="25">
        <f t="shared" si="8"/>
        <v>0.91003512761619654</v>
      </c>
      <c r="O43" s="25">
        <f t="shared" si="8"/>
        <v>0.93583983198981413</v>
      </c>
      <c r="P43" s="25">
        <f t="shared" si="8"/>
        <v>0.9564835954887082</v>
      </c>
      <c r="Q43" s="25">
        <f t="shared" si="8"/>
        <v>0.97299860628782353</v>
      </c>
      <c r="R43" s="25">
        <f t="shared" si="8"/>
        <v>0.9862106149271157</v>
      </c>
      <c r="S43" s="25">
        <f t="shared" si="8"/>
        <v>0.99678022183854953</v>
      </c>
      <c r="T43" s="25">
        <f t="shared" si="8"/>
        <v>0.99685231466234414</v>
      </c>
      <c r="U43" s="25">
        <f t="shared" si="8"/>
        <v>0.99687806209941365</v>
      </c>
      <c r="V43" s="25">
        <f t="shared" si="8"/>
        <v>0.99688683963477831</v>
      </c>
      <c r="W43" s="25">
        <f t="shared" si="8"/>
        <v>0.99688970187457115</v>
      </c>
      <c r="X43" s="25">
        <v>1</v>
      </c>
      <c r="Z43" s="25" t="b">
        <f t="shared" si="3"/>
        <v>1</v>
      </c>
    </row>
    <row r="44" spans="1:26">
      <c r="A44" t="str">
        <f>MLIST!A35</f>
        <v>Food Preparation</v>
      </c>
      <c r="B44" t="str">
        <f>MLIST!D35</f>
        <v>Electric Oven - New</v>
      </c>
      <c r="C44" s="8" t="s">
        <v>289</v>
      </c>
      <c r="D44" s="25">
        <f t="shared" si="7"/>
        <v>5.5320496977002724E-3</v>
      </c>
      <c r="E44" s="25">
        <f t="shared" si="7"/>
        <v>1.4227918344261844E-2</v>
      </c>
      <c r="F44" s="25">
        <f t="shared" si="7"/>
        <v>3.1619655637384989E-2</v>
      </c>
      <c r="G44" s="25">
        <f t="shared" si="7"/>
        <v>6.2055195900350503E-2</v>
      </c>
      <c r="H44" s="25">
        <f t="shared" si="7"/>
        <v>0.10939936964274129</v>
      </c>
      <c r="I44" s="25">
        <f t="shared" si="7"/>
        <v>0.17568121288208835</v>
      </c>
      <c r="J44" s="25">
        <f t="shared" si="7"/>
        <v>0.26003992245943919</v>
      </c>
      <c r="K44" s="25">
        <f t="shared" si="7"/>
        <v>0.3584584169663485</v>
      </c>
      <c r="L44" s="25">
        <f t="shared" si="7"/>
        <v>0.46444756489686617</v>
      </c>
      <c r="M44" s="25">
        <f t="shared" si="7"/>
        <v>0.57043671282738384</v>
      </c>
      <c r="N44" s="25">
        <f t="shared" si="8"/>
        <v>0.66935991756253377</v>
      </c>
      <c r="O44" s="25">
        <f t="shared" si="8"/>
        <v>0.75591772170578986</v>
      </c>
      <c r="P44" s="25">
        <f t="shared" si="8"/>
        <v>0.82720061923553012</v>
      </c>
      <c r="Q44" s="25">
        <f t="shared" si="8"/>
        <v>0.88264287286977261</v>
      </c>
      <c r="R44" s="25">
        <f t="shared" si="8"/>
        <v>0.92349505975816193</v>
      </c>
      <c r="S44" s="25">
        <f t="shared" si="8"/>
        <v>0.95209159058003434</v>
      </c>
      <c r="T44" s="25">
        <f t="shared" si="8"/>
        <v>0.97115594446128262</v>
      </c>
      <c r="U44" s="25">
        <f t="shared" si="8"/>
        <v>0.98328780602207699</v>
      </c>
      <c r="V44" s="25">
        <f t="shared" si="8"/>
        <v>0.99067241740690848</v>
      </c>
      <c r="W44" s="25">
        <f t="shared" si="8"/>
        <v>0.996</v>
      </c>
      <c r="X44" s="25">
        <v>0.95</v>
      </c>
      <c r="Z44" s="25" t="b">
        <f t="shared" si="3"/>
        <v>1</v>
      </c>
    </row>
    <row r="45" spans="1:26">
      <c r="A45" t="str">
        <f>MLIST!A36</f>
        <v>Food Preparation</v>
      </c>
      <c r="B45" t="str">
        <f>MLIST!D36</f>
        <v>Electric Oven - NR</v>
      </c>
      <c r="C45" s="8" t="s">
        <v>289</v>
      </c>
      <c r="D45" s="25">
        <f t="shared" si="7"/>
        <v>5.5320496977002724E-3</v>
      </c>
      <c r="E45" s="25">
        <f t="shared" si="7"/>
        <v>1.4227918344261844E-2</v>
      </c>
      <c r="F45" s="25">
        <f t="shared" si="7"/>
        <v>3.1619655637384989E-2</v>
      </c>
      <c r="G45" s="25">
        <f t="shared" si="7"/>
        <v>6.2055195900350503E-2</v>
      </c>
      <c r="H45" s="25">
        <f t="shared" si="7"/>
        <v>0.10939936964274129</v>
      </c>
      <c r="I45" s="25">
        <f t="shared" si="7"/>
        <v>0.17568121288208835</v>
      </c>
      <c r="J45" s="25">
        <f t="shared" si="7"/>
        <v>0.26003992245943919</v>
      </c>
      <c r="K45" s="25">
        <f t="shared" si="7"/>
        <v>0.3584584169663485</v>
      </c>
      <c r="L45" s="25">
        <f t="shared" si="7"/>
        <v>0.46444756489686617</v>
      </c>
      <c r="M45" s="25">
        <f t="shared" si="7"/>
        <v>0.57043671282738384</v>
      </c>
      <c r="N45" s="25">
        <f t="shared" si="8"/>
        <v>0.66935991756253377</v>
      </c>
      <c r="O45" s="25">
        <f t="shared" si="8"/>
        <v>0.75591772170578986</v>
      </c>
      <c r="P45" s="25">
        <f t="shared" si="8"/>
        <v>0.82720061923553012</v>
      </c>
      <c r="Q45" s="25">
        <f t="shared" si="8"/>
        <v>0.88264287286977261</v>
      </c>
      <c r="R45" s="25">
        <f t="shared" si="8"/>
        <v>0.92349505975816193</v>
      </c>
      <c r="S45" s="25">
        <f t="shared" si="8"/>
        <v>0.95209159058003434</v>
      </c>
      <c r="T45" s="25">
        <f t="shared" si="8"/>
        <v>0.97115594446128262</v>
      </c>
      <c r="U45" s="25">
        <f t="shared" si="8"/>
        <v>0.98328780602207699</v>
      </c>
      <c r="V45" s="25">
        <f t="shared" si="8"/>
        <v>0.99067241740690848</v>
      </c>
      <c r="W45" s="25">
        <f t="shared" si="8"/>
        <v>0.996</v>
      </c>
      <c r="X45" s="25">
        <v>0.95</v>
      </c>
      <c r="Z45" s="25" t="b">
        <f t="shared" si="3"/>
        <v>1</v>
      </c>
    </row>
    <row r="46" spans="1:26">
      <c r="A46" t="str">
        <f>MLIST!A37</f>
        <v>Food Preparation</v>
      </c>
      <c r="B46" t="str">
        <f>MLIST!D37</f>
        <v>Microwave - New</v>
      </c>
      <c r="C46" s="8" t="s">
        <v>293</v>
      </c>
      <c r="D46" s="25">
        <f t="shared" si="7"/>
        <v>5.0000000000000001E-3</v>
      </c>
      <c r="E46" s="25">
        <f t="shared" si="7"/>
        <v>7.6904586297764643E-3</v>
      </c>
      <c r="F46" s="25">
        <f t="shared" si="7"/>
        <v>1.6792013047419844E-2</v>
      </c>
      <c r="G46" s="25">
        <f t="shared" si="7"/>
        <v>3.15969387774655E-2</v>
      </c>
      <c r="H46" s="25">
        <f t="shared" si="7"/>
        <v>5.406874819795171E-2</v>
      </c>
      <c r="I46" s="25">
        <f t="shared" si="7"/>
        <v>8.6253181011834101E-2</v>
      </c>
      <c r="J46" s="25">
        <f t="shared" si="7"/>
        <v>0.1300328481838382</v>
      </c>
      <c r="K46" s="25">
        <f t="shared" si="7"/>
        <v>0.18678710893858319</v>
      </c>
      <c r="L46" s="25">
        <f t="shared" si="7"/>
        <v>0.2569823480072907</v>
      </c>
      <c r="M46" s="25">
        <f t="shared" si="7"/>
        <v>0.33975920985004748</v>
      </c>
      <c r="N46" s="25">
        <f t="shared" si="8"/>
        <v>0.43262946935754232</v>
      </c>
      <c r="O46" s="25">
        <f t="shared" si="8"/>
        <v>0.53142594003645804</v>
      </c>
      <c r="P46" s="25">
        <f t="shared" si="8"/>
        <v>0.63063487292644704</v>
      </c>
      <c r="Q46" s="25">
        <f t="shared" si="8"/>
        <v>0.7241560234206913</v>
      </c>
      <c r="R46" s="25">
        <f t="shared" si="8"/>
        <v>0.80638203131755359</v>
      </c>
      <c r="S46" s="25">
        <f t="shared" si="8"/>
        <v>0.87331559734491926</v>
      </c>
      <c r="T46" s="25">
        <f t="shared" si="8"/>
        <v>0.92334516248836807</v>
      </c>
      <c r="U46" s="25">
        <f t="shared" si="8"/>
        <v>0.96</v>
      </c>
      <c r="V46" s="25">
        <f t="shared" si="8"/>
        <v>0.98</v>
      </c>
      <c r="W46" s="25">
        <f t="shared" si="8"/>
        <v>0.996</v>
      </c>
      <c r="X46" s="25">
        <v>0.95</v>
      </c>
      <c r="Z46" s="25" t="b">
        <f t="shared" si="3"/>
        <v>1</v>
      </c>
    </row>
    <row r="47" spans="1:26">
      <c r="A47" t="str">
        <f>MLIST!A38</f>
        <v>Food Preparation</v>
      </c>
      <c r="B47" t="str">
        <f>MLIST!D38</f>
        <v>Microwave - NR</v>
      </c>
      <c r="C47" s="8" t="s">
        <v>293</v>
      </c>
      <c r="D47" s="25">
        <f t="shared" si="7"/>
        <v>5.0000000000000001E-3</v>
      </c>
      <c r="E47" s="25">
        <f t="shared" si="7"/>
        <v>7.6904586297764643E-3</v>
      </c>
      <c r="F47" s="25">
        <f t="shared" si="7"/>
        <v>1.6792013047419844E-2</v>
      </c>
      <c r="G47" s="25">
        <f t="shared" si="7"/>
        <v>3.15969387774655E-2</v>
      </c>
      <c r="H47" s="25">
        <f t="shared" si="7"/>
        <v>5.406874819795171E-2</v>
      </c>
      <c r="I47" s="25">
        <f t="shared" si="7"/>
        <v>8.6253181011834101E-2</v>
      </c>
      <c r="J47" s="25">
        <f t="shared" si="7"/>
        <v>0.1300328481838382</v>
      </c>
      <c r="K47" s="25">
        <f t="shared" si="7"/>
        <v>0.18678710893858319</v>
      </c>
      <c r="L47" s="25">
        <f t="shared" si="7"/>
        <v>0.2569823480072907</v>
      </c>
      <c r="M47" s="25">
        <f t="shared" si="7"/>
        <v>0.33975920985004748</v>
      </c>
      <c r="N47" s="25">
        <f t="shared" si="8"/>
        <v>0.43262946935754232</v>
      </c>
      <c r="O47" s="25">
        <f t="shared" si="8"/>
        <v>0.53142594003645804</v>
      </c>
      <c r="P47" s="25">
        <f t="shared" si="8"/>
        <v>0.63063487292644704</v>
      </c>
      <c r="Q47" s="25">
        <f t="shared" si="8"/>
        <v>0.7241560234206913</v>
      </c>
      <c r="R47" s="25">
        <f t="shared" si="8"/>
        <v>0.80638203131755359</v>
      </c>
      <c r="S47" s="25">
        <f t="shared" si="8"/>
        <v>0.87331559734491926</v>
      </c>
      <c r="T47" s="25">
        <f t="shared" si="8"/>
        <v>0.92334516248836807</v>
      </c>
      <c r="U47" s="25">
        <f t="shared" si="8"/>
        <v>0.96</v>
      </c>
      <c r="V47" s="25">
        <f t="shared" si="8"/>
        <v>0.98</v>
      </c>
      <c r="W47" s="25">
        <f t="shared" si="8"/>
        <v>0.996</v>
      </c>
      <c r="X47" s="25">
        <v>0.95</v>
      </c>
      <c r="Z47" s="25" t="b">
        <f t="shared" si="3"/>
        <v>1</v>
      </c>
    </row>
    <row r="48" spans="1:26">
      <c r="A48" t="str">
        <f>MLIST!A39</f>
        <v>Electronics</v>
      </c>
      <c r="B48" t="str">
        <f>MLIST!D39</f>
        <v>Monitor - New</v>
      </c>
      <c r="C48" t="s">
        <v>286</v>
      </c>
      <c r="D48" s="25">
        <f t="shared" si="7"/>
        <v>0.45</v>
      </c>
      <c r="E48" s="25">
        <f t="shared" si="7"/>
        <v>0.66</v>
      </c>
      <c r="F48" s="25">
        <f t="shared" si="7"/>
        <v>0.8</v>
      </c>
      <c r="G48" s="25">
        <f t="shared" si="7"/>
        <v>0.89</v>
      </c>
      <c r="H48" s="25">
        <f t="shared" si="7"/>
        <v>0.94954036260972652</v>
      </c>
      <c r="I48" s="25">
        <f t="shared" si="7"/>
        <v>0.97931054391458994</v>
      </c>
      <c r="J48" s="25">
        <f t="shared" si="7"/>
        <v>0.99254173560564019</v>
      </c>
      <c r="K48" s="25">
        <f t="shared" si="7"/>
        <v>0.99783421228206048</v>
      </c>
      <c r="L48" s="25">
        <f t="shared" si="7"/>
        <v>0.99975874925530417</v>
      </c>
      <c r="M48" s="25">
        <f t="shared" si="7"/>
        <v>1</v>
      </c>
      <c r="N48" s="25">
        <f t="shared" si="8"/>
        <v>1</v>
      </c>
      <c r="O48" s="25">
        <f t="shared" si="8"/>
        <v>1</v>
      </c>
      <c r="P48" s="25">
        <f t="shared" si="8"/>
        <v>1</v>
      </c>
      <c r="Q48" s="25">
        <f t="shared" si="8"/>
        <v>1</v>
      </c>
      <c r="R48" s="25">
        <f t="shared" si="8"/>
        <v>1</v>
      </c>
      <c r="S48" s="25">
        <f t="shared" si="8"/>
        <v>1</v>
      </c>
      <c r="T48" s="25">
        <f t="shared" si="8"/>
        <v>1</v>
      </c>
      <c r="U48" s="25">
        <f t="shared" si="8"/>
        <v>1</v>
      </c>
      <c r="V48" s="25">
        <f t="shared" si="8"/>
        <v>1</v>
      </c>
      <c r="W48" s="25">
        <f t="shared" si="8"/>
        <v>1</v>
      </c>
      <c r="X48" s="25">
        <v>1</v>
      </c>
      <c r="Z48" s="25" t="b">
        <f t="shared" si="3"/>
        <v>1</v>
      </c>
    </row>
    <row r="49" spans="1:26">
      <c r="A49" t="str">
        <f>MLIST!A40</f>
        <v>Electronics</v>
      </c>
      <c r="B49" t="str">
        <f>MLIST!D40</f>
        <v>Monitor - NR</v>
      </c>
      <c r="C49" t="s">
        <v>286</v>
      </c>
      <c r="D49" s="25">
        <f t="shared" ref="D49:M58" si="9">IF(ISBLANK($C49),"",VLOOKUP($C49,$C$1:$X$15,D$17-$D$17+2,FALSE))</f>
        <v>0.45</v>
      </c>
      <c r="E49" s="25">
        <f t="shared" si="9"/>
        <v>0.66</v>
      </c>
      <c r="F49" s="25">
        <f t="shared" si="9"/>
        <v>0.8</v>
      </c>
      <c r="G49" s="25">
        <f t="shared" si="9"/>
        <v>0.89</v>
      </c>
      <c r="H49" s="25">
        <f t="shared" si="9"/>
        <v>0.94954036260972652</v>
      </c>
      <c r="I49" s="25">
        <f t="shared" si="9"/>
        <v>0.97931054391458994</v>
      </c>
      <c r="J49" s="25">
        <f t="shared" si="9"/>
        <v>0.99254173560564019</v>
      </c>
      <c r="K49" s="25">
        <f t="shared" si="9"/>
        <v>0.99783421228206048</v>
      </c>
      <c r="L49" s="25">
        <f t="shared" si="9"/>
        <v>0.99975874925530417</v>
      </c>
      <c r="M49" s="25">
        <f t="shared" si="9"/>
        <v>1</v>
      </c>
      <c r="N49" s="25">
        <f t="shared" ref="N49:W58" si="10">IF(ISBLANK($C49),"",VLOOKUP($C49,$C$1:$X$15,N$17-$D$17+2,FALSE))</f>
        <v>1</v>
      </c>
      <c r="O49" s="25">
        <f t="shared" si="10"/>
        <v>1</v>
      </c>
      <c r="P49" s="25">
        <f t="shared" si="10"/>
        <v>1</v>
      </c>
      <c r="Q49" s="25">
        <f t="shared" si="10"/>
        <v>1</v>
      </c>
      <c r="R49" s="25">
        <f t="shared" si="10"/>
        <v>1</v>
      </c>
      <c r="S49" s="25">
        <f t="shared" si="10"/>
        <v>1</v>
      </c>
      <c r="T49" s="25">
        <f t="shared" si="10"/>
        <v>1</v>
      </c>
      <c r="U49" s="25">
        <f t="shared" si="10"/>
        <v>1</v>
      </c>
      <c r="V49" s="25">
        <f t="shared" si="10"/>
        <v>1</v>
      </c>
      <c r="W49" s="25">
        <f t="shared" si="10"/>
        <v>1</v>
      </c>
      <c r="X49" s="25">
        <v>1</v>
      </c>
      <c r="Z49" s="25" t="b">
        <f t="shared" si="3"/>
        <v>1</v>
      </c>
    </row>
    <row r="50" spans="1:26">
      <c r="A50" t="str">
        <f>MLIST!A41</f>
        <v>Electronics</v>
      </c>
      <c r="B50" t="str">
        <f>MLIST!D41</f>
        <v>Desktop - New</v>
      </c>
      <c r="C50" t="s">
        <v>286</v>
      </c>
      <c r="D50" s="25">
        <f t="shared" si="9"/>
        <v>0.45</v>
      </c>
      <c r="E50" s="25">
        <f t="shared" si="9"/>
        <v>0.66</v>
      </c>
      <c r="F50" s="25">
        <f t="shared" si="9"/>
        <v>0.8</v>
      </c>
      <c r="G50" s="25">
        <f t="shared" si="9"/>
        <v>0.89</v>
      </c>
      <c r="H50" s="25">
        <f t="shared" si="9"/>
        <v>0.94954036260972652</v>
      </c>
      <c r="I50" s="25">
        <f t="shared" si="9"/>
        <v>0.97931054391458994</v>
      </c>
      <c r="J50" s="25">
        <f t="shared" si="9"/>
        <v>0.99254173560564019</v>
      </c>
      <c r="K50" s="25">
        <f t="shared" si="9"/>
        <v>0.99783421228206048</v>
      </c>
      <c r="L50" s="25">
        <f t="shared" si="9"/>
        <v>0.99975874925530417</v>
      </c>
      <c r="M50" s="25">
        <f t="shared" si="9"/>
        <v>1</v>
      </c>
      <c r="N50" s="25">
        <f t="shared" si="10"/>
        <v>1</v>
      </c>
      <c r="O50" s="25">
        <f t="shared" si="10"/>
        <v>1</v>
      </c>
      <c r="P50" s="25">
        <f t="shared" si="10"/>
        <v>1</v>
      </c>
      <c r="Q50" s="25">
        <f t="shared" si="10"/>
        <v>1</v>
      </c>
      <c r="R50" s="25">
        <f t="shared" si="10"/>
        <v>1</v>
      </c>
      <c r="S50" s="25">
        <f t="shared" si="10"/>
        <v>1</v>
      </c>
      <c r="T50" s="25">
        <f t="shared" si="10"/>
        <v>1</v>
      </c>
      <c r="U50" s="25">
        <f t="shared" si="10"/>
        <v>1</v>
      </c>
      <c r="V50" s="25">
        <f t="shared" si="10"/>
        <v>1</v>
      </c>
      <c r="W50" s="25">
        <f t="shared" si="10"/>
        <v>1</v>
      </c>
      <c r="X50" s="25">
        <v>1</v>
      </c>
      <c r="Z50" s="25" t="b">
        <f t="shared" si="3"/>
        <v>1</v>
      </c>
    </row>
    <row r="51" spans="1:26">
      <c r="A51" t="str">
        <f>MLIST!A42</f>
        <v>Electronics</v>
      </c>
      <c r="B51" t="str">
        <f>MLIST!D42</f>
        <v>Desktop - NR</v>
      </c>
      <c r="C51" t="s">
        <v>286</v>
      </c>
      <c r="D51" s="25">
        <f t="shared" si="9"/>
        <v>0.45</v>
      </c>
      <c r="E51" s="25">
        <f t="shared" si="9"/>
        <v>0.66</v>
      </c>
      <c r="F51" s="25">
        <f t="shared" si="9"/>
        <v>0.8</v>
      </c>
      <c r="G51" s="25">
        <f t="shared" si="9"/>
        <v>0.89</v>
      </c>
      <c r="H51" s="25">
        <f t="shared" si="9"/>
        <v>0.94954036260972652</v>
      </c>
      <c r="I51" s="25">
        <f t="shared" si="9"/>
        <v>0.97931054391458994</v>
      </c>
      <c r="J51" s="25">
        <f t="shared" si="9"/>
        <v>0.99254173560564019</v>
      </c>
      <c r="K51" s="25">
        <f t="shared" si="9"/>
        <v>0.99783421228206048</v>
      </c>
      <c r="L51" s="25">
        <f t="shared" si="9"/>
        <v>0.99975874925530417</v>
      </c>
      <c r="M51" s="25">
        <f t="shared" si="9"/>
        <v>1</v>
      </c>
      <c r="N51" s="25">
        <f t="shared" si="10"/>
        <v>1</v>
      </c>
      <c r="O51" s="25">
        <f t="shared" si="10"/>
        <v>1</v>
      </c>
      <c r="P51" s="25">
        <f t="shared" si="10"/>
        <v>1</v>
      </c>
      <c r="Q51" s="25">
        <f t="shared" si="10"/>
        <v>1</v>
      </c>
      <c r="R51" s="25">
        <f t="shared" si="10"/>
        <v>1</v>
      </c>
      <c r="S51" s="25">
        <f t="shared" si="10"/>
        <v>1</v>
      </c>
      <c r="T51" s="25">
        <f t="shared" si="10"/>
        <v>1</v>
      </c>
      <c r="U51" s="25">
        <f t="shared" si="10"/>
        <v>1</v>
      </c>
      <c r="V51" s="25">
        <f t="shared" si="10"/>
        <v>1</v>
      </c>
      <c r="W51" s="25">
        <f t="shared" si="10"/>
        <v>1</v>
      </c>
      <c r="X51" s="25">
        <v>1</v>
      </c>
      <c r="Z51" s="25" t="b">
        <f t="shared" si="3"/>
        <v>1</v>
      </c>
    </row>
    <row r="52" spans="1:26">
      <c r="A52" t="str">
        <f>MLIST!A43</f>
        <v>Electronics</v>
      </c>
      <c r="B52" t="str">
        <f>MLIST!D43</f>
        <v>Laptop - New</v>
      </c>
      <c r="C52" t="s">
        <v>286</v>
      </c>
      <c r="D52" s="25">
        <f t="shared" si="9"/>
        <v>0.45</v>
      </c>
      <c r="E52" s="25">
        <f t="shared" si="9"/>
        <v>0.66</v>
      </c>
      <c r="F52" s="25">
        <f t="shared" si="9"/>
        <v>0.8</v>
      </c>
      <c r="G52" s="25">
        <f t="shared" si="9"/>
        <v>0.89</v>
      </c>
      <c r="H52" s="25">
        <f t="shared" si="9"/>
        <v>0.94954036260972652</v>
      </c>
      <c r="I52" s="25">
        <f t="shared" si="9"/>
        <v>0.97931054391458994</v>
      </c>
      <c r="J52" s="25">
        <f t="shared" si="9"/>
        <v>0.99254173560564019</v>
      </c>
      <c r="K52" s="25">
        <f t="shared" si="9"/>
        <v>0.99783421228206048</v>
      </c>
      <c r="L52" s="25">
        <f t="shared" si="9"/>
        <v>0.99975874925530417</v>
      </c>
      <c r="M52" s="25">
        <f t="shared" si="9"/>
        <v>1</v>
      </c>
      <c r="N52" s="25">
        <f t="shared" si="10"/>
        <v>1</v>
      </c>
      <c r="O52" s="25">
        <f t="shared" si="10"/>
        <v>1</v>
      </c>
      <c r="P52" s="25">
        <f t="shared" si="10"/>
        <v>1</v>
      </c>
      <c r="Q52" s="25">
        <f t="shared" si="10"/>
        <v>1</v>
      </c>
      <c r="R52" s="25">
        <f t="shared" si="10"/>
        <v>1</v>
      </c>
      <c r="S52" s="25">
        <f t="shared" si="10"/>
        <v>1</v>
      </c>
      <c r="T52" s="25">
        <f t="shared" si="10"/>
        <v>1</v>
      </c>
      <c r="U52" s="25">
        <f t="shared" si="10"/>
        <v>1</v>
      </c>
      <c r="V52" s="25">
        <f t="shared" si="10"/>
        <v>1</v>
      </c>
      <c r="W52" s="25">
        <f t="shared" si="10"/>
        <v>1</v>
      </c>
      <c r="X52" s="25">
        <v>1</v>
      </c>
      <c r="Z52" s="25" t="b">
        <f>IF(IF(OR(RIGHT(B52,2)="NR",RIGHT(B52,2)="ew"),"LO","Re")=LEFT(C52,2),TRUE,FALSE)</f>
        <v>1</v>
      </c>
    </row>
    <row r="53" spans="1:26">
      <c r="A53" t="str">
        <f>MLIST!A44</f>
        <v>Electronics</v>
      </c>
      <c r="B53" t="str">
        <f>MLIST!D44</f>
        <v>Laptop - NR</v>
      </c>
      <c r="C53" t="s">
        <v>286</v>
      </c>
      <c r="D53" s="25">
        <f t="shared" si="9"/>
        <v>0.45</v>
      </c>
      <c r="E53" s="25">
        <f t="shared" si="9"/>
        <v>0.66</v>
      </c>
      <c r="F53" s="25">
        <f t="shared" si="9"/>
        <v>0.8</v>
      </c>
      <c r="G53" s="25">
        <f t="shared" si="9"/>
        <v>0.89</v>
      </c>
      <c r="H53" s="25">
        <f t="shared" si="9"/>
        <v>0.94954036260972652</v>
      </c>
      <c r="I53" s="25">
        <f t="shared" si="9"/>
        <v>0.97931054391458994</v>
      </c>
      <c r="J53" s="25">
        <f t="shared" si="9"/>
        <v>0.99254173560564019</v>
      </c>
      <c r="K53" s="25">
        <f t="shared" si="9"/>
        <v>0.99783421228206048</v>
      </c>
      <c r="L53" s="25">
        <f t="shared" si="9"/>
        <v>0.99975874925530417</v>
      </c>
      <c r="M53" s="25">
        <f t="shared" si="9"/>
        <v>1</v>
      </c>
      <c r="N53" s="25">
        <f t="shared" si="10"/>
        <v>1</v>
      </c>
      <c r="O53" s="25">
        <f t="shared" si="10"/>
        <v>1</v>
      </c>
      <c r="P53" s="25">
        <f t="shared" si="10"/>
        <v>1</v>
      </c>
      <c r="Q53" s="25">
        <f t="shared" si="10"/>
        <v>1</v>
      </c>
      <c r="R53" s="25">
        <f t="shared" si="10"/>
        <v>1</v>
      </c>
      <c r="S53" s="25">
        <f t="shared" si="10"/>
        <v>1</v>
      </c>
      <c r="T53" s="25">
        <f t="shared" si="10"/>
        <v>1</v>
      </c>
      <c r="U53" s="25">
        <f t="shared" si="10"/>
        <v>1</v>
      </c>
      <c r="V53" s="25">
        <f t="shared" si="10"/>
        <v>1</v>
      </c>
      <c r="W53" s="25">
        <f t="shared" si="10"/>
        <v>1</v>
      </c>
      <c r="X53" s="25">
        <v>1</v>
      </c>
      <c r="Z53" s="25" t="b">
        <f>IF(IF(OR(RIGHT(B53,2)="NR",RIGHT(B53,2)="ew"),"LO","Re")=LEFT(C53,2),TRUE,FALSE)</f>
        <v>1</v>
      </c>
    </row>
    <row r="54" spans="1:26">
      <c r="A54" t="str">
        <f>MLIST!A45</f>
        <v>Electronics</v>
      </c>
      <c r="B54" t="str">
        <f>MLIST!D45</f>
        <v>Computer - New</v>
      </c>
      <c r="C54" t="s">
        <v>286</v>
      </c>
      <c r="D54" s="25">
        <f t="shared" si="9"/>
        <v>0.45</v>
      </c>
      <c r="E54" s="25">
        <f t="shared" si="9"/>
        <v>0.66</v>
      </c>
      <c r="F54" s="25">
        <f t="shared" si="9"/>
        <v>0.8</v>
      </c>
      <c r="G54" s="25">
        <f t="shared" si="9"/>
        <v>0.89</v>
      </c>
      <c r="H54" s="25">
        <f t="shared" si="9"/>
        <v>0.94954036260972652</v>
      </c>
      <c r="I54" s="25">
        <f t="shared" si="9"/>
        <v>0.97931054391458994</v>
      </c>
      <c r="J54" s="25">
        <f t="shared" si="9"/>
        <v>0.99254173560564019</v>
      </c>
      <c r="K54" s="25">
        <f t="shared" si="9"/>
        <v>0.99783421228206048</v>
      </c>
      <c r="L54" s="25">
        <f t="shared" si="9"/>
        <v>0.99975874925530417</v>
      </c>
      <c r="M54" s="25">
        <f t="shared" si="9"/>
        <v>1</v>
      </c>
      <c r="N54" s="25">
        <f t="shared" si="10"/>
        <v>1</v>
      </c>
      <c r="O54" s="25">
        <f t="shared" si="10"/>
        <v>1</v>
      </c>
      <c r="P54" s="25">
        <f t="shared" si="10"/>
        <v>1</v>
      </c>
      <c r="Q54" s="25">
        <f t="shared" si="10"/>
        <v>1</v>
      </c>
      <c r="R54" s="25">
        <f t="shared" si="10"/>
        <v>1</v>
      </c>
      <c r="S54" s="25">
        <f t="shared" si="10"/>
        <v>1</v>
      </c>
      <c r="T54" s="25">
        <f t="shared" si="10"/>
        <v>1</v>
      </c>
      <c r="U54" s="25">
        <f t="shared" si="10"/>
        <v>1</v>
      </c>
      <c r="V54" s="25">
        <f t="shared" si="10"/>
        <v>1</v>
      </c>
      <c r="W54" s="25">
        <f t="shared" si="10"/>
        <v>1</v>
      </c>
      <c r="X54" s="25">
        <v>1</v>
      </c>
      <c r="Z54" s="25" t="b">
        <f>IF(IF(OR(RIGHT(B54,2)="NR",RIGHT(B54,2)="ew"),"LO","Re")=LEFT(C54,2),TRUE,FALSE)</f>
        <v>1</v>
      </c>
    </row>
    <row r="55" spans="1:26">
      <c r="A55" t="str">
        <f>MLIST!A46</f>
        <v>Electronics</v>
      </c>
      <c r="B55" t="str">
        <f>MLIST!D46</f>
        <v>Computer - NR</v>
      </c>
      <c r="C55" t="s">
        <v>286</v>
      </c>
      <c r="D55" s="25">
        <f t="shared" si="9"/>
        <v>0.45</v>
      </c>
      <c r="E55" s="25">
        <f t="shared" si="9"/>
        <v>0.66</v>
      </c>
      <c r="F55" s="25">
        <f t="shared" si="9"/>
        <v>0.8</v>
      </c>
      <c r="G55" s="25">
        <f t="shared" si="9"/>
        <v>0.89</v>
      </c>
      <c r="H55" s="25">
        <f t="shared" si="9"/>
        <v>0.94954036260972652</v>
      </c>
      <c r="I55" s="25">
        <f t="shared" si="9"/>
        <v>0.97931054391458994</v>
      </c>
      <c r="J55" s="25">
        <f t="shared" si="9"/>
        <v>0.99254173560564019</v>
      </c>
      <c r="K55" s="25">
        <f t="shared" si="9"/>
        <v>0.99783421228206048</v>
      </c>
      <c r="L55" s="25">
        <f t="shared" si="9"/>
        <v>0.99975874925530417</v>
      </c>
      <c r="M55" s="25">
        <f t="shared" si="9"/>
        <v>1</v>
      </c>
      <c r="N55" s="25">
        <f t="shared" si="10"/>
        <v>1</v>
      </c>
      <c r="O55" s="25">
        <f t="shared" si="10"/>
        <v>1</v>
      </c>
      <c r="P55" s="25">
        <f t="shared" si="10"/>
        <v>1</v>
      </c>
      <c r="Q55" s="25">
        <f t="shared" si="10"/>
        <v>1</v>
      </c>
      <c r="R55" s="25">
        <f t="shared" si="10"/>
        <v>1</v>
      </c>
      <c r="S55" s="25">
        <f t="shared" si="10"/>
        <v>1</v>
      </c>
      <c r="T55" s="25">
        <f t="shared" si="10"/>
        <v>1</v>
      </c>
      <c r="U55" s="25">
        <f t="shared" si="10"/>
        <v>1</v>
      </c>
      <c r="V55" s="25">
        <f t="shared" si="10"/>
        <v>1</v>
      </c>
      <c r="W55" s="25">
        <f t="shared" si="10"/>
        <v>1</v>
      </c>
      <c r="X55" s="25">
        <v>1</v>
      </c>
      <c r="Z55" s="25" t="b">
        <f>IF(IF(OR(RIGHT(B55,2)="NR",RIGHT(B55,2)="ew"),"LO","Re")=LEFT(C55,2),TRUE,FALSE)</f>
        <v>1</v>
      </c>
    </row>
    <row r="56" spans="1:26">
      <c r="A56" t="str">
        <f>MLIST!A47</f>
        <v>Electronics</v>
      </c>
      <c r="B56" t="str">
        <f>MLIST!D47</f>
        <v>Advanced Power Strips - New</v>
      </c>
      <c r="C56" t="s">
        <v>289</v>
      </c>
      <c r="D56" s="25">
        <f t="shared" si="9"/>
        <v>5.5320496977002724E-3</v>
      </c>
      <c r="E56" s="25">
        <f t="shared" si="9"/>
        <v>1.4227918344261844E-2</v>
      </c>
      <c r="F56" s="25">
        <f t="shared" si="9"/>
        <v>3.1619655637384989E-2</v>
      </c>
      <c r="G56" s="25">
        <f t="shared" si="9"/>
        <v>6.2055195900350503E-2</v>
      </c>
      <c r="H56" s="25">
        <f t="shared" si="9"/>
        <v>0.10939936964274129</v>
      </c>
      <c r="I56" s="25">
        <f t="shared" si="9"/>
        <v>0.17568121288208835</v>
      </c>
      <c r="J56" s="25">
        <f t="shared" si="9"/>
        <v>0.26003992245943919</v>
      </c>
      <c r="K56" s="25">
        <f t="shared" si="9"/>
        <v>0.3584584169663485</v>
      </c>
      <c r="L56" s="25">
        <f t="shared" si="9"/>
        <v>0.46444756489686617</v>
      </c>
      <c r="M56" s="25">
        <f t="shared" si="9"/>
        <v>0.57043671282738384</v>
      </c>
      <c r="N56" s="25">
        <f t="shared" si="10"/>
        <v>0.66935991756253377</v>
      </c>
      <c r="O56" s="25">
        <f t="shared" si="10"/>
        <v>0.75591772170578986</v>
      </c>
      <c r="P56" s="25">
        <f t="shared" si="10"/>
        <v>0.82720061923553012</v>
      </c>
      <c r="Q56" s="25">
        <f t="shared" si="10"/>
        <v>0.88264287286977261</v>
      </c>
      <c r="R56" s="25">
        <f t="shared" si="10"/>
        <v>0.92349505975816193</v>
      </c>
      <c r="S56" s="25">
        <f t="shared" si="10"/>
        <v>0.95209159058003434</v>
      </c>
      <c r="T56" s="25">
        <f t="shared" si="10"/>
        <v>0.97115594446128262</v>
      </c>
      <c r="U56" s="25">
        <f t="shared" si="10"/>
        <v>0.98328780602207699</v>
      </c>
      <c r="V56" s="25">
        <f t="shared" si="10"/>
        <v>0.99067241740690848</v>
      </c>
      <c r="W56" s="25">
        <f t="shared" si="10"/>
        <v>0.996</v>
      </c>
      <c r="X56" s="25">
        <v>0.85</v>
      </c>
      <c r="Z56" s="25" t="b">
        <f t="shared" si="3"/>
        <v>1</v>
      </c>
    </row>
    <row r="57" spans="1:26">
      <c r="A57" t="str">
        <f>MLIST!A48</f>
        <v>Electronics</v>
      </c>
      <c r="B57" t="str">
        <f>MLIST!D48</f>
        <v>Advanced Power Strips - Retro</v>
      </c>
      <c r="C57" s="8" t="s">
        <v>290</v>
      </c>
      <c r="D57" s="25">
        <f t="shared" si="9"/>
        <v>5.5320496977002724E-3</v>
      </c>
      <c r="E57" s="25">
        <f t="shared" si="9"/>
        <v>8.6958686465615706E-3</v>
      </c>
      <c r="F57" s="25">
        <f t="shared" si="9"/>
        <v>1.7391737293123145E-2</v>
      </c>
      <c r="G57" s="25">
        <f t="shared" si="9"/>
        <v>3.0435540262965514E-2</v>
      </c>
      <c r="H57" s="25">
        <f t="shared" si="9"/>
        <v>4.7344173742390784E-2</v>
      </c>
      <c r="I57" s="25">
        <f t="shared" si="9"/>
        <v>6.6281843239347063E-2</v>
      </c>
      <c r="J57" s="25">
        <f t="shared" si="9"/>
        <v>8.4358709577350838E-2</v>
      </c>
      <c r="K57" s="25">
        <f t="shared" si="9"/>
        <v>9.8418494506909315E-2</v>
      </c>
      <c r="L57" s="25">
        <f t="shared" si="9"/>
        <v>0.10598914793051767</v>
      </c>
      <c r="M57" s="25">
        <f t="shared" si="9"/>
        <v>0.10598914793051767</v>
      </c>
      <c r="N57" s="25">
        <f t="shared" si="10"/>
        <v>9.8923204735149928E-2</v>
      </c>
      <c r="O57" s="25">
        <f t="shared" si="10"/>
        <v>8.655780414325609E-2</v>
      </c>
      <c r="P57" s="25">
        <f t="shared" si="10"/>
        <v>7.1282897529740263E-2</v>
      </c>
      <c r="Q57" s="25">
        <f t="shared" si="10"/>
        <v>5.5442253634242489E-2</v>
      </c>
      <c r="R57" s="25">
        <f t="shared" si="10"/>
        <v>4.0852186888389319E-2</v>
      </c>
      <c r="S57" s="25">
        <f t="shared" si="10"/>
        <v>2.8596530821872412E-2</v>
      </c>
      <c r="T57" s="25">
        <f t="shared" si="10"/>
        <v>1.9064353881248275E-2</v>
      </c>
      <c r="U57" s="25">
        <f t="shared" si="10"/>
        <v>1.2131861560794377E-2</v>
      </c>
      <c r="V57" s="25">
        <f t="shared" si="10"/>
        <v>7.3846113848314854E-3</v>
      </c>
      <c r="W57" s="25">
        <f t="shared" si="10"/>
        <v>5.0000000000000001E-3</v>
      </c>
      <c r="X57" s="25">
        <v>0.85</v>
      </c>
      <c r="Z57" s="25" t="b">
        <f t="shared" si="3"/>
        <v>1</v>
      </c>
    </row>
    <row r="58" spans="1:26">
      <c r="A58" t="str">
        <f>MLIST!A49</f>
        <v>Electronics</v>
      </c>
      <c r="B58" t="str">
        <f>MLIST!D49</f>
        <v>UHD TV - New</v>
      </c>
      <c r="C58" t="s">
        <v>292</v>
      </c>
      <c r="D58" s="25">
        <f t="shared" si="9"/>
        <v>4.2999999999999997E-2</v>
      </c>
      <c r="E58" s="25">
        <f t="shared" si="9"/>
        <v>9.5797142280278316E-2</v>
      </c>
      <c r="F58" s="25">
        <f t="shared" si="9"/>
        <v>0.16040539374775648</v>
      </c>
      <c r="G58" s="25">
        <f t="shared" si="9"/>
        <v>0.23540539374775649</v>
      </c>
      <c r="H58" s="25">
        <f t="shared" si="9"/>
        <v>0.32095239121809005</v>
      </c>
      <c r="I58" s="25">
        <f t="shared" si="9"/>
        <v>0.42096711425629652</v>
      </c>
      <c r="J58" s="25">
        <f t="shared" si="9"/>
        <v>0.53068481860864725</v>
      </c>
      <c r="K58" s="25">
        <f t="shared" si="9"/>
        <v>0.642769203728351</v>
      </c>
      <c r="L58" s="25">
        <f t="shared" si="9"/>
        <v>0.74839528535557953</v>
      </c>
      <c r="M58" s="25">
        <f t="shared" si="9"/>
        <v>0.83918984935345187</v>
      </c>
      <c r="N58" s="25">
        <f t="shared" si="10"/>
        <v>0.90945051634530116</v>
      </c>
      <c r="O58" s="25">
        <f t="shared" si="10"/>
        <v>0.9576688767502457</v>
      </c>
      <c r="P58" s="25">
        <f t="shared" si="10"/>
        <v>0.9865231113648858</v>
      </c>
      <c r="Q58" s="25">
        <f t="shared" si="10"/>
        <v>1</v>
      </c>
      <c r="R58" s="25">
        <f t="shared" si="10"/>
        <v>1</v>
      </c>
      <c r="S58" s="25">
        <f t="shared" si="10"/>
        <v>1</v>
      </c>
      <c r="T58" s="25">
        <f t="shared" si="10"/>
        <v>1</v>
      </c>
      <c r="U58" s="25">
        <f t="shared" si="10"/>
        <v>1</v>
      </c>
      <c r="V58" s="25">
        <f t="shared" si="10"/>
        <v>1</v>
      </c>
      <c r="W58" s="25">
        <f t="shared" si="10"/>
        <v>1</v>
      </c>
      <c r="X58" s="25">
        <v>0.95</v>
      </c>
      <c r="Z58" s="25" t="b">
        <f t="shared" si="3"/>
        <v>1</v>
      </c>
    </row>
    <row r="59" spans="1:26">
      <c r="A59" t="str">
        <f>MLIST!A50</f>
        <v>Electronics</v>
      </c>
      <c r="B59" t="str">
        <f>MLIST!D50</f>
        <v>UHD TV - NR</v>
      </c>
      <c r="C59" t="s">
        <v>292</v>
      </c>
      <c r="D59" s="25">
        <f t="shared" ref="D59:M68" si="11">IF(ISBLANK($C59),"",VLOOKUP($C59,$C$1:$X$15,D$17-$D$17+2,FALSE))</f>
        <v>4.2999999999999997E-2</v>
      </c>
      <c r="E59" s="25">
        <f t="shared" si="11"/>
        <v>9.5797142280278316E-2</v>
      </c>
      <c r="F59" s="25">
        <f t="shared" si="11"/>
        <v>0.16040539374775648</v>
      </c>
      <c r="G59" s="25">
        <f t="shared" si="11"/>
        <v>0.23540539374775649</v>
      </c>
      <c r="H59" s="25">
        <f t="shared" si="11"/>
        <v>0.32095239121809005</v>
      </c>
      <c r="I59" s="25">
        <f t="shared" si="11"/>
        <v>0.42096711425629652</v>
      </c>
      <c r="J59" s="25">
        <f t="shared" si="11"/>
        <v>0.53068481860864725</v>
      </c>
      <c r="K59" s="25">
        <f t="shared" si="11"/>
        <v>0.642769203728351</v>
      </c>
      <c r="L59" s="25">
        <f t="shared" si="11"/>
        <v>0.74839528535557953</v>
      </c>
      <c r="M59" s="25">
        <f t="shared" si="11"/>
        <v>0.83918984935345187</v>
      </c>
      <c r="N59" s="25">
        <f t="shared" ref="N59:W68" si="12">IF(ISBLANK($C59),"",VLOOKUP($C59,$C$1:$X$15,N$17-$D$17+2,FALSE))</f>
        <v>0.90945051634530116</v>
      </c>
      <c r="O59" s="25">
        <f t="shared" si="12"/>
        <v>0.9576688767502457</v>
      </c>
      <c r="P59" s="25">
        <f t="shared" si="12"/>
        <v>0.9865231113648858</v>
      </c>
      <c r="Q59" s="25">
        <f t="shared" si="12"/>
        <v>1</v>
      </c>
      <c r="R59" s="25">
        <f t="shared" si="12"/>
        <v>1</v>
      </c>
      <c r="S59" s="25">
        <f t="shared" si="12"/>
        <v>1</v>
      </c>
      <c r="T59" s="25">
        <f t="shared" si="12"/>
        <v>1</v>
      </c>
      <c r="U59" s="25">
        <f t="shared" si="12"/>
        <v>1</v>
      </c>
      <c r="V59" s="25">
        <f t="shared" si="12"/>
        <v>1</v>
      </c>
      <c r="W59" s="25">
        <f t="shared" si="12"/>
        <v>1</v>
      </c>
      <c r="X59" s="25">
        <v>0.95</v>
      </c>
      <c r="Z59" s="25" t="b">
        <f t="shared" si="3"/>
        <v>1</v>
      </c>
    </row>
    <row r="60" spans="1:26">
      <c r="A60" t="str">
        <f>MLIST!A51</f>
        <v>Lighting</v>
      </c>
      <c r="B60" t="str">
        <f>MLIST!D51</f>
        <v>Fixtures - New</v>
      </c>
      <c r="C60" t="s">
        <v>289</v>
      </c>
      <c r="D60" s="25">
        <f t="shared" si="11"/>
        <v>5.5320496977002724E-3</v>
      </c>
      <c r="E60" s="25">
        <f t="shared" si="11"/>
        <v>1.4227918344261844E-2</v>
      </c>
      <c r="F60" s="25">
        <f t="shared" si="11"/>
        <v>3.1619655637384989E-2</v>
      </c>
      <c r="G60" s="25">
        <f t="shared" si="11"/>
        <v>6.2055195900350503E-2</v>
      </c>
      <c r="H60" s="25">
        <f t="shared" si="11"/>
        <v>0.10939936964274129</v>
      </c>
      <c r="I60" s="25">
        <f t="shared" si="11"/>
        <v>0.17568121288208835</v>
      </c>
      <c r="J60" s="25">
        <f t="shared" si="11"/>
        <v>0.26003992245943919</v>
      </c>
      <c r="K60" s="25">
        <f t="shared" si="11"/>
        <v>0.3584584169663485</v>
      </c>
      <c r="L60" s="25">
        <f t="shared" si="11"/>
        <v>0.46444756489686617</v>
      </c>
      <c r="M60" s="25">
        <f t="shared" si="11"/>
        <v>0.57043671282738384</v>
      </c>
      <c r="N60" s="25">
        <f t="shared" si="12"/>
        <v>0.66935991756253377</v>
      </c>
      <c r="O60" s="25">
        <f t="shared" si="12"/>
        <v>0.75591772170578986</v>
      </c>
      <c r="P60" s="25">
        <f t="shared" si="12"/>
        <v>0.82720061923553012</v>
      </c>
      <c r="Q60" s="25">
        <f t="shared" si="12"/>
        <v>0.88264287286977261</v>
      </c>
      <c r="R60" s="25">
        <f t="shared" si="12"/>
        <v>0.92349505975816193</v>
      </c>
      <c r="S60" s="25">
        <f t="shared" si="12"/>
        <v>0.95209159058003434</v>
      </c>
      <c r="T60" s="25">
        <f t="shared" si="12"/>
        <v>0.97115594446128262</v>
      </c>
      <c r="U60" s="25">
        <f t="shared" si="12"/>
        <v>0.98328780602207699</v>
      </c>
      <c r="V60" s="25">
        <f t="shared" si="12"/>
        <v>0.99067241740690848</v>
      </c>
      <c r="W60" s="25">
        <f t="shared" si="12"/>
        <v>0.996</v>
      </c>
      <c r="X60" s="25">
        <v>0.85</v>
      </c>
      <c r="Z60" s="25" t="b">
        <f t="shared" si="3"/>
        <v>1</v>
      </c>
    </row>
    <row r="61" spans="1:26">
      <c r="A61" t="str">
        <f>MLIST!A52</f>
        <v>Lighting</v>
      </c>
      <c r="B61" t="str">
        <f>MLIST!D52</f>
        <v>Fixtures - NR</v>
      </c>
      <c r="C61" t="s">
        <v>289</v>
      </c>
      <c r="D61" s="25">
        <f t="shared" si="11"/>
        <v>5.5320496977002724E-3</v>
      </c>
      <c r="E61" s="25">
        <f t="shared" si="11"/>
        <v>1.4227918344261844E-2</v>
      </c>
      <c r="F61" s="25">
        <f t="shared" si="11"/>
        <v>3.1619655637384989E-2</v>
      </c>
      <c r="G61" s="25">
        <f t="shared" si="11"/>
        <v>6.2055195900350503E-2</v>
      </c>
      <c r="H61" s="25">
        <f t="shared" si="11"/>
        <v>0.10939936964274129</v>
      </c>
      <c r="I61" s="25">
        <f t="shared" si="11"/>
        <v>0.17568121288208835</v>
      </c>
      <c r="J61" s="25">
        <f t="shared" si="11"/>
        <v>0.26003992245943919</v>
      </c>
      <c r="K61" s="25">
        <f t="shared" si="11"/>
        <v>0.3584584169663485</v>
      </c>
      <c r="L61" s="25">
        <f t="shared" si="11"/>
        <v>0.46444756489686617</v>
      </c>
      <c r="M61" s="25">
        <f t="shared" si="11"/>
        <v>0.57043671282738384</v>
      </c>
      <c r="N61" s="25">
        <f t="shared" si="12"/>
        <v>0.66935991756253377</v>
      </c>
      <c r="O61" s="25">
        <f t="shared" si="12"/>
        <v>0.75591772170578986</v>
      </c>
      <c r="P61" s="25">
        <f t="shared" si="12"/>
        <v>0.82720061923553012</v>
      </c>
      <c r="Q61" s="25">
        <f t="shared" si="12"/>
        <v>0.88264287286977261</v>
      </c>
      <c r="R61" s="25">
        <f t="shared" si="12"/>
        <v>0.92349505975816193</v>
      </c>
      <c r="S61" s="25">
        <f t="shared" si="12"/>
        <v>0.95209159058003434</v>
      </c>
      <c r="T61" s="25">
        <f t="shared" si="12"/>
        <v>0.97115594446128262</v>
      </c>
      <c r="U61" s="25">
        <f t="shared" si="12"/>
        <v>0.98328780602207699</v>
      </c>
      <c r="V61" s="25">
        <f t="shared" si="12"/>
        <v>0.99067241740690848</v>
      </c>
      <c r="W61" s="25">
        <f t="shared" si="12"/>
        <v>0.996</v>
      </c>
      <c r="X61" s="25">
        <v>0.85</v>
      </c>
      <c r="Z61" s="25" t="b">
        <f t="shared" si="3"/>
        <v>1</v>
      </c>
    </row>
    <row r="62" spans="1:26">
      <c r="A62" t="str">
        <f>MLIST!A53</f>
        <v>HVAC</v>
      </c>
      <c r="B62" t="str">
        <f>MLIST!D53</f>
        <v>ASHP Upgrade - New</v>
      </c>
      <c r="C62" t="s">
        <v>289</v>
      </c>
      <c r="D62" s="25">
        <f t="shared" si="11"/>
        <v>5.5320496977002724E-3</v>
      </c>
      <c r="E62" s="25">
        <f t="shared" si="11"/>
        <v>1.4227918344261844E-2</v>
      </c>
      <c r="F62" s="25">
        <f t="shared" si="11"/>
        <v>3.1619655637384989E-2</v>
      </c>
      <c r="G62" s="25">
        <f t="shared" si="11"/>
        <v>6.2055195900350503E-2</v>
      </c>
      <c r="H62" s="25">
        <f t="shared" si="11"/>
        <v>0.10939936964274129</v>
      </c>
      <c r="I62" s="25">
        <f t="shared" si="11"/>
        <v>0.17568121288208835</v>
      </c>
      <c r="J62" s="25">
        <f t="shared" si="11"/>
        <v>0.26003992245943919</v>
      </c>
      <c r="K62" s="25">
        <f t="shared" si="11"/>
        <v>0.3584584169663485</v>
      </c>
      <c r="L62" s="25">
        <f t="shared" si="11"/>
        <v>0.46444756489686617</v>
      </c>
      <c r="M62" s="25">
        <f t="shared" si="11"/>
        <v>0.57043671282738384</v>
      </c>
      <c r="N62" s="25">
        <f t="shared" si="12"/>
        <v>0.66935991756253377</v>
      </c>
      <c r="O62" s="25">
        <f t="shared" si="12"/>
        <v>0.75591772170578986</v>
      </c>
      <c r="P62" s="25">
        <f t="shared" si="12"/>
        <v>0.82720061923553012</v>
      </c>
      <c r="Q62" s="25">
        <f t="shared" si="12"/>
        <v>0.88264287286977261</v>
      </c>
      <c r="R62" s="25">
        <f t="shared" si="12"/>
        <v>0.92349505975816193</v>
      </c>
      <c r="S62" s="25">
        <f t="shared" si="12"/>
        <v>0.95209159058003434</v>
      </c>
      <c r="T62" s="25">
        <f t="shared" si="12"/>
        <v>0.97115594446128262</v>
      </c>
      <c r="U62" s="25">
        <f t="shared" si="12"/>
        <v>0.98328780602207699</v>
      </c>
      <c r="V62" s="25">
        <f t="shared" si="12"/>
        <v>0.99067241740690848</v>
      </c>
      <c r="W62" s="25">
        <f t="shared" si="12"/>
        <v>0.996</v>
      </c>
      <c r="X62" s="25">
        <v>0.95</v>
      </c>
      <c r="Z62" s="25" t="b">
        <f t="shared" si="3"/>
        <v>1</v>
      </c>
    </row>
    <row r="63" spans="1:26">
      <c r="A63" t="str">
        <f>MLIST!A54</f>
        <v>HVAC</v>
      </c>
      <c r="B63" t="str">
        <f>MLIST!D54</f>
        <v>ASHP Upgrade - NR</v>
      </c>
      <c r="C63" t="s">
        <v>289</v>
      </c>
      <c r="D63" s="25">
        <f t="shared" si="11"/>
        <v>5.5320496977002724E-3</v>
      </c>
      <c r="E63" s="25">
        <f t="shared" si="11"/>
        <v>1.4227918344261844E-2</v>
      </c>
      <c r="F63" s="25">
        <f t="shared" si="11"/>
        <v>3.1619655637384989E-2</v>
      </c>
      <c r="G63" s="25">
        <f t="shared" si="11"/>
        <v>6.2055195900350503E-2</v>
      </c>
      <c r="H63" s="25">
        <f t="shared" si="11"/>
        <v>0.10939936964274129</v>
      </c>
      <c r="I63" s="25">
        <f t="shared" si="11"/>
        <v>0.17568121288208835</v>
      </c>
      <c r="J63" s="25">
        <f t="shared" si="11"/>
        <v>0.26003992245943919</v>
      </c>
      <c r="K63" s="25">
        <f t="shared" si="11"/>
        <v>0.3584584169663485</v>
      </c>
      <c r="L63" s="25">
        <f t="shared" si="11"/>
        <v>0.46444756489686617</v>
      </c>
      <c r="M63" s="25">
        <f t="shared" si="11"/>
        <v>0.57043671282738384</v>
      </c>
      <c r="N63" s="25">
        <f t="shared" si="12"/>
        <v>0.66935991756253377</v>
      </c>
      <c r="O63" s="25">
        <f t="shared" si="12"/>
        <v>0.75591772170578986</v>
      </c>
      <c r="P63" s="25">
        <f t="shared" si="12"/>
        <v>0.82720061923553012</v>
      </c>
      <c r="Q63" s="25">
        <f t="shared" si="12"/>
        <v>0.88264287286977261</v>
      </c>
      <c r="R63" s="25">
        <f t="shared" si="12"/>
        <v>0.92349505975816193</v>
      </c>
      <c r="S63" s="25">
        <f t="shared" si="12"/>
        <v>0.95209159058003434</v>
      </c>
      <c r="T63" s="25">
        <f t="shared" si="12"/>
        <v>0.97115594446128262</v>
      </c>
      <c r="U63" s="25">
        <f t="shared" si="12"/>
        <v>0.98328780602207699</v>
      </c>
      <c r="V63" s="25">
        <f t="shared" si="12"/>
        <v>0.99067241740690848</v>
      </c>
      <c r="W63" s="25">
        <f t="shared" si="12"/>
        <v>0.996</v>
      </c>
      <c r="X63" s="25">
        <v>0.95</v>
      </c>
      <c r="Z63" s="25" t="b">
        <f t="shared" si="3"/>
        <v>1</v>
      </c>
    </row>
    <row r="64" spans="1:26">
      <c r="A64" t="str">
        <f>MLIST!A55</f>
        <v>HVAC</v>
      </c>
      <c r="B64" t="str">
        <f>MLIST!D55</f>
        <v>ASHP Conversion - New</v>
      </c>
      <c r="C64" t="s">
        <v>292</v>
      </c>
      <c r="D64" s="25">
        <f t="shared" si="11"/>
        <v>4.2999999999999997E-2</v>
      </c>
      <c r="E64" s="25">
        <f t="shared" si="11"/>
        <v>9.5797142280278316E-2</v>
      </c>
      <c r="F64" s="25">
        <f t="shared" si="11"/>
        <v>0.16040539374775648</v>
      </c>
      <c r="G64" s="25">
        <f t="shared" si="11"/>
        <v>0.23540539374775649</v>
      </c>
      <c r="H64" s="25">
        <f t="shared" si="11"/>
        <v>0.32095239121809005</v>
      </c>
      <c r="I64" s="25">
        <f t="shared" si="11"/>
        <v>0.42096711425629652</v>
      </c>
      <c r="J64" s="25">
        <f t="shared" si="11"/>
        <v>0.53068481860864725</v>
      </c>
      <c r="K64" s="25">
        <f t="shared" si="11"/>
        <v>0.642769203728351</v>
      </c>
      <c r="L64" s="25">
        <f t="shared" si="11"/>
        <v>0.74839528535557953</v>
      </c>
      <c r="M64" s="25">
        <f t="shared" si="11"/>
        <v>0.83918984935345187</v>
      </c>
      <c r="N64" s="25">
        <f t="shared" si="12"/>
        <v>0.90945051634530116</v>
      </c>
      <c r="O64" s="25">
        <f t="shared" si="12"/>
        <v>0.9576688767502457</v>
      </c>
      <c r="P64" s="25">
        <f t="shared" si="12"/>
        <v>0.9865231113648858</v>
      </c>
      <c r="Q64" s="25">
        <f t="shared" si="12"/>
        <v>1</v>
      </c>
      <c r="R64" s="25">
        <f t="shared" si="12"/>
        <v>1</v>
      </c>
      <c r="S64" s="25">
        <f t="shared" si="12"/>
        <v>1</v>
      </c>
      <c r="T64" s="25">
        <f t="shared" si="12"/>
        <v>1</v>
      </c>
      <c r="U64" s="25">
        <f t="shared" si="12"/>
        <v>1</v>
      </c>
      <c r="V64" s="25">
        <f t="shared" si="12"/>
        <v>1</v>
      </c>
      <c r="W64" s="25">
        <f t="shared" si="12"/>
        <v>1</v>
      </c>
      <c r="X64" s="25">
        <v>0.95</v>
      </c>
      <c r="Z64" s="25" t="b">
        <f t="shared" si="3"/>
        <v>1</v>
      </c>
    </row>
    <row r="65" spans="1:26">
      <c r="A65" t="str">
        <f>MLIST!A56</f>
        <v>HVAC</v>
      </c>
      <c r="B65" t="str">
        <f>MLIST!D56</f>
        <v>ASHP Conversion - Retro</v>
      </c>
      <c r="C65" t="s">
        <v>290</v>
      </c>
      <c r="D65" s="25">
        <f t="shared" si="11"/>
        <v>5.5320496977002724E-3</v>
      </c>
      <c r="E65" s="25">
        <f t="shared" si="11"/>
        <v>8.6958686465615706E-3</v>
      </c>
      <c r="F65" s="25">
        <f t="shared" si="11"/>
        <v>1.7391737293123145E-2</v>
      </c>
      <c r="G65" s="25">
        <f t="shared" si="11"/>
        <v>3.0435540262965514E-2</v>
      </c>
      <c r="H65" s="25">
        <f t="shared" si="11"/>
        <v>4.7344173742390784E-2</v>
      </c>
      <c r="I65" s="25">
        <f t="shared" si="11"/>
        <v>6.6281843239347063E-2</v>
      </c>
      <c r="J65" s="25">
        <f t="shared" si="11"/>
        <v>8.4358709577350838E-2</v>
      </c>
      <c r="K65" s="25">
        <f t="shared" si="11"/>
        <v>9.8418494506909315E-2</v>
      </c>
      <c r="L65" s="25">
        <f t="shared" si="11"/>
        <v>0.10598914793051767</v>
      </c>
      <c r="M65" s="25">
        <f t="shared" si="11"/>
        <v>0.10598914793051767</v>
      </c>
      <c r="N65" s="25">
        <f t="shared" si="12"/>
        <v>9.8923204735149928E-2</v>
      </c>
      <c r="O65" s="25">
        <f t="shared" si="12"/>
        <v>8.655780414325609E-2</v>
      </c>
      <c r="P65" s="25">
        <f t="shared" si="12"/>
        <v>7.1282897529740263E-2</v>
      </c>
      <c r="Q65" s="25">
        <f t="shared" si="12"/>
        <v>5.5442253634242489E-2</v>
      </c>
      <c r="R65" s="25">
        <f t="shared" si="12"/>
        <v>4.0852186888389319E-2</v>
      </c>
      <c r="S65" s="25">
        <f t="shared" si="12"/>
        <v>2.8596530821872412E-2</v>
      </c>
      <c r="T65" s="25">
        <f t="shared" si="12"/>
        <v>1.9064353881248275E-2</v>
      </c>
      <c r="U65" s="25">
        <f t="shared" si="12"/>
        <v>1.2131861560794377E-2</v>
      </c>
      <c r="V65" s="25">
        <f t="shared" si="12"/>
        <v>7.3846113848314854E-3</v>
      </c>
      <c r="W65" s="25">
        <f t="shared" si="12"/>
        <v>5.0000000000000001E-3</v>
      </c>
      <c r="X65" s="25">
        <v>0.95</v>
      </c>
      <c r="Z65" s="25" t="b">
        <f t="shared" si="3"/>
        <v>1</v>
      </c>
    </row>
    <row r="66" spans="1:26">
      <c r="A66" t="str">
        <f>MLIST!A57</f>
        <v>HVAC</v>
      </c>
      <c r="B66" t="str">
        <f>MLIST!D57</f>
        <v>DHP - New</v>
      </c>
      <c r="C66" t="s">
        <v>292</v>
      </c>
      <c r="D66" s="25">
        <f t="shared" si="11"/>
        <v>4.2999999999999997E-2</v>
      </c>
      <c r="E66" s="25">
        <f t="shared" si="11"/>
        <v>9.5797142280278316E-2</v>
      </c>
      <c r="F66" s="25">
        <f t="shared" si="11"/>
        <v>0.16040539374775648</v>
      </c>
      <c r="G66" s="25">
        <f t="shared" si="11"/>
        <v>0.23540539374775649</v>
      </c>
      <c r="H66" s="25">
        <f t="shared" si="11"/>
        <v>0.32095239121809005</v>
      </c>
      <c r="I66" s="25">
        <f t="shared" si="11"/>
        <v>0.42096711425629652</v>
      </c>
      <c r="J66" s="25">
        <f t="shared" si="11"/>
        <v>0.53068481860864725</v>
      </c>
      <c r="K66" s="25">
        <f t="shared" si="11"/>
        <v>0.642769203728351</v>
      </c>
      <c r="L66" s="25">
        <f t="shared" si="11"/>
        <v>0.74839528535557953</v>
      </c>
      <c r="M66" s="25">
        <f t="shared" si="11"/>
        <v>0.83918984935345187</v>
      </c>
      <c r="N66" s="25">
        <f t="shared" si="12"/>
        <v>0.90945051634530116</v>
      </c>
      <c r="O66" s="25">
        <f t="shared" si="12"/>
        <v>0.9576688767502457</v>
      </c>
      <c r="P66" s="25">
        <f t="shared" si="12"/>
        <v>0.9865231113648858</v>
      </c>
      <c r="Q66" s="25">
        <f t="shared" si="12"/>
        <v>1</v>
      </c>
      <c r="R66" s="25">
        <f t="shared" si="12"/>
        <v>1</v>
      </c>
      <c r="S66" s="25">
        <f t="shared" si="12"/>
        <v>1</v>
      </c>
      <c r="T66" s="25">
        <f t="shared" si="12"/>
        <v>1</v>
      </c>
      <c r="U66" s="25">
        <f t="shared" si="12"/>
        <v>1</v>
      </c>
      <c r="V66" s="25">
        <f t="shared" si="12"/>
        <v>1</v>
      </c>
      <c r="W66" s="25">
        <f t="shared" si="12"/>
        <v>1</v>
      </c>
      <c r="X66" s="25">
        <v>0.85</v>
      </c>
      <c r="Z66" s="25" t="b">
        <f t="shared" si="3"/>
        <v>1</v>
      </c>
    </row>
    <row r="67" spans="1:26">
      <c r="A67" t="str">
        <f>MLIST!A58</f>
        <v>HVAC</v>
      </c>
      <c r="B67" t="str">
        <f>MLIST!D58</f>
        <v>DHP - Retro</v>
      </c>
      <c r="C67" t="s">
        <v>291</v>
      </c>
      <c r="D67" s="25">
        <f t="shared" si="11"/>
        <v>4.2999999999999997E-2</v>
      </c>
      <c r="E67" s="25">
        <f t="shared" si="11"/>
        <v>5.279714228027832E-2</v>
      </c>
      <c r="F67" s="25">
        <f t="shared" si="11"/>
        <v>6.4608251467478173E-2</v>
      </c>
      <c r="G67" s="25">
        <f t="shared" si="11"/>
        <v>7.4999999999999997E-2</v>
      </c>
      <c r="H67" s="25">
        <f t="shared" si="11"/>
        <v>8.5546997470333563E-2</v>
      </c>
      <c r="I67" s="25">
        <f t="shared" si="11"/>
        <v>0.10001472303820647</v>
      </c>
      <c r="J67" s="25">
        <f t="shared" si="11"/>
        <v>0.10971770435235073</v>
      </c>
      <c r="K67" s="25">
        <f t="shared" si="11"/>
        <v>0.11208438511970376</v>
      </c>
      <c r="L67" s="25">
        <f t="shared" si="11"/>
        <v>0.10562608162722853</v>
      </c>
      <c r="M67" s="25">
        <f t="shared" si="11"/>
        <v>9.0794563997872335E-2</v>
      </c>
      <c r="N67" s="25">
        <f t="shared" si="12"/>
        <v>7.0260666991849297E-2</v>
      </c>
      <c r="O67" s="25">
        <f t="shared" si="12"/>
        <v>4.65E-2</v>
      </c>
      <c r="P67" s="25">
        <f t="shared" si="12"/>
        <v>2.7E-2</v>
      </c>
      <c r="Q67" s="25">
        <f t="shared" si="12"/>
        <v>1.2999999999999999E-2</v>
      </c>
      <c r="R67" s="25">
        <f t="shared" si="12"/>
        <v>5.4999999999999997E-3</v>
      </c>
      <c r="S67" s="25">
        <f t="shared" si="12"/>
        <v>2E-3</v>
      </c>
      <c r="T67" s="25">
        <f t="shared" si="12"/>
        <v>6.2471001963848583E-4</v>
      </c>
      <c r="U67" s="25">
        <f t="shared" si="12"/>
        <v>1.3615841889635938E-4</v>
      </c>
      <c r="V67" s="25">
        <f t="shared" si="12"/>
        <v>2.2380636622298944E-5</v>
      </c>
      <c r="W67" s="25">
        <f t="shared" si="12"/>
        <v>2.68643837586513E-6</v>
      </c>
      <c r="X67" s="25">
        <v>0.85</v>
      </c>
      <c r="Z67" s="25" t="b">
        <f t="shared" si="3"/>
        <v>1</v>
      </c>
    </row>
    <row r="68" spans="1:26">
      <c r="A68" t="str">
        <f>MLIST!A59</f>
        <v>HVAC</v>
      </c>
      <c r="B68" t="str">
        <f>MLIST!D59</f>
        <v>DHP Ducted - Retro</v>
      </c>
      <c r="C68" t="s">
        <v>290</v>
      </c>
      <c r="D68" s="25">
        <f t="shared" si="11"/>
        <v>5.5320496977002724E-3</v>
      </c>
      <c r="E68" s="25">
        <f t="shared" si="11"/>
        <v>8.6958686465615706E-3</v>
      </c>
      <c r="F68" s="25">
        <f t="shared" si="11"/>
        <v>1.7391737293123145E-2</v>
      </c>
      <c r="G68" s="25">
        <f t="shared" si="11"/>
        <v>3.0435540262965514E-2</v>
      </c>
      <c r="H68" s="25">
        <f t="shared" si="11"/>
        <v>4.7344173742390784E-2</v>
      </c>
      <c r="I68" s="25">
        <f t="shared" si="11"/>
        <v>6.6281843239347063E-2</v>
      </c>
      <c r="J68" s="25">
        <f t="shared" si="11"/>
        <v>8.4358709577350838E-2</v>
      </c>
      <c r="K68" s="25">
        <f t="shared" si="11"/>
        <v>9.8418494506909315E-2</v>
      </c>
      <c r="L68" s="25">
        <f t="shared" si="11"/>
        <v>0.10598914793051767</v>
      </c>
      <c r="M68" s="25">
        <f t="shared" si="11"/>
        <v>0.10598914793051767</v>
      </c>
      <c r="N68" s="25">
        <f t="shared" si="12"/>
        <v>9.8923204735149928E-2</v>
      </c>
      <c r="O68" s="25">
        <f t="shared" si="12"/>
        <v>8.655780414325609E-2</v>
      </c>
      <c r="P68" s="25">
        <f t="shared" si="12"/>
        <v>7.1282897529740263E-2</v>
      </c>
      <c r="Q68" s="25">
        <f t="shared" si="12"/>
        <v>5.5442253634242489E-2</v>
      </c>
      <c r="R68" s="25">
        <f t="shared" si="12"/>
        <v>4.0852186888389319E-2</v>
      </c>
      <c r="S68" s="25">
        <f t="shared" si="12"/>
        <v>2.8596530821872412E-2</v>
      </c>
      <c r="T68" s="25">
        <f t="shared" si="12"/>
        <v>1.9064353881248275E-2</v>
      </c>
      <c r="U68" s="25">
        <f t="shared" si="12"/>
        <v>1.2131861560794377E-2</v>
      </c>
      <c r="V68" s="25">
        <f t="shared" si="12"/>
        <v>7.3846113848314854E-3</v>
      </c>
      <c r="W68" s="25">
        <f t="shared" si="12"/>
        <v>5.0000000000000001E-3</v>
      </c>
      <c r="X68" s="25">
        <v>0.85</v>
      </c>
      <c r="Z68" s="25" t="b">
        <f t="shared" si="3"/>
        <v>1</v>
      </c>
    </row>
    <row r="69" spans="1:26">
      <c r="A69" t="str">
        <f>MLIST!A60</f>
        <v>HVAC</v>
      </c>
      <c r="B69" t="str">
        <f>MLIST!D60</f>
        <v>Duct Sealing - New</v>
      </c>
      <c r="C69" t="s">
        <v>289</v>
      </c>
      <c r="D69" s="25">
        <f t="shared" ref="D69:M78" si="13">IF(ISBLANK($C69),"",VLOOKUP($C69,$C$1:$X$15,D$17-$D$17+2,FALSE))</f>
        <v>5.5320496977002724E-3</v>
      </c>
      <c r="E69" s="25">
        <f t="shared" si="13"/>
        <v>1.4227918344261844E-2</v>
      </c>
      <c r="F69" s="25">
        <f t="shared" si="13"/>
        <v>3.1619655637384989E-2</v>
      </c>
      <c r="G69" s="25">
        <f t="shared" si="13"/>
        <v>6.2055195900350503E-2</v>
      </c>
      <c r="H69" s="25">
        <f t="shared" si="13"/>
        <v>0.10939936964274129</v>
      </c>
      <c r="I69" s="25">
        <f t="shared" si="13"/>
        <v>0.17568121288208835</v>
      </c>
      <c r="J69" s="25">
        <f t="shared" si="13"/>
        <v>0.26003992245943919</v>
      </c>
      <c r="K69" s="25">
        <f t="shared" si="13"/>
        <v>0.3584584169663485</v>
      </c>
      <c r="L69" s="25">
        <f t="shared" si="13"/>
        <v>0.46444756489686617</v>
      </c>
      <c r="M69" s="25">
        <f t="shared" si="13"/>
        <v>0.57043671282738384</v>
      </c>
      <c r="N69" s="25">
        <f t="shared" ref="N69:W78" si="14">IF(ISBLANK($C69),"",VLOOKUP($C69,$C$1:$X$15,N$17-$D$17+2,FALSE))</f>
        <v>0.66935991756253377</v>
      </c>
      <c r="O69" s="25">
        <f t="shared" si="14"/>
        <v>0.75591772170578986</v>
      </c>
      <c r="P69" s="25">
        <f t="shared" si="14"/>
        <v>0.82720061923553012</v>
      </c>
      <c r="Q69" s="25">
        <f t="shared" si="14"/>
        <v>0.88264287286977261</v>
      </c>
      <c r="R69" s="25">
        <f t="shared" si="14"/>
        <v>0.92349505975816193</v>
      </c>
      <c r="S69" s="25">
        <f t="shared" si="14"/>
        <v>0.95209159058003434</v>
      </c>
      <c r="T69" s="25">
        <f t="shared" si="14"/>
        <v>0.97115594446128262</v>
      </c>
      <c r="U69" s="25">
        <f t="shared" si="14"/>
        <v>0.98328780602207699</v>
      </c>
      <c r="V69" s="25">
        <f t="shared" si="14"/>
        <v>0.99067241740690848</v>
      </c>
      <c r="W69" s="25">
        <f t="shared" si="14"/>
        <v>0.996</v>
      </c>
      <c r="X69" s="25">
        <v>0.85</v>
      </c>
      <c r="Z69" s="25" t="b">
        <f t="shared" si="3"/>
        <v>1</v>
      </c>
    </row>
    <row r="70" spans="1:26">
      <c r="A70" t="str">
        <f>MLIST!A61</f>
        <v>HVAC</v>
      </c>
      <c r="B70" t="str">
        <f>MLIST!D61</f>
        <v>Duct Sealing - Retro</v>
      </c>
      <c r="C70" s="8" t="s">
        <v>290</v>
      </c>
      <c r="D70" s="25">
        <f t="shared" si="13"/>
        <v>5.5320496977002724E-3</v>
      </c>
      <c r="E70" s="25">
        <f t="shared" si="13"/>
        <v>8.6958686465615706E-3</v>
      </c>
      <c r="F70" s="25">
        <f t="shared" si="13"/>
        <v>1.7391737293123145E-2</v>
      </c>
      <c r="G70" s="25">
        <f t="shared" si="13"/>
        <v>3.0435540262965514E-2</v>
      </c>
      <c r="H70" s="25">
        <f t="shared" si="13"/>
        <v>4.7344173742390784E-2</v>
      </c>
      <c r="I70" s="25">
        <f t="shared" si="13"/>
        <v>6.6281843239347063E-2</v>
      </c>
      <c r="J70" s="25">
        <f t="shared" si="13"/>
        <v>8.4358709577350838E-2</v>
      </c>
      <c r="K70" s="25">
        <f t="shared" si="13"/>
        <v>9.8418494506909315E-2</v>
      </c>
      <c r="L70" s="25">
        <f t="shared" si="13"/>
        <v>0.10598914793051767</v>
      </c>
      <c r="M70" s="25">
        <f t="shared" si="13"/>
        <v>0.10598914793051767</v>
      </c>
      <c r="N70" s="25">
        <f t="shared" si="14"/>
        <v>9.8923204735149928E-2</v>
      </c>
      <c r="O70" s="25">
        <f t="shared" si="14"/>
        <v>8.655780414325609E-2</v>
      </c>
      <c r="P70" s="25">
        <f t="shared" si="14"/>
        <v>7.1282897529740263E-2</v>
      </c>
      <c r="Q70" s="25">
        <f t="shared" si="14"/>
        <v>5.5442253634242489E-2</v>
      </c>
      <c r="R70" s="25">
        <f t="shared" si="14"/>
        <v>4.0852186888389319E-2</v>
      </c>
      <c r="S70" s="25">
        <f t="shared" si="14"/>
        <v>2.8596530821872412E-2</v>
      </c>
      <c r="T70" s="25">
        <f t="shared" si="14"/>
        <v>1.9064353881248275E-2</v>
      </c>
      <c r="U70" s="25">
        <f t="shared" si="14"/>
        <v>1.2131861560794377E-2</v>
      </c>
      <c r="V70" s="25">
        <f t="shared" si="14"/>
        <v>7.3846113848314854E-3</v>
      </c>
      <c r="W70" s="25">
        <f t="shared" si="14"/>
        <v>5.0000000000000001E-3</v>
      </c>
      <c r="X70" s="25">
        <v>0.85</v>
      </c>
      <c r="Z70" s="25" t="b">
        <f t="shared" si="3"/>
        <v>1</v>
      </c>
    </row>
    <row r="71" spans="1:26">
      <c r="A71" t="str">
        <f>MLIST!A62</f>
        <v>HVAC</v>
      </c>
      <c r="B71" t="str">
        <f>MLIST!D62</f>
        <v>Smart tstats - New</v>
      </c>
      <c r="C71" t="s">
        <v>292</v>
      </c>
      <c r="D71" s="25">
        <f t="shared" si="13"/>
        <v>4.2999999999999997E-2</v>
      </c>
      <c r="E71" s="25">
        <f t="shared" si="13"/>
        <v>9.5797142280278316E-2</v>
      </c>
      <c r="F71" s="25">
        <f t="shared" si="13"/>
        <v>0.16040539374775648</v>
      </c>
      <c r="G71" s="25">
        <f t="shared" si="13"/>
        <v>0.23540539374775649</v>
      </c>
      <c r="H71" s="25">
        <f t="shared" si="13"/>
        <v>0.32095239121809005</v>
      </c>
      <c r="I71" s="25">
        <f t="shared" si="13"/>
        <v>0.42096711425629652</v>
      </c>
      <c r="J71" s="25">
        <f t="shared" si="13"/>
        <v>0.53068481860864725</v>
      </c>
      <c r="K71" s="25">
        <f t="shared" si="13"/>
        <v>0.642769203728351</v>
      </c>
      <c r="L71" s="25">
        <f t="shared" si="13"/>
        <v>0.74839528535557953</v>
      </c>
      <c r="M71" s="25">
        <f t="shared" si="13"/>
        <v>0.83918984935345187</v>
      </c>
      <c r="N71" s="25">
        <f t="shared" si="14"/>
        <v>0.90945051634530116</v>
      </c>
      <c r="O71" s="25">
        <f t="shared" si="14"/>
        <v>0.9576688767502457</v>
      </c>
      <c r="P71" s="25">
        <f t="shared" si="14"/>
        <v>0.9865231113648858</v>
      </c>
      <c r="Q71" s="25">
        <f t="shared" si="14"/>
        <v>1</v>
      </c>
      <c r="R71" s="25">
        <f t="shared" si="14"/>
        <v>1</v>
      </c>
      <c r="S71" s="25">
        <f t="shared" si="14"/>
        <v>1</v>
      </c>
      <c r="T71" s="25">
        <f t="shared" si="14"/>
        <v>1</v>
      </c>
      <c r="U71" s="25">
        <f t="shared" si="14"/>
        <v>1</v>
      </c>
      <c r="V71" s="25">
        <f t="shared" si="14"/>
        <v>1</v>
      </c>
      <c r="W71" s="25">
        <f t="shared" si="14"/>
        <v>1</v>
      </c>
      <c r="X71" s="25">
        <v>0.85</v>
      </c>
      <c r="Z71" s="25" t="b">
        <f t="shared" si="3"/>
        <v>1</v>
      </c>
    </row>
    <row r="72" spans="1:26">
      <c r="A72" t="str">
        <f>MLIST!A63</f>
        <v>HVAC</v>
      </c>
      <c r="B72" t="str">
        <f>MLIST!D63</f>
        <v>Smart tstats - Retro</v>
      </c>
      <c r="C72" t="s">
        <v>291</v>
      </c>
      <c r="D72" s="25">
        <f t="shared" si="13"/>
        <v>4.2999999999999997E-2</v>
      </c>
      <c r="E72" s="25">
        <f t="shared" si="13"/>
        <v>5.279714228027832E-2</v>
      </c>
      <c r="F72" s="25">
        <f t="shared" si="13"/>
        <v>6.4608251467478173E-2</v>
      </c>
      <c r="G72" s="25">
        <f t="shared" si="13"/>
        <v>7.4999999999999997E-2</v>
      </c>
      <c r="H72" s="25">
        <f t="shared" si="13"/>
        <v>8.5546997470333563E-2</v>
      </c>
      <c r="I72" s="25">
        <f t="shared" si="13"/>
        <v>0.10001472303820647</v>
      </c>
      <c r="J72" s="25">
        <f t="shared" si="13"/>
        <v>0.10971770435235073</v>
      </c>
      <c r="K72" s="25">
        <f t="shared" si="13"/>
        <v>0.11208438511970376</v>
      </c>
      <c r="L72" s="25">
        <f t="shared" si="13"/>
        <v>0.10562608162722853</v>
      </c>
      <c r="M72" s="25">
        <f t="shared" si="13"/>
        <v>9.0794563997872335E-2</v>
      </c>
      <c r="N72" s="25">
        <f t="shared" si="14"/>
        <v>7.0260666991849297E-2</v>
      </c>
      <c r="O72" s="25">
        <f t="shared" si="14"/>
        <v>4.65E-2</v>
      </c>
      <c r="P72" s="25">
        <f t="shared" si="14"/>
        <v>2.7E-2</v>
      </c>
      <c r="Q72" s="25">
        <f t="shared" si="14"/>
        <v>1.2999999999999999E-2</v>
      </c>
      <c r="R72" s="25">
        <f t="shared" si="14"/>
        <v>5.4999999999999997E-3</v>
      </c>
      <c r="S72" s="25">
        <f t="shared" si="14"/>
        <v>2E-3</v>
      </c>
      <c r="T72" s="25">
        <f t="shared" si="14"/>
        <v>6.2471001963848583E-4</v>
      </c>
      <c r="U72" s="25">
        <f t="shared" si="14"/>
        <v>1.3615841889635938E-4</v>
      </c>
      <c r="V72" s="25">
        <f t="shared" si="14"/>
        <v>2.2380636622298944E-5</v>
      </c>
      <c r="W72" s="25">
        <f t="shared" si="14"/>
        <v>2.68643837586513E-6</v>
      </c>
      <c r="X72" s="25">
        <v>0.85</v>
      </c>
      <c r="Z72" s="25" t="b">
        <f t="shared" si="3"/>
        <v>1</v>
      </c>
    </row>
    <row r="73" spans="1:26">
      <c r="A73" t="str">
        <f>MLIST!A64</f>
        <v>HVAC</v>
      </c>
      <c r="B73" t="str">
        <f>MLIST!D64</f>
        <v>Cellular Shades - New</v>
      </c>
      <c r="C73" t="s">
        <v>293</v>
      </c>
      <c r="D73" s="25">
        <f t="shared" si="13"/>
        <v>5.0000000000000001E-3</v>
      </c>
      <c r="E73" s="25">
        <f t="shared" si="13"/>
        <v>7.6904586297764643E-3</v>
      </c>
      <c r="F73" s="25">
        <f t="shared" si="13"/>
        <v>1.6792013047419844E-2</v>
      </c>
      <c r="G73" s="25">
        <f t="shared" si="13"/>
        <v>3.15969387774655E-2</v>
      </c>
      <c r="H73" s="25">
        <f t="shared" si="13"/>
        <v>5.406874819795171E-2</v>
      </c>
      <c r="I73" s="25">
        <f t="shared" si="13"/>
        <v>8.6253181011834101E-2</v>
      </c>
      <c r="J73" s="25">
        <f t="shared" si="13"/>
        <v>0.1300328481838382</v>
      </c>
      <c r="K73" s="25">
        <f t="shared" si="13"/>
        <v>0.18678710893858319</v>
      </c>
      <c r="L73" s="25">
        <f t="shared" si="13"/>
        <v>0.2569823480072907</v>
      </c>
      <c r="M73" s="25">
        <f t="shared" si="13"/>
        <v>0.33975920985004748</v>
      </c>
      <c r="N73" s="25">
        <f t="shared" si="14"/>
        <v>0.43262946935754232</v>
      </c>
      <c r="O73" s="25">
        <f t="shared" si="14"/>
        <v>0.53142594003645804</v>
      </c>
      <c r="P73" s="25">
        <f t="shared" si="14"/>
        <v>0.63063487292644704</v>
      </c>
      <c r="Q73" s="25">
        <f t="shared" si="14"/>
        <v>0.7241560234206913</v>
      </c>
      <c r="R73" s="25">
        <f t="shared" si="14"/>
        <v>0.80638203131755359</v>
      </c>
      <c r="S73" s="25">
        <f t="shared" si="14"/>
        <v>0.87331559734491926</v>
      </c>
      <c r="T73" s="25">
        <f t="shared" si="14"/>
        <v>0.92334516248836807</v>
      </c>
      <c r="U73" s="25">
        <f t="shared" si="14"/>
        <v>0.96</v>
      </c>
      <c r="V73" s="25">
        <f t="shared" si="14"/>
        <v>0.98</v>
      </c>
      <c r="W73" s="25">
        <f t="shared" si="14"/>
        <v>0.996</v>
      </c>
      <c r="X73" s="25">
        <v>0.85</v>
      </c>
      <c r="Z73" s="25" t="b">
        <f t="shared" si="3"/>
        <v>1</v>
      </c>
    </row>
    <row r="74" spans="1:26">
      <c r="A74" t="str">
        <f>MLIST!A65</f>
        <v>HVAC</v>
      </c>
      <c r="B74" t="str">
        <f>MLIST!D65</f>
        <v>Cellular Shades - Retro</v>
      </c>
      <c r="C74" t="s">
        <v>294</v>
      </c>
      <c r="D74" s="25">
        <f t="shared" si="13"/>
        <v>2.5643970768378654E-3</v>
      </c>
      <c r="E74" s="25">
        <f t="shared" si="13"/>
        <v>5.1260615529385989E-3</v>
      </c>
      <c r="F74" s="25">
        <f t="shared" si="13"/>
        <v>9.1015544176433795E-3</v>
      </c>
      <c r="G74" s="25">
        <f t="shared" si="13"/>
        <v>1.4804925730045659E-2</v>
      </c>
      <c r="H74" s="25">
        <f t="shared" si="13"/>
        <v>2.2471809420486211E-2</v>
      </c>
      <c r="I74" s="25">
        <f t="shared" si="13"/>
        <v>3.2184432813882391E-2</v>
      </c>
      <c r="J74" s="25">
        <f t="shared" si="13"/>
        <v>4.3779667172004086E-2</v>
      </c>
      <c r="K74" s="25">
        <f t="shared" si="13"/>
        <v>5.675426075474499E-2</v>
      </c>
      <c r="L74" s="25">
        <f t="shared" si="13"/>
        <v>7.0195239068707532E-2</v>
      </c>
      <c r="M74" s="25">
        <f t="shared" si="13"/>
        <v>8.2776861842756788E-2</v>
      </c>
      <c r="N74" s="25">
        <f t="shared" si="14"/>
        <v>9.2870259507494834E-2</v>
      </c>
      <c r="O74" s="25">
        <f t="shared" si="14"/>
        <v>9.8796470678915727E-2</v>
      </c>
      <c r="P74" s="25">
        <f t="shared" si="14"/>
        <v>9.9208932889988999E-2</v>
      </c>
      <c r="Q74" s="25">
        <f t="shared" si="14"/>
        <v>9.3521150494244254E-2</v>
      </c>
      <c r="R74" s="25">
        <f t="shared" si="14"/>
        <v>8.2226007896862296E-2</v>
      </c>
      <c r="S74" s="25">
        <f t="shared" si="14"/>
        <v>6.8000000000000005E-2</v>
      </c>
      <c r="T74" s="25">
        <f t="shared" si="14"/>
        <v>5.1999999999999998E-2</v>
      </c>
      <c r="U74" s="25">
        <f t="shared" si="14"/>
        <v>3.5999999999999997E-2</v>
      </c>
      <c r="V74" s="25">
        <f t="shared" si="14"/>
        <v>2.3E-2</v>
      </c>
      <c r="W74" s="25">
        <f t="shared" si="14"/>
        <v>1.4999999999999999E-2</v>
      </c>
      <c r="X74" s="25">
        <v>0.85</v>
      </c>
      <c r="Z74" s="25" t="b">
        <f t="shared" si="3"/>
        <v>1</v>
      </c>
    </row>
    <row r="75" spans="1:26">
      <c r="A75" t="str">
        <f>MLIST!A66</f>
        <v>HVAC</v>
      </c>
      <c r="B75" t="str">
        <f>MLIST!D66</f>
        <v>CAC - New</v>
      </c>
      <c r="C75" t="s">
        <v>292</v>
      </c>
      <c r="D75" s="25">
        <f t="shared" si="13"/>
        <v>4.2999999999999997E-2</v>
      </c>
      <c r="E75" s="25">
        <f t="shared" si="13"/>
        <v>9.5797142280278316E-2</v>
      </c>
      <c r="F75" s="25">
        <f t="shared" si="13"/>
        <v>0.16040539374775648</v>
      </c>
      <c r="G75" s="25">
        <f t="shared" si="13"/>
        <v>0.23540539374775649</v>
      </c>
      <c r="H75" s="25">
        <f t="shared" si="13"/>
        <v>0.32095239121809005</v>
      </c>
      <c r="I75" s="25">
        <f t="shared" si="13"/>
        <v>0.42096711425629652</v>
      </c>
      <c r="J75" s="25">
        <f t="shared" si="13"/>
        <v>0.53068481860864725</v>
      </c>
      <c r="K75" s="25">
        <f t="shared" si="13"/>
        <v>0.642769203728351</v>
      </c>
      <c r="L75" s="25">
        <f t="shared" si="13"/>
        <v>0.74839528535557953</v>
      </c>
      <c r="M75" s="25">
        <f t="shared" si="13"/>
        <v>0.83918984935345187</v>
      </c>
      <c r="N75" s="25">
        <f t="shared" si="14"/>
        <v>0.90945051634530116</v>
      </c>
      <c r="O75" s="25">
        <f t="shared" si="14"/>
        <v>0.9576688767502457</v>
      </c>
      <c r="P75" s="25">
        <f t="shared" si="14"/>
        <v>0.9865231113648858</v>
      </c>
      <c r="Q75" s="25">
        <f t="shared" si="14"/>
        <v>1</v>
      </c>
      <c r="R75" s="25">
        <f t="shared" si="14"/>
        <v>1</v>
      </c>
      <c r="S75" s="25">
        <f t="shared" si="14"/>
        <v>1</v>
      </c>
      <c r="T75" s="25">
        <f t="shared" si="14"/>
        <v>1</v>
      </c>
      <c r="U75" s="25">
        <f t="shared" si="14"/>
        <v>1</v>
      </c>
      <c r="V75" s="25">
        <f t="shared" si="14"/>
        <v>1</v>
      </c>
      <c r="W75" s="25">
        <f t="shared" si="14"/>
        <v>1</v>
      </c>
      <c r="X75" s="25">
        <v>0.95</v>
      </c>
      <c r="Z75" s="25" t="b">
        <f t="shared" si="3"/>
        <v>1</v>
      </c>
    </row>
    <row r="76" spans="1:26">
      <c r="A76" t="str">
        <f>MLIST!A67</f>
        <v>HVAC</v>
      </c>
      <c r="B76" t="str">
        <f>MLIST!D67</f>
        <v>CAC - NR</v>
      </c>
      <c r="C76" t="s">
        <v>292</v>
      </c>
      <c r="D76" s="25">
        <f t="shared" si="13"/>
        <v>4.2999999999999997E-2</v>
      </c>
      <c r="E76" s="25">
        <f t="shared" si="13"/>
        <v>9.5797142280278316E-2</v>
      </c>
      <c r="F76" s="25">
        <f t="shared" si="13"/>
        <v>0.16040539374775648</v>
      </c>
      <c r="G76" s="25">
        <f t="shared" si="13"/>
        <v>0.23540539374775649</v>
      </c>
      <c r="H76" s="25">
        <f t="shared" si="13"/>
        <v>0.32095239121809005</v>
      </c>
      <c r="I76" s="25">
        <f t="shared" si="13"/>
        <v>0.42096711425629652</v>
      </c>
      <c r="J76" s="25">
        <f t="shared" si="13"/>
        <v>0.53068481860864725</v>
      </c>
      <c r="K76" s="25">
        <f t="shared" si="13"/>
        <v>0.642769203728351</v>
      </c>
      <c r="L76" s="25">
        <f t="shared" si="13"/>
        <v>0.74839528535557953</v>
      </c>
      <c r="M76" s="25">
        <f t="shared" si="13"/>
        <v>0.83918984935345187</v>
      </c>
      <c r="N76" s="25">
        <f t="shared" si="14"/>
        <v>0.90945051634530116</v>
      </c>
      <c r="O76" s="25">
        <f t="shared" si="14"/>
        <v>0.9576688767502457</v>
      </c>
      <c r="P76" s="25">
        <f t="shared" si="14"/>
        <v>0.9865231113648858</v>
      </c>
      <c r="Q76" s="25">
        <f t="shared" si="14"/>
        <v>1</v>
      </c>
      <c r="R76" s="25">
        <f t="shared" si="14"/>
        <v>1</v>
      </c>
      <c r="S76" s="25">
        <f t="shared" si="14"/>
        <v>1</v>
      </c>
      <c r="T76" s="25">
        <f t="shared" si="14"/>
        <v>1</v>
      </c>
      <c r="U76" s="25">
        <f t="shared" si="14"/>
        <v>1</v>
      </c>
      <c r="V76" s="25">
        <f t="shared" si="14"/>
        <v>1</v>
      </c>
      <c r="W76" s="25">
        <f t="shared" si="14"/>
        <v>1</v>
      </c>
      <c r="X76" s="25">
        <v>0.95</v>
      </c>
      <c r="Z76" s="25" t="b">
        <f t="shared" si="3"/>
        <v>1</v>
      </c>
    </row>
    <row r="77" spans="1:26">
      <c r="A77" t="str">
        <f>MLIST!A68</f>
        <v>HVAC</v>
      </c>
      <c r="B77" t="str">
        <f>MLIST!D68</f>
        <v>Heat Recovery Ventilation - New</v>
      </c>
      <c r="C77" t="s">
        <v>289</v>
      </c>
      <c r="D77" s="25">
        <f t="shared" si="13"/>
        <v>5.5320496977002724E-3</v>
      </c>
      <c r="E77" s="25">
        <f t="shared" si="13"/>
        <v>1.4227918344261844E-2</v>
      </c>
      <c r="F77" s="25">
        <f t="shared" si="13"/>
        <v>3.1619655637384989E-2</v>
      </c>
      <c r="G77" s="25">
        <f t="shared" si="13"/>
        <v>6.2055195900350503E-2</v>
      </c>
      <c r="H77" s="25">
        <f t="shared" si="13"/>
        <v>0.10939936964274129</v>
      </c>
      <c r="I77" s="25">
        <f t="shared" si="13"/>
        <v>0.17568121288208835</v>
      </c>
      <c r="J77" s="25">
        <f t="shared" si="13"/>
        <v>0.26003992245943919</v>
      </c>
      <c r="K77" s="25">
        <f t="shared" si="13"/>
        <v>0.3584584169663485</v>
      </c>
      <c r="L77" s="25">
        <f t="shared" si="13"/>
        <v>0.46444756489686617</v>
      </c>
      <c r="M77" s="25">
        <f t="shared" si="13"/>
        <v>0.57043671282738384</v>
      </c>
      <c r="N77" s="25">
        <f t="shared" si="14"/>
        <v>0.66935991756253377</v>
      </c>
      <c r="O77" s="25">
        <f t="shared" si="14"/>
        <v>0.75591772170578986</v>
      </c>
      <c r="P77" s="25">
        <f t="shared" si="14"/>
        <v>0.82720061923553012</v>
      </c>
      <c r="Q77" s="25">
        <f t="shared" si="14"/>
        <v>0.88264287286977261</v>
      </c>
      <c r="R77" s="25">
        <f t="shared" si="14"/>
        <v>0.92349505975816193</v>
      </c>
      <c r="S77" s="25">
        <f t="shared" si="14"/>
        <v>0.95209159058003434</v>
      </c>
      <c r="T77" s="25">
        <f t="shared" si="14"/>
        <v>0.97115594446128262</v>
      </c>
      <c r="U77" s="25">
        <f t="shared" si="14"/>
        <v>0.98328780602207699</v>
      </c>
      <c r="V77" s="25">
        <f t="shared" si="14"/>
        <v>0.99067241740690848</v>
      </c>
      <c r="W77" s="25">
        <f t="shared" si="14"/>
        <v>0.996</v>
      </c>
      <c r="X77" s="25">
        <v>0.85</v>
      </c>
      <c r="Z77" s="25" t="b">
        <f t="shared" si="3"/>
        <v>1</v>
      </c>
    </row>
    <row r="78" spans="1:26">
      <c r="A78" t="str">
        <f>MLIST!A69</f>
        <v>HVAC</v>
      </c>
      <c r="B78" t="str">
        <f>MLIST!D69</f>
        <v>GSHP - New</v>
      </c>
      <c r="C78" t="s">
        <v>293</v>
      </c>
      <c r="D78" s="25">
        <f t="shared" si="13"/>
        <v>5.0000000000000001E-3</v>
      </c>
      <c r="E78" s="25">
        <f t="shared" si="13"/>
        <v>7.6904586297764643E-3</v>
      </c>
      <c r="F78" s="25">
        <f t="shared" si="13"/>
        <v>1.6792013047419844E-2</v>
      </c>
      <c r="G78" s="25">
        <f t="shared" si="13"/>
        <v>3.15969387774655E-2</v>
      </c>
      <c r="H78" s="25">
        <f t="shared" si="13"/>
        <v>5.406874819795171E-2</v>
      </c>
      <c r="I78" s="25">
        <f t="shared" si="13"/>
        <v>8.6253181011834101E-2</v>
      </c>
      <c r="J78" s="25">
        <f t="shared" si="13"/>
        <v>0.1300328481838382</v>
      </c>
      <c r="K78" s="25">
        <f t="shared" si="13"/>
        <v>0.18678710893858319</v>
      </c>
      <c r="L78" s="25">
        <f t="shared" si="13"/>
        <v>0.2569823480072907</v>
      </c>
      <c r="M78" s="25">
        <f t="shared" si="13"/>
        <v>0.33975920985004748</v>
      </c>
      <c r="N78" s="25">
        <f t="shared" si="14"/>
        <v>0.43262946935754232</v>
      </c>
      <c r="O78" s="25">
        <f t="shared" si="14"/>
        <v>0.53142594003645804</v>
      </c>
      <c r="P78" s="25">
        <f t="shared" si="14"/>
        <v>0.63063487292644704</v>
      </c>
      <c r="Q78" s="25">
        <f t="shared" si="14"/>
        <v>0.7241560234206913</v>
      </c>
      <c r="R78" s="25">
        <f t="shared" si="14"/>
        <v>0.80638203131755359</v>
      </c>
      <c r="S78" s="25">
        <f t="shared" si="14"/>
        <v>0.87331559734491926</v>
      </c>
      <c r="T78" s="25">
        <f t="shared" si="14"/>
        <v>0.92334516248836807</v>
      </c>
      <c r="U78" s="25">
        <f t="shared" si="14"/>
        <v>0.96</v>
      </c>
      <c r="V78" s="25">
        <f t="shared" si="14"/>
        <v>0.98</v>
      </c>
      <c r="W78" s="25">
        <f t="shared" si="14"/>
        <v>0.996</v>
      </c>
      <c r="X78" s="25">
        <v>0.85</v>
      </c>
      <c r="Z78" s="25" t="b">
        <f t="shared" si="3"/>
        <v>1</v>
      </c>
    </row>
    <row r="79" spans="1:26">
      <c r="A79" t="str">
        <f>MLIST!A70</f>
        <v>HVAC</v>
      </c>
      <c r="B79" t="str">
        <f>MLIST!D70</f>
        <v>GSHP - NR</v>
      </c>
      <c r="C79" t="s">
        <v>293</v>
      </c>
      <c r="D79" s="25">
        <f t="shared" ref="D79:M94" si="15">IF(ISBLANK($C79),"",VLOOKUP($C79,$C$1:$X$15,D$17-$D$17+2,FALSE))</f>
        <v>5.0000000000000001E-3</v>
      </c>
      <c r="E79" s="25">
        <f t="shared" si="15"/>
        <v>7.6904586297764643E-3</v>
      </c>
      <c r="F79" s="25">
        <f t="shared" si="15"/>
        <v>1.6792013047419844E-2</v>
      </c>
      <c r="G79" s="25">
        <f t="shared" si="15"/>
        <v>3.15969387774655E-2</v>
      </c>
      <c r="H79" s="25">
        <f t="shared" si="15"/>
        <v>5.406874819795171E-2</v>
      </c>
      <c r="I79" s="25">
        <f t="shared" si="15"/>
        <v>8.6253181011834101E-2</v>
      </c>
      <c r="J79" s="25">
        <f t="shared" si="15"/>
        <v>0.1300328481838382</v>
      </c>
      <c r="K79" s="25">
        <f t="shared" si="15"/>
        <v>0.18678710893858319</v>
      </c>
      <c r="L79" s="25">
        <f t="shared" si="15"/>
        <v>0.2569823480072907</v>
      </c>
      <c r="M79" s="25">
        <f t="shared" si="15"/>
        <v>0.33975920985004748</v>
      </c>
      <c r="N79" s="25">
        <f t="shared" ref="N79:W94" si="16">IF(ISBLANK($C79),"",VLOOKUP($C79,$C$1:$X$15,N$17-$D$17+2,FALSE))</f>
        <v>0.43262946935754232</v>
      </c>
      <c r="O79" s="25">
        <f t="shared" si="16"/>
        <v>0.53142594003645804</v>
      </c>
      <c r="P79" s="25">
        <f t="shared" si="16"/>
        <v>0.63063487292644704</v>
      </c>
      <c r="Q79" s="25">
        <f t="shared" si="16"/>
        <v>0.7241560234206913</v>
      </c>
      <c r="R79" s="25">
        <f t="shared" si="16"/>
        <v>0.80638203131755359</v>
      </c>
      <c r="S79" s="25">
        <f t="shared" si="16"/>
        <v>0.87331559734491926</v>
      </c>
      <c r="T79" s="25">
        <f t="shared" si="16"/>
        <v>0.92334516248836807</v>
      </c>
      <c r="U79" s="25">
        <f t="shared" si="16"/>
        <v>0.96</v>
      </c>
      <c r="V79" s="25">
        <f t="shared" si="16"/>
        <v>0.98</v>
      </c>
      <c r="W79" s="25">
        <f t="shared" si="16"/>
        <v>0.996</v>
      </c>
      <c r="X79" s="25">
        <v>0.85</v>
      </c>
      <c r="Z79" s="25" t="b">
        <f t="shared" si="3"/>
        <v>1</v>
      </c>
    </row>
    <row r="80" spans="1:26">
      <c r="A80" t="str">
        <f>MLIST!A71</f>
        <v>HVAC</v>
      </c>
      <c r="B80" t="str">
        <f>MLIST!D71</f>
        <v>Whole House Fan - Retro</v>
      </c>
      <c r="C80" t="s">
        <v>294</v>
      </c>
      <c r="D80" s="25">
        <f t="shared" si="15"/>
        <v>2.5643970768378654E-3</v>
      </c>
      <c r="E80" s="25">
        <f t="shared" si="15"/>
        <v>5.1260615529385989E-3</v>
      </c>
      <c r="F80" s="25">
        <f t="shared" si="15"/>
        <v>9.1015544176433795E-3</v>
      </c>
      <c r="G80" s="25">
        <f t="shared" si="15"/>
        <v>1.4804925730045659E-2</v>
      </c>
      <c r="H80" s="25">
        <f t="shared" si="15"/>
        <v>2.2471809420486211E-2</v>
      </c>
      <c r="I80" s="25">
        <f t="shared" si="15"/>
        <v>3.2184432813882391E-2</v>
      </c>
      <c r="J80" s="25">
        <f t="shared" si="15"/>
        <v>4.3779667172004086E-2</v>
      </c>
      <c r="K80" s="25">
        <f t="shared" si="15"/>
        <v>5.675426075474499E-2</v>
      </c>
      <c r="L80" s="25">
        <f t="shared" si="15"/>
        <v>7.0195239068707532E-2</v>
      </c>
      <c r="M80" s="25">
        <f t="shared" si="15"/>
        <v>8.2776861842756788E-2</v>
      </c>
      <c r="N80" s="25">
        <f t="shared" si="16"/>
        <v>9.2870259507494834E-2</v>
      </c>
      <c r="O80" s="25">
        <f t="shared" si="16"/>
        <v>9.8796470678915727E-2</v>
      </c>
      <c r="P80" s="25">
        <f t="shared" si="16"/>
        <v>9.9208932889988999E-2</v>
      </c>
      <c r="Q80" s="25">
        <f t="shared" si="16"/>
        <v>9.3521150494244254E-2</v>
      </c>
      <c r="R80" s="25">
        <f t="shared" si="16"/>
        <v>8.2226007896862296E-2</v>
      </c>
      <c r="S80" s="25">
        <f t="shared" si="16"/>
        <v>6.8000000000000005E-2</v>
      </c>
      <c r="T80" s="25">
        <f t="shared" si="16"/>
        <v>5.1999999999999998E-2</v>
      </c>
      <c r="U80" s="25">
        <f t="shared" si="16"/>
        <v>3.5999999999999997E-2</v>
      </c>
      <c r="V80" s="25">
        <f t="shared" si="16"/>
        <v>2.3E-2</v>
      </c>
      <c r="W80" s="25">
        <f t="shared" si="16"/>
        <v>1.4999999999999999E-2</v>
      </c>
      <c r="X80" s="25">
        <v>0.85</v>
      </c>
      <c r="Z80" s="25" t="b">
        <f t="shared" si="3"/>
        <v>1</v>
      </c>
    </row>
    <row r="81" spans="1:26">
      <c r="A81" t="str">
        <f>MLIST!A72</f>
        <v>HVAC</v>
      </c>
      <c r="B81" t="str">
        <f>MLIST!D72</f>
        <v>Whole House Fan - New</v>
      </c>
      <c r="C81" t="s">
        <v>293</v>
      </c>
      <c r="D81" s="25">
        <f t="shared" si="15"/>
        <v>5.0000000000000001E-3</v>
      </c>
      <c r="E81" s="25">
        <f t="shared" si="15"/>
        <v>7.6904586297764643E-3</v>
      </c>
      <c r="F81" s="25">
        <f t="shared" si="15"/>
        <v>1.6792013047419844E-2</v>
      </c>
      <c r="G81" s="25">
        <f t="shared" si="15"/>
        <v>3.15969387774655E-2</v>
      </c>
      <c r="H81" s="25">
        <f t="shared" si="15"/>
        <v>5.406874819795171E-2</v>
      </c>
      <c r="I81" s="25">
        <f t="shared" si="15"/>
        <v>8.6253181011834101E-2</v>
      </c>
      <c r="J81" s="25">
        <f t="shared" si="15"/>
        <v>0.1300328481838382</v>
      </c>
      <c r="K81" s="25">
        <f t="shared" si="15"/>
        <v>0.18678710893858319</v>
      </c>
      <c r="L81" s="25">
        <f t="shared" si="15"/>
        <v>0.2569823480072907</v>
      </c>
      <c r="M81" s="25">
        <f t="shared" si="15"/>
        <v>0.33975920985004748</v>
      </c>
      <c r="N81" s="25">
        <f t="shared" si="16"/>
        <v>0.43262946935754232</v>
      </c>
      <c r="O81" s="25">
        <f t="shared" si="16"/>
        <v>0.53142594003645804</v>
      </c>
      <c r="P81" s="25">
        <f t="shared" si="16"/>
        <v>0.63063487292644704</v>
      </c>
      <c r="Q81" s="25">
        <f t="shared" si="16"/>
        <v>0.7241560234206913</v>
      </c>
      <c r="R81" s="25">
        <f t="shared" si="16"/>
        <v>0.80638203131755359</v>
      </c>
      <c r="S81" s="25">
        <f t="shared" si="16"/>
        <v>0.87331559734491926</v>
      </c>
      <c r="T81" s="25">
        <f t="shared" si="16"/>
        <v>0.92334516248836807</v>
      </c>
      <c r="U81" s="25">
        <f t="shared" si="16"/>
        <v>0.96</v>
      </c>
      <c r="V81" s="25">
        <f t="shared" si="16"/>
        <v>0.98</v>
      </c>
      <c r="W81" s="25">
        <f t="shared" si="16"/>
        <v>0.996</v>
      </c>
      <c r="X81" s="25">
        <v>0.85</v>
      </c>
      <c r="Z81" s="25" t="b">
        <f t="shared" ref="Z81" si="17">IF(IF(OR(RIGHT(B81,2)="NR",RIGHT(B81,2)="ew"),"LO","Re")=LEFT(C81,2),TRUE,FALSE)</f>
        <v>1</v>
      </c>
    </row>
    <row r="82" spans="1:26">
      <c r="A82" t="str">
        <f>MLIST!A73</f>
        <v>Water Heating</v>
      </c>
      <c r="B82" t="str">
        <f>MLIST!D73</f>
        <v>Circulator Controls - New</v>
      </c>
      <c r="C82" t="s">
        <v>289</v>
      </c>
      <c r="D82" s="25">
        <f t="shared" si="15"/>
        <v>5.5320496977002724E-3</v>
      </c>
      <c r="E82" s="25">
        <f t="shared" si="15"/>
        <v>1.4227918344261844E-2</v>
      </c>
      <c r="F82" s="25">
        <f t="shared" si="15"/>
        <v>3.1619655637384989E-2</v>
      </c>
      <c r="G82" s="25">
        <f t="shared" si="15"/>
        <v>6.2055195900350503E-2</v>
      </c>
      <c r="H82" s="25">
        <f t="shared" si="15"/>
        <v>0.10939936964274129</v>
      </c>
      <c r="I82" s="25">
        <f t="shared" si="15"/>
        <v>0.17568121288208835</v>
      </c>
      <c r="J82" s="25">
        <f t="shared" si="15"/>
        <v>0.26003992245943919</v>
      </c>
      <c r="K82" s="25">
        <f t="shared" si="15"/>
        <v>0.3584584169663485</v>
      </c>
      <c r="L82" s="25">
        <f t="shared" si="15"/>
        <v>0.46444756489686617</v>
      </c>
      <c r="M82" s="25">
        <f t="shared" si="15"/>
        <v>0.57043671282738384</v>
      </c>
      <c r="N82" s="25">
        <f t="shared" si="16"/>
        <v>0.66935991756253377</v>
      </c>
      <c r="O82" s="25">
        <f t="shared" si="16"/>
        <v>0.75591772170578986</v>
      </c>
      <c r="P82" s="25">
        <f t="shared" si="16"/>
        <v>0.82720061923553012</v>
      </c>
      <c r="Q82" s="25">
        <f t="shared" si="16"/>
        <v>0.88264287286977261</v>
      </c>
      <c r="R82" s="25">
        <f t="shared" si="16"/>
        <v>0.92349505975816193</v>
      </c>
      <c r="S82" s="25">
        <f t="shared" si="16"/>
        <v>0.95209159058003434</v>
      </c>
      <c r="T82" s="25">
        <f t="shared" si="16"/>
        <v>0.97115594446128262</v>
      </c>
      <c r="U82" s="25">
        <f t="shared" si="16"/>
        <v>0.98328780602207699</v>
      </c>
      <c r="V82" s="25">
        <f t="shared" si="16"/>
        <v>0.99067241740690848</v>
      </c>
      <c r="W82" s="25">
        <f t="shared" si="16"/>
        <v>0.996</v>
      </c>
      <c r="X82" s="25">
        <v>0.85</v>
      </c>
      <c r="Z82" s="25" t="b">
        <f t="shared" si="3"/>
        <v>1</v>
      </c>
    </row>
    <row r="83" spans="1:26">
      <c r="A83" t="str">
        <f>MLIST!A74</f>
        <v>Water Heating</v>
      </c>
      <c r="B83" t="str">
        <f>MLIST!D74</f>
        <v>Circulator Controls - NR</v>
      </c>
      <c r="C83" t="s">
        <v>289</v>
      </c>
      <c r="D83" s="25">
        <f t="shared" si="15"/>
        <v>5.5320496977002724E-3</v>
      </c>
      <c r="E83" s="25">
        <f t="shared" si="15"/>
        <v>1.4227918344261844E-2</v>
      </c>
      <c r="F83" s="25">
        <f t="shared" si="15"/>
        <v>3.1619655637384989E-2</v>
      </c>
      <c r="G83" s="25">
        <f t="shared" si="15"/>
        <v>6.2055195900350503E-2</v>
      </c>
      <c r="H83" s="25">
        <f t="shared" si="15"/>
        <v>0.10939936964274129</v>
      </c>
      <c r="I83" s="25">
        <f t="shared" si="15"/>
        <v>0.17568121288208835</v>
      </c>
      <c r="J83" s="25">
        <f t="shared" si="15"/>
        <v>0.26003992245943919</v>
      </c>
      <c r="K83" s="25">
        <f t="shared" si="15"/>
        <v>0.3584584169663485</v>
      </c>
      <c r="L83" s="25">
        <f t="shared" si="15"/>
        <v>0.46444756489686617</v>
      </c>
      <c r="M83" s="25">
        <f t="shared" si="15"/>
        <v>0.57043671282738384</v>
      </c>
      <c r="N83" s="25">
        <f t="shared" si="16"/>
        <v>0.66935991756253377</v>
      </c>
      <c r="O83" s="25">
        <f t="shared" si="16"/>
        <v>0.75591772170578986</v>
      </c>
      <c r="P83" s="25">
        <f t="shared" si="16"/>
        <v>0.82720061923553012</v>
      </c>
      <c r="Q83" s="25">
        <f t="shared" si="16"/>
        <v>0.88264287286977261</v>
      </c>
      <c r="R83" s="25">
        <f t="shared" si="16"/>
        <v>0.92349505975816193</v>
      </c>
      <c r="S83" s="25">
        <f t="shared" si="16"/>
        <v>0.95209159058003434</v>
      </c>
      <c r="T83" s="25">
        <f t="shared" si="16"/>
        <v>0.97115594446128262</v>
      </c>
      <c r="U83" s="25">
        <f t="shared" si="16"/>
        <v>0.98328780602207699</v>
      </c>
      <c r="V83" s="25">
        <f t="shared" si="16"/>
        <v>0.99067241740690848</v>
      </c>
      <c r="W83" s="25">
        <f t="shared" si="16"/>
        <v>0.996</v>
      </c>
      <c r="X83" s="25">
        <v>0.85</v>
      </c>
      <c r="Z83" s="25" t="b">
        <f t="shared" si="3"/>
        <v>1</v>
      </c>
    </row>
    <row r="84" spans="1:26">
      <c r="A84" t="str">
        <f>MLIST!A75</f>
        <v>Whole Bldg/Meter Level</v>
      </c>
      <c r="B84" t="str">
        <f>MLIST!D75</f>
        <v>Behavior - Retro</v>
      </c>
      <c r="C84" t="s">
        <v>290</v>
      </c>
      <c r="D84" s="25">
        <f t="shared" si="15"/>
        <v>5.5320496977002724E-3</v>
      </c>
      <c r="E84" s="25">
        <f t="shared" si="15"/>
        <v>8.6958686465615706E-3</v>
      </c>
      <c r="F84" s="25">
        <f t="shared" si="15"/>
        <v>1.7391737293123145E-2</v>
      </c>
      <c r="G84" s="25">
        <f t="shared" si="15"/>
        <v>3.0435540262965514E-2</v>
      </c>
      <c r="H84" s="25">
        <f t="shared" si="15"/>
        <v>4.7344173742390784E-2</v>
      </c>
      <c r="I84" s="25">
        <f t="shared" si="15"/>
        <v>6.6281843239347063E-2</v>
      </c>
      <c r="J84" s="25">
        <f t="shared" si="15"/>
        <v>8.4358709577350838E-2</v>
      </c>
      <c r="K84" s="25">
        <f t="shared" si="15"/>
        <v>9.8418494506909315E-2</v>
      </c>
      <c r="L84" s="25">
        <f t="shared" si="15"/>
        <v>0.10598914793051767</v>
      </c>
      <c r="M84" s="25">
        <f t="shared" si="15"/>
        <v>0.10598914793051767</v>
      </c>
      <c r="N84" s="25">
        <f t="shared" si="16"/>
        <v>9.8923204735149928E-2</v>
      </c>
      <c r="O84" s="25">
        <f t="shared" si="16"/>
        <v>8.655780414325609E-2</v>
      </c>
      <c r="P84" s="25">
        <f t="shared" si="16"/>
        <v>7.1282897529740263E-2</v>
      </c>
      <c r="Q84" s="25">
        <f t="shared" si="16"/>
        <v>5.5442253634242489E-2</v>
      </c>
      <c r="R84" s="25">
        <f t="shared" si="16"/>
        <v>4.0852186888389319E-2</v>
      </c>
      <c r="S84" s="25">
        <f t="shared" si="16"/>
        <v>2.8596530821872412E-2</v>
      </c>
      <c r="T84" s="25">
        <f t="shared" si="16"/>
        <v>1.9064353881248275E-2</v>
      </c>
      <c r="U84" s="25">
        <f t="shared" si="16"/>
        <v>1.2131861560794377E-2</v>
      </c>
      <c r="V84" s="25">
        <f t="shared" si="16"/>
        <v>7.3846113848314854E-3</v>
      </c>
      <c r="W84" s="25">
        <f t="shared" si="16"/>
        <v>5.0000000000000001E-3</v>
      </c>
      <c r="X84" s="25">
        <v>0.85</v>
      </c>
      <c r="Z84" s="25" t="b">
        <f t="shared" si="3"/>
        <v>1</v>
      </c>
    </row>
    <row r="85" spans="1:26">
      <c r="A85" t="str">
        <f>MLIST!A76</f>
        <v>Whole Bldg/Meter Level</v>
      </c>
      <c r="B85" t="str">
        <f>MLIST!D76</f>
        <v>Behavior - New</v>
      </c>
      <c r="C85" s="8" t="s">
        <v>289</v>
      </c>
      <c r="D85" s="25">
        <f t="shared" si="15"/>
        <v>5.5320496977002724E-3</v>
      </c>
      <c r="E85" s="25">
        <f t="shared" si="15"/>
        <v>1.4227918344261844E-2</v>
      </c>
      <c r="F85" s="25">
        <f t="shared" si="15"/>
        <v>3.1619655637384989E-2</v>
      </c>
      <c r="G85" s="25">
        <f t="shared" si="15"/>
        <v>6.2055195900350503E-2</v>
      </c>
      <c r="H85" s="25">
        <f t="shared" si="15"/>
        <v>0.10939936964274129</v>
      </c>
      <c r="I85" s="25">
        <f t="shared" si="15"/>
        <v>0.17568121288208835</v>
      </c>
      <c r="J85" s="25">
        <f t="shared" si="15"/>
        <v>0.26003992245943919</v>
      </c>
      <c r="K85" s="25">
        <f t="shared" si="15"/>
        <v>0.3584584169663485</v>
      </c>
      <c r="L85" s="25">
        <f t="shared" si="15"/>
        <v>0.46444756489686617</v>
      </c>
      <c r="M85" s="25">
        <f t="shared" si="15"/>
        <v>0.57043671282738384</v>
      </c>
      <c r="N85" s="25">
        <f t="shared" si="16"/>
        <v>0.66935991756253377</v>
      </c>
      <c r="O85" s="25">
        <f t="shared" si="16"/>
        <v>0.75591772170578986</v>
      </c>
      <c r="P85" s="25">
        <f t="shared" si="16"/>
        <v>0.82720061923553012</v>
      </c>
      <c r="Q85" s="25">
        <f t="shared" si="16"/>
        <v>0.88264287286977261</v>
      </c>
      <c r="R85" s="25">
        <f t="shared" si="16"/>
        <v>0.92349505975816193</v>
      </c>
      <c r="S85" s="25">
        <f t="shared" si="16"/>
        <v>0.95209159058003434</v>
      </c>
      <c r="T85" s="25">
        <f t="shared" si="16"/>
        <v>0.97115594446128262</v>
      </c>
      <c r="U85" s="25">
        <f t="shared" si="16"/>
        <v>0.98328780602207699</v>
      </c>
      <c r="V85" s="25">
        <f t="shared" si="16"/>
        <v>0.99067241740690848</v>
      </c>
      <c r="W85" s="25">
        <f t="shared" si="16"/>
        <v>0.996</v>
      </c>
      <c r="X85" s="25">
        <v>0.85</v>
      </c>
      <c r="Z85" s="25" t="b">
        <f t="shared" si="3"/>
        <v>1</v>
      </c>
    </row>
    <row r="86" spans="1:26">
      <c r="A86" t="str">
        <f>MLIST!A77</f>
        <v>Whole Bldg/Meter Level</v>
      </c>
      <c r="B86" t="str">
        <f>MLIST!D77</f>
        <v>EV Supply Equip - New</v>
      </c>
      <c r="C86" s="8" t="s">
        <v>292</v>
      </c>
      <c r="D86" s="25">
        <f t="shared" si="15"/>
        <v>4.2999999999999997E-2</v>
      </c>
      <c r="E86" s="25">
        <f t="shared" si="15"/>
        <v>9.5797142280278316E-2</v>
      </c>
      <c r="F86" s="25">
        <f t="shared" si="15"/>
        <v>0.16040539374775648</v>
      </c>
      <c r="G86" s="25">
        <f t="shared" si="15"/>
        <v>0.23540539374775649</v>
      </c>
      <c r="H86" s="25">
        <f t="shared" si="15"/>
        <v>0.32095239121809005</v>
      </c>
      <c r="I86" s="25">
        <f t="shared" si="15"/>
        <v>0.42096711425629652</v>
      </c>
      <c r="J86" s="25">
        <f t="shared" si="15"/>
        <v>0.53068481860864725</v>
      </c>
      <c r="K86" s="25">
        <f t="shared" si="15"/>
        <v>0.642769203728351</v>
      </c>
      <c r="L86" s="25">
        <f t="shared" si="15"/>
        <v>0.74839528535557953</v>
      </c>
      <c r="M86" s="25">
        <f t="shared" si="15"/>
        <v>0.83918984935345187</v>
      </c>
      <c r="N86" s="25">
        <f t="shared" si="16"/>
        <v>0.90945051634530116</v>
      </c>
      <c r="O86" s="25">
        <f t="shared" si="16"/>
        <v>0.9576688767502457</v>
      </c>
      <c r="P86" s="25">
        <f t="shared" si="16"/>
        <v>0.9865231113648858</v>
      </c>
      <c r="Q86" s="25">
        <f t="shared" si="16"/>
        <v>1</v>
      </c>
      <c r="R86" s="25">
        <f t="shared" si="16"/>
        <v>1</v>
      </c>
      <c r="S86" s="25">
        <f t="shared" si="16"/>
        <v>1</v>
      </c>
      <c r="T86" s="25">
        <f t="shared" si="16"/>
        <v>1</v>
      </c>
      <c r="U86" s="25">
        <f t="shared" si="16"/>
        <v>1</v>
      </c>
      <c r="V86" s="25">
        <f t="shared" si="16"/>
        <v>1</v>
      </c>
      <c r="W86" s="25">
        <f t="shared" si="16"/>
        <v>1</v>
      </c>
      <c r="X86" s="25">
        <v>0.95</v>
      </c>
      <c r="Z86" s="25" t="b">
        <f>IF(IF(OR(RIGHT(B86,2)="NR",RIGHT(B86,2)="ew"),"LO","Re")=LEFT(C86,2),TRUE,FALSE)</f>
        <v>1</v>
      </c>
    </row>
    <row r="87" spans="1:26">
      <c r="A87" t="str">
        <f>MLIST!A78</f>
        <v>Whole Bldg/Meter Level</v>
      </c>
      <c r="B87" t="str">
        <f>MLIST!D78</f>
        <v>EV Supply Equip - NR</v>
      </c>
      <c r="C87" s="8" t="s">
        <v>292</v>
      </c>
      <c r="D87" s="25">
        <f t="shared" si="15"/>
        <v>4.2999999999999997E-2</v>
      </c>
      <c r="E87" s="25">
        <f t="shared" si="15"/>
        <v>9.5797142280278316E-2</v>
      </c>
      <c r="F87" s="25">
        <f t="shared" si="15"/>
        <v>0.16040539374775648</v>
      </c>
      <c r="G87" s="25">
        <f t="shared" si="15"/>
        <v>0.23540539374775649</v>
      </c>
      <c r="H87" s="25">
        <f t="shared" si="15"/>
        <v>0.32095239121809005</v>
      </c>
      <c r="I87" s="25">
        <f t="shared" si="15"/>
        <v>0.42096711425629652</v>
      </c>
      <c r="J87" s="25">
        <f t="shared" si="15"/>
        <v>0.53068481860864725</v>
      </c>
      <c r="K87" s="25">
        <f t="shared" si="15"/>
        <v>0.642769203728351</v>
      </c>
      <c r="L87" s="25">
        <f t="shared" si="15"/>
        <v>0.74839528535557953</v>
      </c>
      <c r="M87" s="25">
        <f t="shared" si="15"/>
        <v>0.83918984935345187</v>
      </c>
      <c r="N87" s="25">
        <f t="shared" si="16"/>
        <v>0.90945051634530116</v>
      </c>
      <c r="O87" s="25">
        <f t="shared" si="16"/>
        <v>0.9576688767502457</v>
      </c>
      <c r="P87" s="25">
        <f t="shared" si="16"/>
        <v>0.9865231113648858</v>
      </c>
      <c r="Q87" s="25">
        <f t="shared" si="16"/>
        <v>1</v>
      </c>
      <c r="R87" s="25">
        <f t="shared" si="16"/>
        <v>1</v>
      </c>
      <c r="S87" s="25">
        <f t="shared" si="16"/>
        <v>1</v>
      </c>
      <c r="T87" s="25">
        <f t="shared" si="16"/>
        <v>1</v>
      </c>
      <c r="U87" s="25">
        <f t="shared" si="16"/>
        <v>1</v>
      </c>
      <c r="V87" s="25">
        <f t="shared" si="16"/>
        <v>1</v>
      </c>
      <c r="W87" s="25">
        <f t="shared" si="16"/>
        <v>1</v>
      </c>
      <c r="X87" s="25">
        <v>0.95</v>
      </c>
      <c r="Z87" s="25" t="b">
        <f>IF(IF(OR(RIGHT(B87,2)="NR",RIGHT(B87,2)="ew"),"LO","Re")=LEFT(C87,2),TRUE,FALSE)</f>
        <v>1</v>
      </c>
    </row>
    <row r="88" spans="1:26">
      <c r="A88" t="str">
        <f>MLIST!A79</f>
        <v>Other</v>
      </c>
      <c r="B88" t="str">
        <f>MLIST!D79</f>
        <v>Air cleaners - New</v>
      </c>
      <c r="C88" s="8" t="s">
        <v>292</v>
      </c>
      <c r="D88" s="25">
        <f t="shared" si="15"/>
        <v>4.2999999999999997E-2</v>
      </c>
      <c r="E88" s="25">
        <f t="shared" si="15"/>
        <v>9.5797142280278316E-2</v>
      </c>
      <c r="F88" s="25">
        <f t="shared" si="15"/>
        <v>0.16040539374775648</v>
      </c>
      <c r="G88" s="25">
        <f t="shared" si="15"/>
        <v>0.23540539374775649</v>
      </c>
      <c r="H88" s="25">
        <f t="shared" si="15"/>
        <v>0.32095239121809005</v>
      </c>
      <c r="I88" s="25">
        <f t="shared" si="15"/>
        <v>0.42096711425629652</v>
      </c>
      <c r="J88" s="25">
        <f t="shared" si="15"/>
        <v>0.53068481860864725</v>
      </c>
      <c r="K88" s="25">
        <f t="shared" si="15"/>
        <v>0.642769203728351</v>
      </c>
      <c r="L88" s="25">
        <f t="shared" si="15"/>
        <v>0.74839528535557953</v>
      </c>
      <c r="M88" s="25">
        <f t="shared" si="15"/>
        <v>0.83918984935345187</v>
      </c>
      <c r="N88" s="25">
        <f t="shared" si="16"/>
        <v>0.90945051634530116</v>
      </c>
      <c r="O88" s="25">
        <f t="shared" si="16"/>
        <v>0.9576688767502457</v>
      </c>
      <c r="P88" s="25">
        <f t="shared" si="16"/>
        <v>0.9865231113648858</v>
      </c>
      <c r="Q88" s="25">
        <f t="shared" si="16"/>
        <v>1</v>
      </c>
      <c r="R88" s="25">
        <f t="shared" si="16"/>
        <v>1</v>
      </c>
      <c r="S88" s="25">
        <f t="shared" si="16"/>
        <v>1</v>
      </c>
      <c r="T88" s="25">
        <f t="shared" si="16"/>
        <v>1</v>
      </c>
      <c r="U88" s="25">
        <f t="shared" si="16"/>
        <v>1</v>
      </c>
      <c r="V88" s="25">
        <f t="shared" si="16"/>
        <v>1</v>
      </c>
      <c r="W88" s="25">
        <f t="shared" si="16"/>
        <v>1</v>
      </c>
      <c r="X88" s="25">
        <v>0.95</v>
      </c>
      <c r="Z88" s="25" t="b">
        <f>IF(IF(OR(RIGHT(B88,2)="NR",RIGHT(B88,2)="ew"),"LO","Re")=LEFT(C88,2),TRUE,FALSE)</f>
        <v>1</v>
      </c>
    </row>
    <row r="89" spans="1:26">
      <c r="A89" t="str">
        <f>MLIST!A80</f>
        <v>Other</v>
      </c>
      <c r="B89" t="str">
        <f>MLIST!D80</f>
        <v>Air cleaners - NR</v>
      </c>
      <c r="C89" s="8" t="s">
        <v>292</v>
      </c>
      <c r="D89" s="25">
        <f t="shared" si="15"/>
        <v>4.2999999999999997E-2</v>
      </c>
      <c r="E89" s="25">
        <f t="shared" si="15"/>
        <v>9.5797142280278316E-2</v>
      </c>
      <c r="F89" s="25">
        <f t="shared" si="15"/>
        <v>0.16040539374775648</v>
      </c>
      <c r="G89" s="25">
        <f t="shared" si="15"/>
        <v>0.23540539374775649</v>
      </c>
      <c r="H89" s="25">
        <f t="shared" si="15"/>
        <v>0.32095239121809005</v>
      </c>
      <c r="I89" s="25">
        <f t="shared" si="15"/>
        <v>0.42096711425629652</v>
      </c>
      <c r="J89" s="25">
        <f t="shared" si="15"/>
        <v>0.53068481860864725</v>
      </c>
      <c r="K89" s="25">
        <f t="shared" si="15"/>
        <v>0.642769203728351</v>
      </c>
      <c r="L89" s="25">
        <f t="shared" si="15"/>
        <v>0.74839528535557953</v>
      </c>
      <c r="M89" s="25">
        <f t="shared" si="15"/>
        <v>0.83918984935345187</v>
      </c>
      <c r="N89" s="25">
        <f t="shared" si="16"/>
        <v>0.90945051634530116</v>
      </c>
      <c r="O89" s="25">
        <f t="shared" si="16"/>
        <v>0.9576688767502457</v>
      </c>
      <c r="P89" s="25">
        <f t="shared" si="16"/>
        <v>0.9865231113648858</v>
      </c>
      <c r="Q89" s="25">
        <f t="shared" si="16"/>
        <v>1</v>
      </c>
      <c r="R89" s="25">
        <f t="shared" si="16"/>
        <v>1</v>
      </c>
      <c r="S89" s="25">
        <f t="shared" si="16"/>
        <v>1</v>
      </c>
      <c r="T89" s="25">
        <f t="shared" si="16"/>
        <v>1</v>
      </c>
      <c r="U89" s="25">
        <f t="shared" si="16"/>
        <v>1</v>
      </c>
      <c r="V89" s="25">
        <f t="shared" si="16"/>
        <v>1</v>
      </c>
      <c r="W89" s="25">
        <f t="shared" si="16"/>
        <v>1</v>
      </c>
      <c r="X89" s="25">
        <v>0.95</v>
      </c>
      <c r="Z89" s="25" t="b">
        <f>IF(IF(OR(RIGHT(B89,2)="NR",RIGHT(B89,2)="ew"),"LO","Re")=LEFT(C89,2),TRUE,FALSE)</f>
        <v>1</v>
      </c>
    </row>
    <row r="90" spans="1:26">
      <c r="A90" t="str">
        <f>MLIST!A81</f>
        <v>HVAC</v>
      </c>
      <c r="B90" t="str">
        <f>MLIST!D81</f>
        <v>RAC - New</v>
      </c>
      <c r="C90" s="8" t="s">
        <v>285</v>
      </c>
      <c r="D90" s="25">
        <f t="shared" si="15"/>
        <v>0.10937459468255628</v>
      </c>
      <c r="E90" s="25">
        <f t="shared" si="15"/>
        <v>0.21874918936511256</v>
      </c>
      <c r="F90" s="25">
        <f t="shared" si="15"/>
        <v>0.32812378404766884</v>
      </c>
      <c r="G90" s="25">
        <f t="shared" si="15"/>
        <v>0.43749837873022512</v>
      </c>
      <c r="H90" s="25">
        <f t="shared" si="15"/>
        <v>0.5468729734127814</v>
      </c>
      <c r="I90" s="25">
        <f t="shared" si="15"/>
        <v>0.64531010862708205</v>
      </c>
      <c r="J90" s="25">
        <f t="shared" si="15"/>
        <v>0.7240598167985226</v>
      </c>
      <c r="K90" s="25">
        <f t="shared" si="15"/>
        <v>0.78705958333567505</v>
      </c>
      <c r="L90" s="25">
        <f t="shared" si="15"/>
        <v>0.83745939656539703</v>
      </c>
      <c r="M90" s="25">
        <f t="shared" si="15"/>
        <v>0.87777924714917455</v>
      </c>
      <c r="N90" s="25">
        <f t="shared" si="16"/>
        <v>0.91003512761619654</v>
      </c>
      <c r="O90" s="25">
        <f t="shared" si="16"/>
        <v>0.93583983198981413</v>
      </c>
      <c r="P90" s="25">
        <f t="shared" si="16"/>
        <v>0.9564835954887082</v>
      </c>
      <c r="Q90" s="25">
        <f t="shared" si="16"/>
        <v>0.97299860628782353</v>
      </c>
      <c r="R90" s="25">
        <f t="shared" si="16"/>
        <v>0.9862106149271157</v>
      </c>
      <c r="S90" s="25">
        <f t="shared" si="16"/>
        <v>0.99678022183854953</v>
      </c>
      <c r="T90" s="25">
        <f t="shared" si="16"/>
        <v>0.99685231466234414</v>
      </c>
      <c r="U90" s="25">
        <f t="shared" si="16"/>
        <v>0.99687806209941365</v>
      </c>
      <c r="V90" s="25">
        <f t="shared" si="16"/>
        <v>0.99688683963477831</v>
      </c>
      <c r="W90" s="25">
        <f t="shared" si="16"/>
        <v>0.99688970187457115</v>
      </c>
      <c r="X90" s="25">
        <v>0.95</v>
      </c>
      <c r="Z90" s="25" t="b">
        <f t="shared" ref="Z90:Z94" si="18">IF(IF(OR(RIGHT(B90,2)="NR",RIGHT(B90,2)="ew"),"LO","Re")=LEFT(C90,2),TRUE,FALSE)</f>
        <v>1</v>
      </c>
    </row>
    <row r="91" spans="1:26">
      <c r="A91" t="str">
        <f>MLIST!A82</f>
        <v>HVAC</v>
      </c>
      <c r="B91" t="str">
        <f>MLIST!D82</f>
        <v>RAC - NR</v>
      </c>
      <c r="C91" s="8" t="s">
        <v>285</v>
      </c>
      <c r="D91" s="25">
        <f t="shared" si="15"/>
        <v>0.10937459468255628</v>
      </c>
      <c r="E91" s="25">
        <f t="shared" si="15"/>
        <v>0.21874918936511256</v>
      </c>
      <c r="F91" s="25">
        <f t="shared" si="15"/>
        <v>0.32812378404766884</v>
      </c>
      <c r="G91" s="25">
        <f t="shared" si="15"/>
        <v>0.43749837873022512</v>
      </c>
      <c r="H91" s="25">
        <f t="shared" si="15"/>
        <v>0.5468729734127814</v>
      </c>
      <c r="I91" s="25">
        <f t="shared" si="15"/>
        <v>0.64531010862708205</v>
      </c>
      <c r="J91" s="25">
        <f t="shared" si="15"/>
        <v>0.7240598167985226</v>
      </c>
      <c r="K91" s="25">
        <f t="shared" si="15"/>
        <v>0.78705958333567505</v>
      </c>
      <c r="L91" s="25">
        <f t="shared" si="15"/>
        <v>0.83745939656539703</v>
      </c>
      <c r="M91" s="25">
        <f t="shared" si="15"/>
        <v>0.87777924714917455</v>
      </c>
      <c r="N91" s="25">
        <f t="shared" si="16"/>
        <v>0.91003512761619654</v>
      </c>
      <c r="O91" s="25">
        <f t="shared" si="16"/>
        <v>0.93583983198981413</v>
      </c>
      <c r="P91" s="25">
        <f t="shared" si="16"/>
        <v>0.9564835954887082</v>
      </c>
      <c r="Q91" s="25">
        <f t="shared" si="16"/>
        <v>0.97299860628782353</v>
      </c>
      <c r="R91" s="25">
        <f t="shared" si="16"/>
        <v>0.9862106149271157</v>
      </c>
      <c r="S91" s="25">
        <f t="shared" si="16"/>
        <v>0.99678022183854953</v>
      </c>
      <c r="T91" s="25">
        <f t="shared" si="16"/>
        <v>0.99685231466234414</v>
      </c>
      <c r="U91" s="25">
        <f t="shared" si="16"/>
        <v>0.99687806209941365</v>
      </c>
      <c r="V91" s="25">
        <f t="shared" si="16"/>
        <v>0.99688683963477831</v>
      </c>
      <c r="W91" s="25">
        <f t="shared" si="16"/>
        <v>0.99688970187457115</v>
      </c>
      <c r="X91" s="25">
        <v>0.95</v>
      </c>
      <c r="Z91" s="25" t="b">
        <f t="shared" si="18"/>
        <v>1</v>
      </c>
    </row>
    <row r="92" spans="1:26">
      <c r="A92" t="str">
        <f>MLIST!A83</f>
        <v>Other</v>
      </c>
      <c r="B92" t="str">
        <f>MLIST!D83</f>
        <v>Well Pump - New</v>
      </c>
      <c r="C92" s="8" t="s">
        <v>293</v>
      </c>
      <c r="D92" s="25">
        <f t="shared" si="15"/>
        <v>5.0000000000000001E-3</v>
      </c>
      <c r="E92" s="25">
        <f t="shared" si="15"/>
        <v>7.6904586297764643E-3</v>
      </c>
      <c r="F92" s="25">
        <f t="shared" si="15"/>
        <v>1.6792013047419844E-2</v>
      </c>
      <c r="G92" s="25">
        <f t="shared" si="15"/>
        <v>3.15969387774655E-2</v>
      </c>
      <c r="H92" s="25">
        <f t="shared" si="15"/>
        <v>5.406874819795171E-2</v>
      </c>
      <c r="I92" s="25">
        <f t="shared" si="15"/>
        <v>8.6253181011834101E-2</v>
      </c>
      <c r="J92" s="25">
        <f t="shared" si="15"/>
        <v>0.1300328481838382</v>
      </c>
      <c r="K92" s="25">
        <f t="shared" si="15"/>
        <v>0.18678710893858319</v>
      </c>
      <c r="L92" s="25">
        <f t="shared" si="15"/>
        <v>0.2569823480072907</v>
      </c>
      <c r="M92" s="25">
        <f t="shared" si="15"/>
        <v>0.33975920985004748</v>
      </c>
      <c r="N92" s="25">
        <f t="shared" si="16"/>
        <v>0.43262946935754232</v>
      </c>
      <c r="O92" s="25">
        <f t="shared" si="16"/>
        <v>0.53142594003645804</v>
      </c>
      <c r="P92" s="25">
        <f t="shared" si="16"/>
        <v>0.63063487292644704</v>
      </c>
      <c r="Q92" s="25">
        <f t="shared" si="16"/>
        <v>0.7241560234206913</v>
      </c>
      <c r="R92" s="25">
        <f t="shared" si="16"/>
        <v>0.80638203131755359</v>
      </c>
      <c r="S92" s="25">
        <f t="shared" si="16"/>
        <v>0.87331559734491926</v>
      </c>
      <c r="T92" s="25">
        <f t="shared" si="16"/>
        <v>0.92334516248836807</v>
      </c>
      <c r="U92" s="25">
        <f t="shared" si="16"/>
        <v>0.96</v>
      </c>
      <c r="V92" s="25">
        <f t="shared" si="16"/>
        <v>0.98</v>
      </c>
      <c r="W92" s="25">
        <f t="shared" si="16"/>
        <v>0.996</v>
      </c>
      <c r="X92" s="25">
        <v>0.95</v>
      </c>
      <c r="Z92" s="25"/>
    </row>
    <row r="93" spans="1:26">
      <c r="A93" t="str">
        <f>MLIST!A84</f>
        <v>Other</v>
      </c>
      <c r="B93" t="str">
        <f>MLIST!D84</f>
        <v>Well Pump - NR</v>
      </c>
      <c r="C93" s="8" t="s">
        <v>293</v>
      </c>
      <c r="D93" s="25">
        <f t="shared" si="15"/>
        <v>5.0000000000000001E-3</v>
      </c>
      <c r="E93" s="25">
        <f t="shared" si="15"/>
        <v>7.6904586297764643E-3</v>
      </c>
      <c r="F93" s="25">
        <f t="shared" si="15"/>
        <v>1.6792013047419844E-2</v>
      </c>
      <c r="G93" s="25">
        <f t="shared" si="15"/>
        <v>3.15969387774655E-2</v>
      </c>
      <c r="H93" s="25">
        <f t="shared" si="15"/>
        <v>5.406874819795171E-2</v>
      </c>
      <c r="I93" s="25">
        <f t="shared" si="15"/>
        <v>8.6253181011834101E-2</v>
      </c>
      <c r="J93" s="25">
        <f t="shared" si="15"/>
        <v>0.1300328481838382</v>
      </c>
      <c r="K93" s="25">
        <f t="shared" si="15"/>
        <v>0.18678710893858319</v>
      </c>
      <c r="L93" s="25">
        <f t="shared" si="15"/>
        <v>0.2569823480072907</v>
      </c>
      <c r="M93" s="25">
        <f t="shared" si="15"/>
        <v>0.33975920985004748</v>
      </c>
      <c r="N93" s="25">
        <f t="shared" si="16"/>
        <v>0.43262946935754232</v>
      </c>
      <c r="O93" s="25">
        <f t="shared" si="16"/>
        <v>0.53142594003645804</v>
      </c>
      <c r="P93" s="25">
        <f t="shared" si="16"/>
        <v>0.63063487292644704</v>
      </c>
      <c r="Q93" s="25">
        <f t="shared" si="16"/>
        <v>0.7241560234206913</v>
      </c>
      <c r="R93" s="25">
        <f t="shared" si="16"/>
        <v>0.80638203131755359</v>
      </c>
      <c r="S93" s="25">
        <f t="shared" si="16"/>
        <v>0.87331559734491926</v>
      </c>
      <c r="T93" s="25">
        <f t="shared" si="16"/>
        <v>0.92334516248836807</v>
      </c>
      <c r="U93" s="25">
        <f t="shared" si="16"/>
        <v>0.96</v>
      </c>
      <c r="V93" s="25">
        <f t="shared" si="16"/>
        <v>0.98</v>
      </c>
      <c r="W93" s="25">
        <f t="shared" si="16"/>
        <v>0.996</v>
      </c>
      <c r="X93" s="25">
        <v>0.95</v>
      </c>
      <c r="Z93" s="25"/>
    </row>
    <row r="94" spans="1:26">
      <c r="A94" t="str">
        <f>MLIST!A85</f>
        <v>HVAC</v>
      </c>
      <c r="B94" t="str">
        <f>MLIST!D85</f>
        <v>ResWx - Retro</v>
      </c>
      <c r="C94" s="8" t="s">
        <v>291</v>
      </c>
      <c r="D94" s="25">
        <f t="shared" si="15"/>
        <v>4.2999999999999997E-2</v>
      </c>
      <c r="E94" s="25">
        <f t="shared" si="15"/>
        <v>5.279714228027832E-2</v>
      </c>
      <c r="F94" s="25">
        <f t="shared" si="15"/>
        <v>6.4608251467478173E-2</v>
      </c>
      <c r="G94" s="25">
        <f t="shared" si="15"/>
        <v>7.4999999999999997E-2</v>
      </c>
      <c r="H94" s="25">
        <f t="shared" si="15"/>
        <v>8.5546997470333563E-2</v>
      </c>
      <c r="I94" s="25">
        <f t="shared" si="15"/>
        <v>0.10001472303820647</v>
      </c>
      <c r="J94" s="25">
        <f t="shared" si="15"/>
        <v>0.10971770435235073</v>
      </c>
      <c r="K94" s="25">
        <f t="shared" si="15"/>
        <v>0.11208438511970376</v>
      </c>
      <c r="L94" s="25">
        <f t="shared" si="15"/>
        <v>0.10562608162722853</v>
      </c>
      <c r="M94" s="25">
        <f t="shared" si="15"/>
        <v>9.0794563997872335E-2</v>
      </c>
      <c r="N94" s="25">
        <f t="shared" si="16"/>
        <v>7.0260666991849297E-2</v>
      </c>
      <c r="O94" s="25">
        <f t="shared" si="16"/>
        <v>4.65E-2</v>
      </c>
      <c r="P94" s="25">
        <f t="shared" si="16"/>
        <v>2.7E-2</v>
      </c>
      <c r="Q94" s="25">
        <f t="shared" si="16"/>
        <v>1.2999999999999999E-2</v>
      </c>
      <c r="R94" s="25">
        <f t="shared" si="16"/>
        <v>5.4999999999999997E-3</v>
      </c>
      <c r="S94" s="25">
        <f t="shared" si="16"/>
        <v>2E-3</v>
      </c>
      <c r="T94" s="25">
        <f t="shared" si="16"/>
        <v>6.2471001963848583E-4</v>
      </c>
      <c r="U94" s="25">
        <f t="shared" si="16"/>
        <v>1.3615841889635938E-4</v>
      </c>
      <c r="V94" s="25">
        <f t="shared" si="16"/>
        <v>2.2380636622298944E-5</v>
      </c>
      <c r="W94" s="25">
        <f t="shared" si="16"/>
        <v>2.68643837586513E-6</v>
      </c>
      <c r="X94" s="25">
        <v>0.85</v>
      </c>
      <c r="Z94" s="25" t="b">
        <f t="shared" si="18"/>
        <v>1</v>
      </c>
    </row>
    <row r="95" spans="1:26">
      <c r="A95">
        <f>MLIST!A86</f>
        <v>0</v>
      </c>
      <c r="D95" s="25"/>
      <c r="E95" s="25"/>
      <c r="F95" s="25"/>
      <c r="G95" s="25"/>
      <c r="H95" s="25"/>
      <c r="I95" s="25"/>
      <c r="J95" s="25"/>
      <c r="K95" s="25"/>
      <c r="L95" s="25"/>
      <c r="M95" s="25"/>
      <c r="N95" s="25"/>
      <c r="O95" s="25"/>
      <c r="P95" s="25"/>
      <c r="Q95" s="25"/>
      <c r="R95" s="25"/>
      <c r="S95" s="25"/>
      <c r="T95" s="25"/>
      <c r="U95" s="25"/>
      <c r="V95" s="25"/>
      <c r="W95" s="25"/>
      <c r="X95" s="25"/>
    </row>
    <row r="96" spans="1:26">
      <c r="A96">
        <f>MLIST!A87</f>
        <v>0</v>
      </c>
      <c r="D96" s="25"/>
      <c r="E96" s="25"/>
      <c r="F96" s="25"/>
      <c r="G96" s="25"/>
      <c r="H96" s="25"/>
      <c r="I96" s="25"/>
      <c r="J96" s="25"/>
      <c r="K96" s="25"/>
      <c r="L96" s="25"/>
      <c r="M96" s="25"/>
      <c r="N96" s="25"/>
      <c r="O96" s="25"/>
      <c r="P96" s="25"/>
      <c r="Q96" s="25"/>
      <c r="R96" s="25"/>
      <c r="S96" s="25"/>
      <c r="T96" s="25"/>
      <c r="U96" s="25"/>
      <c r="V96" s="25"/>
      <c r="W96" s="25"/>
      <c r="X96" s="25"/>
    </row>
    <row r="97" spans="4:24">
      <c r="D97" s="25"/>
      <c r="E97" s="25"/>
      <c r="F97" s="25"/>
      <c r="G97" s="25"/>
      <c r="H97" s="25"/>
      <c r="I97" s="25"/>
      <c r="J97" s="25"/>
      <c r="K97" s="25"/>
      <c r="L97" s="25"/>
      <c r="M97" s="25"/>
      <c r="N97" s="25"/>
      <c r="O97" s="25"/>
      <c r="P97" s="25"/>
      <c r="Q97" s="25"/>
      <c r="R97" s="25"/>
      <c r="S97" s="25"/>
      <c r="T97" s="25"/>
      <c r="U97" s="25"/>
      <c r="V97" s="25"/>
      <c r="W97" s="25"/>
      <c r="X97" s="25"/>
    </row>
    <row r="98" spans="4:24">
      <c r="D98" s="25"/>
      <c r="E98" s="25"/>
      <c r="F98" s="25"/>
      <c r="G98" s="25"/>
      <c r="H98" s="25"/>
      <c r="I98" s="25"/>
      <c r="J98" s="25"/>
      <c r="K98" s="25"/>
      <c r="L98" s="25"/>
      <c r="M98" s="25"/>
      <c r="N98" s="25"/>
      <c r="O98" s="25"/>
      <c r="P98" s="25"/>
      <c r="Q98" s="25"/>
      <c r="R98" s="25"/>
      <c r="S98" s="25"/>
      <c r="T98" s="25"/>
      <c r="U98" s="25"/>
      <c r="V98" s="25"/>
      <c r="W98" s="25"/>
      <c r="X98" s="25"/>
    </row>
    <row r="99" spans="4:24">
      <c r="D99" s="25"/>
      <c r="E99" s="25"/>
      <c r="F99" s="25"/>
      <c r="G99" s="25"/>
      <c r="H99" s="25"/>
      <c r="I99" s="25"/>
      <c r="J99" s="25"/>
      <c r="K99" s="25"/>
      <c r="L99" s="25"/>
      <c r="M99" s="25"/>
      <c r="N99" s="25"/>
      <c r="O99" s="25"/>
      <c r="P99" s="25"/>
      <c r="Q99" s="25"/>
      <c r="R99" s="25"/>
      <c r="S99" s="25"/>
      <c r="T99" s="25"/>
      <c r="U99" s="25"/>
      <c r="V99" s="25"/>
      <c r="W99" s="25"/>
      <c r="X99" s="25"/>
    </row>
    <row r="100" spans="4:24">
      <c r="D100" s="25"/>
      <c r="E100" s="25"/>
      <c r="F100" s="25"/>
      <c r="G100" s="25"/>
      <c r="H100" s="25"/>
      <c r="I100" s="25"/>
      <c r="J100" s="25"/>
      <c r="K100" s="25"/>
      <c r="L100" s="25"/>
      <c r="M100" s="25"/>
      <c r="N100" s="25"/>
      <c r="O100" s="25"/>
      <c r="P100" s="25"/>
      <c r="Q100" s="25"/>
      <c r="R100" s="25"/>
      <c r="S100" s="25"/>
      <c r="T100" s="25"/>
      <c r="U100" s="25"/>
      <c r="V100" s="25"/>
      <c r="W100" s="25"/>
      <c r="X100" s="25"/>
    </row>
    <row r="101" spans="4:24">
      <c r="D101" s="25"/>
      <c r="E101" s="25"/>
      <c r="F101" s="25"/>
      <c r="G101" s="25"/>
      <c r="H101" s="25"/>
      <c r="I101" s="25"/>
      <c r="J101" s="25"/>
      <c r="K101" s="25"/>
      <c r="L101" s="25"/>
      <c r="M101" s="25"/>
      <c r="N101" s="25"/>
      <c r="O101" s="25"/>
      <c r="P101" s="25"/>
      <c r="Q101" s="25"/>
      <c r="R101" s="25"/>
      <c r="S101" s="25"/>
      <c r="T101" s="25"/>
      <c r="U101" s="25"/>
      <c r="V101" s="25"/>
      <c r="W101" s="25"/>
      <c r="X101" s="25"/>
    </row>
    <row r="102" spans="4:24">
      <c r="D102" s="25"/>
      <c r="E102" s="25"/>
      <c r="F102" s="25"/>
      <c r="G102" s="25"/>
      <c r="H102" s="25"/>
      <c r="I102" s="25"/>
      <c r="J102" s="25"/>
      <c r="K102" s="25"/>
      <c r="L102" s="25"/>
      <c r="M102" s="25"/>
      <c r="N102" s="25"/>
      <c r="O102" s="25"/>
      <c r="P102" s="25"/>
      <c r="Q102" s="25"/>
      <c r="R102" s="25"/>
      <c r="S102" s="25"/>
      <c r="T102" s="25"/>
      <c r="U102" s="25"/>
      <c r="V102" s="25"/>
      <c r="W102" s="25"/>
      <c r="X102" s="25"/>
    </row>
    <row r="103" spans="4:24">
      <c r="D103" s="25"/>
      <c r="E103" s="25"/>
      <c r="F103" s="25"/>
      <c r="G103" s="25"/>
      <c r="H103" s="25"/>
      <c r="I103" s="25"/>
      <c r="J103" s="25"/>
      <c r="K103" s="25"/>
      <c r="L103" s="25"/>
      <c r="M103" s="25"/>
      <c r="N103" s="25"/>
      <c r="O103" s="25"/>
      <c r="P103" s="25"/>
      <c r="Q103" s="25"/>
      <c r="R103" s="25"/>
      <c r="S103" s="25"/>
      <c r="T103" s="25"/>
      <c r="U103" s="25"/>
      <c r="V103" s="25"/>
      <c r="W103" s="25"/>
      <c r="X103" s="25"/>
    </row>
    <row r="104" spans="4:24">
      <c r="D104" s="25"/>
      <c r="E104" s="25"/>
      <c r="F104" s="25"/>
      <c r="G104" s="25"/>
      <c r="H104" s="25"/>
      <c r="I104" s="25"/>
      <c r="J104" s="25"/>
      <c r="K104" s="25"/>
      <c r="L104" s="25"/>
      <c r="M104" s="25"/>
      <c r="N104" s="25"/>
      <c r="O104" s="25"/>
      <c r="P104" s="25"/>
      <c r="Q104" s="25"/>
      <c r="R104" s="25"/>
      <c r="S104" s="25"/>
      <c r="T104" s="25"/>
      <c r="U104" s="25"/>
      <c r="V104" s="25"/>
      <c r="W104" s="25"/>
      <c r="X104" s="25"/>
    </row>
    <row r="105" spans="4:24">
      <c r="D105" s="25"/>
      <c r="E105" s="25"/>
      <c r="F105" s="25"/>
      <c r="G105" s="25"/>
      <c r="H105" s="25"/>
      <c r="I105" s="25"/>
      <c r="J105" s="25"/>
      <c r="K105" s="25"/>
      <c r="L105" s="25"/>
      <c r="M105" s="25"/>
      <c r="N105" s="25"/>
      <c r="O105" s="25"/>
      <c r="P105" s="25"/>
      <c r="Q105" s="25"/>
      <c r="R105" s="25"/>
      <c r="S105" s="25"/>
      <c r="T105" s="25"/>
      <c r="U105" s="25"/>
      <c r="V105" s="25"/>
      <c r="W105" s="25"/>
      <c r="X105" s="25"/>
    </row>
    <row r="106" spans="4:24">
      <c r="D106" s="25"/>
      <c r="E106" s="25"/>
      <c r="F106" s="25"/>
      <c r="G106" s="25"/>
      <c r="H106" s="25"/>
      <c r="I106" s="25"/>
      <c r="J106" s="25"/>
      <c r="K106" s="25"/>
      <c r="L106" s="25"/>
      <c r="M106" s="25"/>
      <c r="N106" s="25"/>
      <c r="O106" s="25"/>
      <c r="P106" s="25"/>
      <c r="Q106" s="25"/>
      <c r="R106" s="25"/>
      <c r="S106" s="25"/>
      <c r="T106" s="25"/>
      <c r="U106" s="25"/>
      <c r="V106" s="25"/>
      <c r="W106" s="25"/>
      <c r="X106" s="25"/>
    </row>
    <row r="107" spans="4:24">
      <c r="D107" s="25"/>
      <c r="E107" s="25"/>
      <c r="F107" s="25"/>
      <c r="G107" s="25"/>
      <c r="H107" s="25"/>
      <c r="I107" s="25"/>
      <c r="J107" s="25"/>
      <c r="K107" s="25"/>
      <c r="L107" s="25"/>
      <c r="M107" s="25"/>
      <c r="N107" s="25"/>
      <c r="O107" s="25"/>
      <c r="P107" s="25"/>
      <c r="Q107" s="25"/>
      <c r="R107" s="25"/>
      <c r="S107" s="25"/>
      <c r="T107" s="25"/>
      <c r="U107" s="25"/>
      <c r="V107" s="25"/>
      <c r="W107" s="25"/>
      <c r="X107" s="25"/>
    </row>
    <row r="108" spans="4:24">
      <c r="D108" s="25"/>
      <c r="E108" s="25"/>
      <c r="F108" s="25"/>
      <c r="G108" s="25"/>
      <c r="H108" s="25"/>
      <c r="I108" s="25"/>
      <c r="J108" s="25"/>
      <c r="K108" s="25"/>
      <c r="L108" s="25"/>
      <c r="M108" s="25"/>
      <c r="N108" s="25"/>
      <c r="O108" s="25"/>
      <c r="P108" s="25"/>
      <c r="Q108" s="25"/>
      <c r="R108" s="25"/>
      <c r="S108" s="25"/>
      <c r="T108" s="25"/>
      <c r="U108" s="25"/>
      <c r="V108" s="25"/>
      <c r="W108" s="25"/>
      <c r="X108" s="25"/>
    </row>
    <row r="109" spans="4:24">
      <c r="D109" s="25"/>
      <c r="E109" s="25"/>
      <c r="F109" s="25"/>
      <c r="G109" s="25"/>
      <c r="H109" s="25"/>
      <c r="I109" s="25"/>
      <c r="J109" s="25"/>
      <c r="K109" s="25"/>
      <c r="L109" s="25"/>
      <c r="M109" s="25"/>
      <c r="N109" s="25"/>
      <c r="O109" s="25"/>
      <c r="P109" s="25"/>
      <c r="Q109" s="25"/>
      <c r="R109" s="25"/>
      <c r="S109" s="25"/>
      <c r="T109" s="25"/>
      <c r="U109" s="25"/>
      <c r="V109" s="25"/>
      <c r="W109" s="25"/>
      <c r="X109" s="25"/>
    </row>
    <row r="110" spans="4:24">
      <c r="D110" s="25"/>
      <c r="E110" s="25"/>
      <c r="F110" s="25"/>
      <c r="G110" s="25"/>
      <c r="H110" s="25"/>
      <c r="I110" s="25"/>
      <c r="J110" s="25"/>
      <c r="K110" s="25"/>
      <c r="L110" s="25"/>
      <c r="M110" s="25"/>
      <c r="N110" s="25"/>
      <c r="O110" s="25"/>
      <c r="P110" s="25"/>
      <c r="Q110" s="25"/>
      <c r="R110" s="25"/>
      <c r="S110" s="25"/>
      <c r="T110" s="25"/>
      <c r="U110" s="25"/>
      <c r="V110" s="25"/>
      <c r="W110" s="25"/>
      <c r="X110" s="25"/>
    </row>
    <row r="111" spans="4:24">
      <c r="D111" s="25"/>
      <c r="E111" s="25"/>
      <c r="F111" s="25"/>
      <c r="G111" s="25"/>
      <c r="H111" s="25"/>
      <c r="I111" s="25"/>
      <c r="J111" s="25"/>
      <c r="K111" s="25"/>
      <c r="L111" s="25"/>
      <c r="M111" s="25"/>
      <c r="N111" s="25"/>
      <c r="O111" s="25"/>
      <c r="P111" s="25"/>
      <c r="Q111" s="25"/>
      <c r="R111" s="25"/>
      <c r="S111" s="25"/>
      <c r="T111" s="25"/>
      <c r="U111" s="25"/>
      <c r="V111" s="25"/>
      <c r="W111" s="25"/>
      <c r="X111" s="25"/>
    </row>
    <row r="112" spans="4:24">
      <c r="D112" s="25"/>
      <c r="E112" s="25"/>
      <c r="F112" s="25"/>
      <c r="G112" s="25"/>
      <c r="H112" s="25"/>
      <c r="I112" s="25"/>
      <c r="J112" s="25"/>
      <c r="K112" s="25"/>
      <c r="L112" s="25"/>
      <c r="M112" s="25"/>
      <c r="N112" s="25"/>
      <c r="O112" s="25"/>
      <c r="P112" s="25"/>
      <c r="Q112" s="25"/>
      <c r="R112" s="25"/>
      <c r="S112" s="25"/>
      <c r="T112" s="25"/>
      <c r="U112" s="25"/>
      <c r="V112" s="25"/>
      <c r="W112" s="25"/>
      <c r="X112" s="25"/>
    </row>
    <row r="113" spans="4:24">
      <c r="D113" s="25"/>
      <c r="E113" s="25"/>
      <c r="F113" s="25"/>
      <c r="G113" s="25"/>
      <c r="H113" s="25"/>
      <c r="I113" s="25"/>
      <c r="J113" s="25"/>
      <c r="K113" s="25"/>
      <c r="L113" s="25"/>
      <c r="M113" s="25"/>
      <c r="N113" s="25"/>
      <c r="O113" s="25"/>
      <c r="P113" s="25"/>
      <c r="Q113" s="25"/>
      <c r="R113" s="25"/>
      <c r="S113" s="25"/>
      <c r="T113" s="25"/>
      <c r="U113" s="25"/>
      <c r="V113" s="25"/>
      <c r="W113" s="25"/>
      <c r="X113" s="25"/>
    </row>
    <row r="114" spans="4:24">
      <c r="D114" s="25"/>
      <c r="E114" s="25"/>
      <c r="F114" s="25"/>
      <c r="G114" s="25"/>
      <c r="H114" s="25"/>
      <c r="I114" s="25"/>
      <c r="J114" s="25"/>
      <c r="K114" s="25"/>
      <c r="L114" s="25"/>
      <c r="M114" s="25"/>
      <c r="N114" s="25"/>
      <c r="O114" s="25"/>
      <c r="P114" s="25"/>
      <c r="Q114" s="25"/>
      <c r="R114" s="25"/>
      <c r="S114" s="25"/>
      <c r="T114" s="25"/>
      <c r="U114" s="25"/>
      <c r="V114" s="25"/>
      <c r="W114" s="25"/>
      <c r="X114" s="25"/>
    </row>
    <row r="115" spans="4:24">
      <c r="D115" s="25"/>
      <c r="E115" s="25"/>
      <c r="F115" s="25"/>
      <c r="G115" s="25"/>
      <c r="H115" s="25"/>
      <c r="I115" s="25"/>
      <c r="J115" s="25"/>
      <c r="K115" s="25"/>
      <c r="L115" s="25"/>
      <c r="M115" s="25"/>
      <c r="N115" s="25"/>
      <c r="O115" s="25"/>
      <c r="P115" s="25"/>
      <c r="Q115" s="25"/>
      <c r="R115" s="25"/>
      <c r="S115" s="25"/>
      <c r="T115" s="25"/>
      <c r="U115" s="25"/>
      <c r="V115" s="25"/>
      <c r="W115" s="25"/>
      <c r="X115" s="25"/>
    </row>
    <row r="116" spans="4:24">
      <c r="D116" s="25"/>
      <c r="E116" s="25"/>
      <c r="F116" s="25"/>
      <c r="G116" s="25"/>
      <c r="H116" s="25"/>
      <c r="I116" s="25"/>
      <c r="J116" s="25"/>
      <c r="K116" s="25"/>
      <c r="L116" s="25"/>
      <c r="M116" s="25"/>
      <c r="N116" s="25"/>
      <c r="O116" s="25"/>
      <c r="P116" s="25"/>
      <c r="Q116" s="25"/>
      <c r="R116" s="25"/>
      <c r="S116" s="25"/>
      <c r="T116" s="25"/>
      <c r="U116" s="25"/>
      <c r="V116" s="25"/>
      <c r="W116" s="25"/>
      <c r="X116" s="25"/>
    </row>
    <row r="117" spans="4:24">
      <c r="D117" s="25"/>
      <c r="E117" s="25"/>
      <c r="F117" s="25"/>
      <c r="G117" s="25"/>
      <c r="H117" s="25"/>
      <c r="I117" s="25"/>
      <c r="J117" s="25"/>
      <c r="K117" s="25"/>
      <c r="L117" s="25"/>
      <c r="M117" s="25"/>
      <c r="N117" s="25"/>
      <c r="O117" s="25"/>
      <c r="P117" s="25"/>
      <c r="Q117" s="25"/>
      <c r="R117" s="25"/>
      <c r="S117" s="25"/>
      <c r="T117" s="25"/>
      <c r="U117" s="25"/>
      <c r="V117" s="25"/>
      <c r="W117" s="25"/>
      <c r="X117" s="25"/>
    </row>
  </sheetData>
  <phoneticPr fontId="0" type="noConversion"/>
  <conditionalFormatting sqref="Z18:Z33 Z82:Z94 Z35:Z80">
    <cfRule type="containsText" dxfId="2" priority="3" operator="containsText" text="FALSE">
      <formula>NOT(ISERROR(SEARCH("FALSE",Z18)))</formula>
    </cfRule>
  </conditionalFormatting>
  <conditionalFormatting sqref="Z81">
    <cfRule type="containsText" dxfId="1" priority="2" operator="containsText" text="FALSE">
      <formula>NOT(ISERROR(SEARCH("FALSE",Z81)))</formula>
    </cfRule>
  </conditionalFormatting>
  <conditionalFormatting sqref="Z34">
    <cfRule type="containsText" dxfId="0" priority="1" operator="containsText" text="FALSE">
      <formula>NOT(ISERROR(SEARCH("FALSE",Z34)))</formula>
    </cfRule>
  </conditionalFormatting>
  <dataValidations disablePrompts="1" count="1">
    <dataValidation type="list" allowBlank="1" showInputMessage="1" showErrorMessage="1" sqref="X18:X94" xr:uid="{00000000-0002-0000-0800-000000000000}">
      <formula1>$AA$2:$AA$5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2021P Draft - ReadMe</vt:lpstr>
      <vt:lpstr>Overview</vt:lpstr>
      <vt:lpstr>MLIST</vt:lpstr>
      <vt:lpstr>FILES</vt:lpstr>
      <vt:lpstr>APPLIC</vt:lpstr>
      <vt:lpstr>FEAS</vt:lpstr>
      <vt:lpstr>BASE</vt:lpstr>
      <vt:lpstr>TURN</vt:lpstr>
      <vt:lpstr>ACHIEV</vt:lpstr>
      <vt:lpstr>SATS</vt:lpstr>
      <vt:lpstr>Vars</vt:lpstr>
      <vt:lpstr>taxonomy</vt:lpstr>
      <vt:lpstr>Tracking Status</vt:lpstr>
      <vt:lpstr>Update Log</vt:lpstr>
      <vt:lpstr>ExistingSat</vt:lpstr>
      <vt:lpstr>NewSat</vt:lpstr>
      <vt:lpstr>FEAS!Print_Area</vt:lpstr>
      <vt:lpstr>SATS!Print_Area</vt:lpstr>
      <vt:lpstr>ResAchiev</vt:lpstr>
      <vt:lpstr>ResApplic</vt:lpstr>
    </vt:vector>
  </TitlesOfParts>
  <Company>NW Power Planning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Grist</dc:creator>
  <cp:lastModifiedBy>Tina Jayaweera</cp:lastModifiedBy>
  <cp:lastPrinted>2005-01-31T16:50:04Z</cp:lastPrinted>
  <dcterms:created xsi:type="dcterms:W3CDTF">2003-01-30T22:25:59Z</dcterms:created>
  <dcterms:modified xsi:type="dcterms:W3CDTF">2020-07-31T18:36:57Z</dcterms:modified>
</cp:coreProperties>
</file>