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CFL Fixtures" sheetId="3" r:id="rId3"/>
    <sheet name="Bulb Assumptions" sheetId="4" r:id="rId4"/>
    <sheet name="CFL Data" sheetId="5" r:id="rId5"/>
    <sheet name="Fixture Assumptions" sheetId="6" r:id="rId6"/>
    <sheet name="Fixture Data" sheetId="7" r:id="rId7"/>
    <sheet name="Space Conditioning Interaction" sheetId="8" r:id="rId8"/>
    <sheet name=" Existing SphtSysType PNRES" sheetId="9" r:id="rId9"/>
    <sheet name="Sales Wght Avg SEER by Vintage " sheetId="10" r:id="rId10"/>
    <sheet name="ResLight Load Shape" sheetId="11" r:id="rId11"/>
  </sheets>
  <externalReferences>
    <externalReference r:id="rId14"/>
    <externalReference r:id="rId15"/>
    <externalReference r:id="rId16"/>
  </externalReferences>
  <definedNames>
    <definedName name="_Key1" hidden="1">#REF!</definedName>
    <definedName name="_Order1" hidden="1">255</definedName>
    <definedName name="_Sort" hidden="1">#REF!</definedName>
    <definedName name="AdminRate">'ProData'!$B$19</definedName>
    <definedName name="Alloc_File">#REF!</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_File">#REF!</definedName>
    <definedName name="MCSSDataFile">'ProData'!$B$21</definedName>
    <definedName name="OMShr1">'ProData'!$B$11</definedName>
    <definedName name="PC_Main">[0]!PC_Main</definedName>
    <definedName name="_xlnm.Print_Area" localSheetId="8">' Existing SphtSysType PNRES'!$A$74:$G$89</definedName>
    <definedName name="_xlnm.Print_Area" localSheetId="3">'Bulb Assumptions'!#REF!</definedName>
    <definedName name="_xlnm.Print_Area" localSheetId="5">'Fixture Assumptions'!#REF!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4.xml><?xml version="1.0" encoding="utf-8"?>
<comments xmlns="http://schemas.openxmlformats.org/spreadsheetml/2006/main">
  <authors>
    <author>A satisfied Microsoft Office user</author>
  </authors>
  <commentList>
    <comment ref="A11" authorId="0">
      <text>
        <r>
          <rPr>
            <sz val="6"/>
            <rFont val="Tahoma"/>
            <family val="0"/>
          </rPr>
          <t>From NW Conservation and Electric Power Plan</t>
        </r>
      </text>
    </comment>
    <comment ref="A12" authorId="0">
      <text>
        <r>
          <rPr>
            <sz val="6"/>
            <rFont val="Tahoma"/>
            <family val="0"/>
          </rPr>
          <t>From NW Conservation and Electric Power Plan</t>
        </r>
      </text>
    </comment>
    <comment ref="A14" authorId="0">
      <text>
        <r>
          <rPr>
            <sz val="6"/>
            <rFont val="Tahoma"/>
            <family val="0"/>
          </rPr>
          <t>From NW Conservation and Electric Power Plan</t>
        </r>
      </text>
    </comment>
    <comment ref="A15" authorId="0">
      <text>
        <r>
          <rPr>
            <sz val="6"/>
            <rFont val="Tahoma"/>
            <family val="0"/>
          </rPr>
          <t>Assumed utility rebate to mfg without admin.</t>
        </r>
      </text>
    </comment>
    <comment ref="A10" authorId="0">
      <text>
        <r>
          <rPr>
            <sz val="6"/>
            <rFont val="Tahoma"/>
            <family val="0"/>
          </rPr>
          <t>From previous LightWise activities.</t>
        </r>
      </text>
    </comment>
    <comment ref="A16" authorId="0">
      <text>
        <r>
          <rPr>
            <sz val="6"/>
            <rFont val="Tahoma"/>
            <family val="0"/>
          </rPr>
          <t>From NW Conservation and Electric Power Plan</t>
        </r>
      </text>
    </comment>
    <comment ref="A17" authorId="0">
      <text>
        <r>
          <rPr>
            <sz val="6"/>
            <rFont val="Tahoma"/>
            <family val="0"/>
          </rPr>
          <t>From NW Conservation and Electric Power Plan</t>
        </r>
      </text>
    </comment>
    <comment ref="A18" authorId="0">
      <text>
        <r>
          <rPr>
            <sz val="6"/>
            <rFont val="Tahoma"/>
            <family val="0"/>
          </rPr>
          <t>From Interaction Tab</t>
        </r>
      </text>
    </comment>
    <comment ref="A19" authorId="0">
      <text>
        <r>
          <rPr>
            <sz val="6"/>
            <rFont val="Tahoma"/>
            <family val="0"/>
          </rPr>
          <t>From NW Conservation and Electric Power Plan</t>
        </r>
      </text>
    </comment>
    <comment ref="A20" authorId="0">
      <text>
        <r>
          <rPr>
            <sz val="6"/>
            <rFont val="Tahoma"/>
            <family val="0"/>
          </rPr>
          <t>Assumes incandescents last 750 hours.</t>
        </r>
      </text>
    </comment>
    <comment ref="A22" authorId="0">
      <text>
        <r>
          <rPr>
            <sz val="6"/>
            <rFont val="Tahoma"/>
            <family val="0"/>
          </rPr>
          <t xml:space="preserve">Takeback is included in the calculation of utility levelized cost, but not in the total resource cost.  </t>
        </r>
      </text>
    </comment>
    <comment ref="A23" authorId="0">
      <text>
        <r>
          <rPr>
            <sz val="6"/>
            <rFont val="Tahoma"/>
            <family val="0"/>
          </rPr>
          <t xml:space="preserve">Takeback is not included in the total resouce cost calculation, but is used in the utility cost calculation.  </t>
        </r>
      </text>
    </comment>
    <comment ref="A26" authorId="0">
      <text>
        <r>
          <rPr>
            <sz val="6"/>
            <rFont val="Tahoma"/>
            <family val="0"/>
          </rPr>
          <t>Assumes incandescents last 750 hours.</t>
        </r>
      </text>
    </comment>
  </commentList>
</comments>
</file>

<file path=xl/comments6.xml><?xml version="1.0" encoding="utf-8"?>
<comments xmlns="http://schemas.openxmlformats.org/spreadsheetml/2006/main">
  <authors>
    <author>A satisfied Microsoft Office user</author>
  </authors>
  <commentList>
    <comment ref="A15" authorId="0">
      <text>
        <r>
          <rPr>
            <sz val="9"/>
            <rFont val="Tahoma"/>
            <family val="2"/>
          </rPr>
          <t xml:space="preserve">Migration is ignored.  12% removal assumes some component of consumer education, and continued product improvement.  </t>
        </r>
      </text>
    </comment>
    <comment ref="A16" authorId="0">
      <text>
        <r>
          <rPr>
            <sz val="9"/>
            <rFont val="Tahoma"/>
            <family val="2"/>
          </rPr>
          <t xml:space="preserve">Takeback is assumed to be higher in exterior appliacations since people will likely use the lights for additional security.  </t>
        </r>
      </text>
    </comment>
    <comment ref="A17" authorId="0">
      <text>
        <r>
          <rPr>
            <sz val="9"/>
            <rFont val="Tahoma"/>
            <family val="2"/>
          </rPr>
          <t xml:space="preserve">Weighted average based on 35% of the savings being lost (i.e. space heater has to replace the loss of these internal gains with space heating use) in an electrically heated house and 16% of the value of savings being lost in a gas heated house.  </t>
        </r>
      </text>
    </comment>
    <comment ref="A20" authorId="0">
      <text>
        <r>
          <rPr>
            <sz val="9"/>
            <rFont val="Tahoma"/>
            <family val="2"/>
          </rPr>
          <t xml:space="preserve">Takeback is not included in the total resouce cost calculation, but is used in the utility cost calculation.  </t>
        </r>
      </text>
    </comment>
    <comment ref="A21" authorId="0">
      <text>
        <r>
          <rPr>
            <sz val="9"/>
            <rFont val="Tahoma"/>
            <family val="2"/>
          </rPr>
          <t xml:space="preserve">Takeback is included in the calculation of utility levelized cost, but not in the total resource cost. </t>
        </r>
        <r>
          <rPr>
            <sz val="6"/>
            <rFont val="Tahoma"/>
            <family val="0"/>
          </rPr>
          <t xml:space="preserve"> </t>
        </r>
      </text>
    </comment>
  </commentList>
</comments>
</file>

<file path=xl/comments8.xml><?xml version="1.0" encoding="utf-8"?>
<comments xmlns="http://schemas.openxmlformats.org/spreadsheetml/2006/main">
  <authors>
    <author>Tom Eckman</author>
  </authors>
  <commentList>
    <comment ref="D6" authorId="0">
      <text>
        <r>
          <rPr>
            <b/>
            <sz val="8"/>
            <rFont val="Tahoma"/>
            <family val="0"/>
          </rPr>
          <t>Tom Eckman:</t>
        </r>
        <r>
          <rPr>
            <sz val="8"/>
            <rFont val="Tahoma"/>
            <family val="0"/>
          </rPr>
          <t xml:space="preserve">
Stock Average HSPF in 2025 Assumed to Equal 2007 Federal Standard (7.7) adjusted for PNW Climates and duct system efficiency</t>
        </r>
      </text>
    </comment>
    <comment ref="A10" authorId="0">
      <text>
        <r>
          <rPr>
            <b/>
            <sz val="8"/>
            <rFont val="Tahoma"/>
            <family val="0"/>
          </rPr>
          <t>Tom Eckman:</t>
        </r>
        <r>
          <rPr>
            <sz val="8"/>
            <rFont val="Tahoma"/>
            <family val="0"/>
          </rPr>
          <t xml:space="preserve">
Stock Average cooling SEER in 2025 assumed to be equal to 2007 federal standard (12) adjusted for PNW climates and duct system efficiency</t>
        </r>
      </text>
    </comment>
  </commentList>
</comments>
</file>

<file path=xl/comments9.xml><?xml version="1.0" encoding="utf-8"?>
<comments xmlns="http://schemas.openxmlformats.org/spreadsheetml/2006/main">
  <authors>
    <author>Tom Eckman</author>
  </authors>
  <commentList>
    <comment ref="C79" authorId="0">
      <text>
        <r>
          <rPr>
            <b/>
            <sz val="8"/>
            <rFont val="Tahoma"/>
            <family val="0"/>
          </rPr>
          <t>Tom Eckman:</t>
        </r>
        <r>
          <rPr>
            <sz val="8"/>
            <rFont val="Tahoma"/>
            <family val="0"/>
          </rPr>
          <t xml:space="preserve">
Based on Xnergy baseline data from phone survey
</t>
        </r>
      </text>
    </comment>
    <comment ref="C80" authorId="0">
      <text>
        <r>
          <rPr>
            <b/>
            <sz val="8"/>
            <rFont val="Tahoma"/>
            <family val="0"/>
          </rPr>
          <t>Tom Eckman:</t>
        </r>
        <r>
          <rPr>
            <sz val="8"/>
            <rFont val="Tahoma"/>
            <family val="0"/>
          </rPr>
          <t xml:space="preserve">
Based on PSE &amp; PGE pilot ratio of site visits to completed duct sealing jobs</t>
        </r>
      </text>
    </comment>
  </commentList>
</comments>
</file>

<file path=xl/sharedStrings.xml><?xml version="1.0" encoding="utf-8"?>
<sst xmlns="http://schemas.openxmlformats.org/spreadsheetml/2006/main" count="847" uniqueCount="498">
  <si>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</si>
  <si>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</si>
  <si>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</si>
  <si>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</si>
  <si>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</si>
  <si>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</si>
  <si>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</si>
  <si>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</si>
  <si>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</si>
  <si>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</si>
  <si>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</si>
  <si>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</si>
  <si>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</si>
  <si>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</si>
  <si>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</si>
  <si>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</si>
  <si>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</si>
  <si>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</si>
  <si>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</si>
  <si>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</si>
  <si>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</si>
  <si>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</si>
  <si>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</si>
  <si>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</si>
  <si>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</si>
  <si>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</si>
  <si>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</si>
  <si>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</si>
  <si>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</si>
  <si>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</si>
  <si>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</si>
  <si>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</si>
  <si>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</si>
  <si>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</si>
  <si>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</si>
  <si>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</si>
  <si>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</si>
  <si>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</si>
  <si>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</si>
  <si>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</si>
  <si>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</si>
  <si>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</si>
  <si>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</si>
  <si>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</si>
  <si>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</si>
  <si>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</si>
  <si>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</si>
  <si>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</si>
  <si>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</si>
  <si>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</si>
  <si>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</si>
  <si>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</si>
  <si>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</si>
  <si>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</si>
  <si>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</si>
  <si>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</si>
  <si>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</si>
  <si>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</si>
  <si>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</si>
  <si>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</si>
  <si>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</si>
  <si>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</si>
  <si>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</si>
  <si>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</si>
  <si>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</si>
  <si>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</si>
  <si>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</si>
  <si>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</si>
  <si>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</si>
  <si>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</si>
  <si>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</si>
  <si>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</si>
  <si>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</si>
  <si>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</si>
  <si>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</si>
  <si>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</si>
  <si>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</si>
  <si>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</si>
  <si>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</si>
  <si>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</si>
  <si>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</si>
  <si>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</si>
  <si>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</si>
  <si>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</si>
  <si>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</si>
  <si>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</si>
  <si>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</si>
  <si>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</si>
  <si>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</si>
  <si>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</si>
  <si>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</si>
  <si>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</si>
  <si>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</si>
  <si>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</si>
  <si>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</si>
  <si>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</si>
  <si>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</si>
  <si>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</si>
  <si>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</si>
  <si>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</si>
  <si>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</si>
  <si>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</si>
  <si>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</si>
  <si>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</si>
  <si>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</si>
  <si>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</si>
  <si>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</si>
  <si>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</si>
  <si>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</si>
  <si>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</si>
  <si>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</si>
  <si>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</si>
  <si>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</si>
  <si>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</si>
  <si>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</si>
  <si>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</si>
  <si>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</si>
  <si>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</si>
  <si>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</si>
  <si>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</si>
  <si>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</si>
  <si>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</si>
  <si>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</si>
  <si>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</si>
  <si>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</si>
  <si>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</si>
  <si>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</si>
  <si>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</si>
  <si>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 xml:space="preserve">Manufacturer, Dealer or Consumer Rebate </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</si>
  <si>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</si>
  <si>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</si>
  <si>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</si>
  <si>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</si>
  <si>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</si>
  <si>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</si>
  <si>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</si>
  <si>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</si>
  <si>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</si>
  <si>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</si>
  <si>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</si>
  <si>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</si>
  <si>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</si>
  <si>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</si>
  <si>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</si>
  <si>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</si>
  <si>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</si>
  <si>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</si>
  <si>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</si>
  <si>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</si>
  <si>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</si>
  <si>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</si>
  <si>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</si>
  <si>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</si>
  <si>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</si>
  <si>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</si>
  <si>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Regionwide</t>
  </si>
  <si>
    <t>MeasureTable</t>
  </si>
  <si>
    <t>Conservation Load Shapes</t>
  </si>
  <si>
    <t>Residential Lighting</t>
  </si>
  <si>
    <t>Deemed</t>
  </si>
  <si>
    <t>Reduced operation and maintenance costs due to fewer lamp replacements.</t>
  </si>
  <si>
    <t>Reduced solid waste production from used lamps.</t>
  </si>
  <si>
    <t>CFL &amp; CFL Fixtures</t>
  </si>
  <si>
    <t>Savings (kwh/yr)</t>
  </si>
  <si>
    <t>Phys Life (yrs)</t>
  </si>
  <si>
    <t>Non-E Val ($/yr)</t>
  </si>
  <si>
    <t>ResLIGHT</t>
  </si>
  <si>
    <t>CFL Vanity Fixture</t>
  </si>
  <si>
    <t>CFL Pendant Fixture</t>
  </si>
  <si>
    <t>Fluorescent Strip Lighting (per foot) 4' avg.</t>
  </si>
  <si>
    <t>Fluorescent Torchieres</t>
  </si>
  <si>
    <t>CFL Wall Sconce Fixture</t>
  </si>
  <si>
    <t>CFL Ceiling Flush Mount Fixture</t>
  </si>
  <si>
    <t>CFL Coach &amp; Lantern Fixtures</t>
  </si>
  <si>
    <t>CFL Porch Light Fixture</t>
  </si>
  <si>
    <t xml:space="preserve">CFL Flood Light Fixture </t>
  </si>
  <si>
    <t>Average - CFL Interior Fixture</t>
  </si>
  <si>
    <t>Average - CFL Exterior Fixture</t>
  </si>
  <si>
    <t>Average - All CFL Fixtures</t>
  </si>
  <si>
    <t>Entered assumption</t>
  </si>
  <si>
    <t>See cell comments for more information</t>
  </si>
  <si>
    <t>Calculated</t>
  </si>
  <si>
    <t>Used directly on ProCost</t>
  </si>
  <si>
    <t>Calculation of watts displaced</t>
  </si>
  <si>
    <t>Interior - 15 Watt CFL</t>
  </si>
  <si>
    <t>Interior - 20 Watt CFL</t>
  </si>
  <si>
    <t>Interior -23 Watt CFL</t>
  </si>
  <si>
    <t>Interior -26 Watt CFL</t>
  </si>
  <si>
    <t>Exterior-23 Watt CFL</t>
  </si>
  <si>
    <t>Exterior-26 Watt CFL</t>
  </si>
  <si>
    <t>Average - Interior CFL</t>
  </si>
  <si>
    <t>Average - Exterior CFL</t>
  </si>
  <si>
    <t>Weighted Average Interior &amp; Exterior CFL</t>
  </si>
  <si>
    <t>Existing Wattage</t>
  </si>
  <si>
    <t>New Wattage</t>
  </si>
  <si>
    <t>Watts Displaced</t>
  </si>
  <si>
    <t>Number of bulbs</t>
  </si>
  <si>
    <t>Sales Weight</t>
  </si>
  <si>
    <t>Sales Weighted Average Watts Displaced</t>
  </si>
  <si>
    <t>=&gt;</t>
  </si>
  <si>
    <t>Base Case Wattage</t>
  </si>
  <si>
    <t>CFL Wattage</t>
  </si>
  <si>
    <t>Hours On/Day</t>
  </si>
  <si>
    <t>Total:</t>
  </si>
  <si>
    <t>Lifetime (Hours)</t>
  </si>
  <si>
    <t>This information comes from the 3-month previous Lightsaver activities.</t>
  </si>
  <si>
    <t>Lifetime (yrs)</t>
  </si>
  <si>
    <t>Out of the 49,520 bulbs from Lightsaver, 47,706 came from Lights of America.</t>
  </si>
  <si>
    <t>Measure Cost (Total)</t>
  </si>
  <si>
    <t>Incremental Measure Cost</t>
  </si>
  <si>
    <t>Removal</t>
  </si>
  <si>
    <t>Take-back</t>
  </si>
  <si>
    <t>Space Conditioning Interaction</t>
  </si>
  <si>
    <t>Incandescent bulb cost</t>
  </si>
  <si>
    <t># incand replacmts (at 750 hrs life/bulb)</t>
  </si>
  <si>
    <t>Monthly cost of incan (for PV)</t>
  </si>
  <si>
    <t>KWh/yr savings w/o takeback (TRC)</t>
  </si>
  <si>
    <t>kWh/yr w/ takeback (Utility)</t>
  </si>
  <si>
    <t>Annual O&amp;M Savings from Avoided Incand.</t>
  </si>
  <si>
    <t>Incandescent cost/bulb</t>
  </si>
  <si>
    <t># incand replacements (at 750 hrs life/bulb)</t>
  </si>
  <si>
    <t>Incand bulb cost over life of CFL</t>
  </si>
  <si>
    <t>Annual O &amp; M Savings</t>
  </si>
  <si>
    <t>Subcompact Flourescent Prices (as of 3/6/00)</t>
  </si>
  <si>
    <t>Source: Lights of America (www.lightsofamerica.com)</t>
  </si>
  <si>
    <t>Model</t>
  </si>
  <si>
    <t>Description</t>
  </si>
  <si>
    <t>Price</t>
  </si>
  <si>
    <t>Lumens</t>
  </si>
  <si>
    <t>Wattage</t>
  </si>
  <si>
    <t>Incd. Equivalent Wattage</t>
  </si>
  <si>
    <t>Life(hrs)</t>
  </si>
  <si>
    <t>Assumed Application</t>
  </si>
  <si>
    <t>2415C</t>
  </si>
  <si>
    <t>Twister - Mid Power Factor</t>
  </si>
  <si>
    <t>Indoor</t>
  </si>
  <si>
    <t>2420C</t>
  </si>
  <si>
    <t>Source: Sunpark (www,sunpkco.com)</t>
  </si>
  <si>
    <t>SP15S</t>
  </si>
  <si>
    <t>Twister - High Power Factor</t>
  </si>
  <si>
    <t>SP20S</t>
  </si>
  <si>
    <t>SP23S</t>
  </si>
  <si>
    <t>Outdoor</t>
  </si>
  <si>
    <t>Source: JKRL (www.jkrl.com)</t>
  </si>
  <si>
    <t>YERSB15P</t>
  </si>
  <si>
    <t>YERSB20P</t>
  </si>
  <si>
    <t>YERSB23P</t>
  </si>
  <si>
    <t>YERSB26P</t>
  </si>
  <si>
    <t>Fixture Cost and Savings Assumptions</t>
  </si>
  <si>
    <t>Entered</t>
  </si>
  <si>
    <t>See "Fixture Data" worksheet for additional information</t>
  </si>
  <si>
    <t>Used directly by ProCost</t>
  </si>
  <si>
    <t>Entered from Fixture Data Sheet</t>
  </si>
  <si>
    <t>Weights</t>
  </si>
  <si>
    <t>Interior/Exterior Weights based on national sales weights. See Fixture Data tab.</t>
  </si>
  <si>
    <t>Lifetime (Hours) of bulbs</t>
  </si>
  <si>
    <t>Kept same numbers as bulbs</t>
  </si>
  <si>
    <t>Lifetime (years) -- fixture</t>
  </si>
  <si>
    <t>Lifetime (years) with given on-time -- bulb</t>
  </si>
  <si>
    <t>Calculated from lifetime and on-time</t>
  </si>
  <si>
    <t>Initial Measure Cost (Total)</t>
  </si>
  <si>
    <t>Total price as found on fixture data sheet</t>
  </si>
  <si>
    <t>Incremental Cost</t>
  </si>
  <si>
    <t>Incremental cost as found on fixture data sheet</t>
  </si>
  <si>
    <t>Watts Displaced (fixture &amp; bulb together)</t>
  </si>
  <si>
    <t>Calculated on fixture data sheet</t>
  </si>
  <si>
    <t>Assumed to be very low due to permanence of fixture</t>
  </si>
  <si>
    <t># incand replacements for bulb life</t>
  </si>
  <si>
    <t># incand replacements for fixture life</t>
  </si>
  <si>
    <t>Incandescent fixture life same as high efficiency</t>
  </si>
  <si>
    <t>kWh/yr w/out takeback (TRC)</t>
  </si>
  <si>
    <t>KWh/yr savings w/takeback (Utility)</t>
  </si>
  <si>
    <t>Annual O&amp;M Savings</t>
  </si>
  <si>
    <t>Fixture life is the same for both incnd. and CFL</t>
  </si>
  <si>
    <t>Ballast life for CFL fixture is rated at 50k hours</t>
  </si>
  <si>
    <t>No ballast replacement cost during 15 yr life</t>
  </si>
  <si>
    <t>Lifetime of CFL bulb given on time (years)</t>
  </si>
  <si>
    <t xml:space="preserve">years </t>
  </si>
  <si>
    <t>Lifetime of inc. bulb given on-time (yrs)</t>
  </si>
  <si>
    <t>Number of inc. lifetimes per EE lifetime</t>
  </si>
  <si>
    <t>Incd. Bulbs/CFL bulb</t>
  </si>
  <si>
    <t>Cost of CFL bulb replacement (w/o ballast)</t>
  </si>
  <si>
    <t>Assumes ballast is integrated into fixture.</t>
  </si>
  <si>
    <t>Cost of inc. bulb replacement</t>
  </si>
  <si>
    <t>Yearly inc. bulb replacement cost</t>
  </si>
  <si>
    <t>Fixture Market Information</t>
  </si>
  <si>
    <t>Data Source: PECI Baseline survey for LiteWise and NEEA, MPER#2 on Energy Star Fixtures (Report # E99-035).</t>
  </si>
  <si>
    <t>Estimated Total Market</t>
  </si>
  <si>
    <t>% of Total</t>
  </si>
  <si>
    <t>Average Incand. Price</t>
  </si>
  <si>
    <t>Incandescent weighted cost</t>
  </si>
  <si>
    <t>Average EE Price</t>
  </si>
  <si>
    <t>EE Weighted Cost</t>
  </si>
  <si>
    <t>Weighted cost of increment</t>
  </si>
  <si>
    <t>Weighted Watts</t>
  </si>
  <si>
    <t xml:space="preserve">Vanity </t>
  </si>
  <si>
    <t>Pendant</t>
  </si>
  <si>
    <t>Strip Lighting (per foot) 4' avg.</t>
  </si>
  <si>
    <t>Wall Sconce</t>
  </si>
  <si>
    <t>Ceiling Flush Mount</t>
  </si>
  <si>
    <t xml:space="preserve">9"  Decorative </t>
  </si>
  <si>
    <t xml:space="preserve">13"  Decorative </t>
  </si>
  <si>
    <t xml:space="preserve">14"&amp;15"  Decorative </t>
  </si>
  <si>
    <t>Weighted Average:</t>
  </si>
  <si>
    <t>Coaches/Lanterns</t>
  </si>
  <si>
    <t>Porch</t>
  </si>
  <si>
    <t>High Pressure Sodium</t>
  </si>
  <si>
    <t>No Data</t>
  </si>
  <si>
    <t xml:space="preserve">Flood </t>
  </si>
  <si>
    <t>Par (Incand)</t>
  </si>
  <si>
    <t>Halogen</t>
  </si>
  <si>
    <t>Market Share</t>
  </si>
  <si>
    <t>Interior</t>
  </si>
  <si>
    <t>Exterior</t>
  </si>
  <si>
    <t>User Inputs</t>
  </si>
  <si>
    <t>Space Conditioning Interaction Assumptions</t>
  </si>
  <si>
    <t>FAF</t>
  </si>
  <si>
    <t xml:space="preserve">Zonal </t>
  </si>
  <si>
    <t>Heat Pump</t>
  </si>
  <si>
    <t>Sales Weighted Average</t>
  </si>
  <si>
    <t>Heating System Efficiency</t>
  </si>
  <si>
    <t>Central Cooling System Efficiency***</t>
  </si>
  <si>
    <t>Central Cooling Market Share</t>
  </si>
  <si>
    <t>Space Heating Interaction Calculation</t>
  </si>
  <si>
    <t>Parameter</t>
  </si>
  <si>
    <t>Weighted Average</t>
  </si>
  <si>
    <t>% Lighting</t>
  </si>
  <si>
    <t>% SpHtInteraction</t>
  </si>
  <si>
    <t>% ElecSpHt Share**</t>
  </si>
  <si>
    <t>% ElecSpCoolShare</t>
  </si>
  <si>
    <t>%SpCoolInteraction****</t>
  </si>
  <si>
    <t>SpHtInteraction (debit)</t>
  </si>
  <si>
    <t>SpCoolInteraction (credit)</t>
  </si>
  <si>
    <t>Weighted Average Interaction</t>
  </si>
  <si>
    <t>Primary Space Heating System and Equipment</t>
  </si>
  <si>
    <t>Source: 1992 PNW Residential Survey</t>
  </si>
  <si>
    <t>Oregon</t>
  </si>
  <si>
    <t>Washington</t>
  </si>
  <si>
    <t>Idaho</t>
  </si>
  <si>
    <t>W. Montana</t>
  </si>
  <si>
    <t>Region</t>
  </si>
  <si>
    <t>Natural Gas</t>
  </si>
  <si>
    <t>Number</t>
  </si>
  <si>
    <t>% of Gas</t>
  </si>
  <si>
    <t>Steam &amp; Hot Water</t>
  </si>
  <si>
    <t>Wall, Floor &amp; Ceiling Units</t>
  </si>
  <si>
    <t>Portable</t>
  </si>
  <si>
    <t>Central FAF</t>
  </si>
  <si>
    <t>Other</t>
  </si>
  <si>
    <t>Oil</t>
  </si>
  <si>
    <t>Electric</t>
  </si>
  <si>
    <t>Portable Room Heaters</t>
  </si>
  <si>
    <t>Radiant Panels</t>
  </si>
  <si>
    <t>Baseboard/Wall units</t>
  </si>
  <si>
    <t>Wood</t>
  </si>
  <si>
    <t>Free Standing Stove</t>
  </si>
  <si>
    <t>Free-Standing Pellet Stove</t>
  </si>
  <si>
    <t>Fireplace Insert</t>
  </si>
  <si>
    <t>Fireplace</t>
  </si>
  <si>
    <t>Sub-Totals</t>
  </si>
  <si>
    <t>Units</t>
  </si>
  <si>
    <t>HP</t>
  </si>
  <si>
    <t>Total FAF</t>
  </si>
  <si>
    <t>Gas</t>
  </si>
  <si>
    <t>Space Heating Fuels: System and Equipment by Dwelling Type</t>
  </si>
  <si>
    <t>Fossil</t>
  </si>
  <si>
    <t>Manf. Hm</t>
  </si>
  <si>
    <t>S.Family</t>
  </si>
  <si>
    <t>M.Family</t>
  </si>
  <si>
    <t>Steam/Hot Water</t>
  </si>
  <si>
    <t>Wall, Floor or Ceiling</t>
  </si>
  <si>
    <t>Central Furnace</t>
  </si>
  <si>
    <t>Sub -Total</t>
  </si>
  <si>
    <t>Baseboard</t>
  </si>
  <si>
    <t>Sub - Total</t>
  </si>
  <si>
    <t>Fossil &amp; Electric - Total</t>
  </si>
  <si>
    <t>Total Households</t>
  </si>
  <si>
    <t>Central Forced Air Systems - Existing Housing</t>
  </si>
  <si>
    <t>Manufactured Homes</t>
  </si>
  <si>
    <t>Single Family Homes</t>
  </si>
  <si>
    <t>Percent</t>
  </si>
  <si>
    <t>Oil/Gas Furnace</t>
  </si>
  <si>
    <t>Electric Heat Pump</t>
  </si>
  <si>
    <t>Electric Forced-Air Furnace</t>
  </si>
  <si>
    <t>Crawlspace Foundation Types (Source: Xnergy Baseline)</t>
  </si>
  <si>
    <t>Full</t>
  </si>
  <si>
    <t>Partial</t>
  </si>
  <si>
    <t>1992 Stock</t>
  </si>
  <si>
    <t>Housing Units</t>
  </si>
  <si>
    <t>All Homes</t>
  </si>
  <si>
    <t>Fossil or Electric Heat</t>
  </si>
  <si>
    <t>Single Family or Manf. Home</t>
  </si>
  <si>
    <t>FAF or HP</t>
  </si>
  <si>
    <t>Ducts in crawlspace</t>
  </si>
  <si>
    <t>Duct need sealing</t>
  </si>
  <si>
    <t>1998 Estimated Stock</t>
  </si>
  <si>
    <t>Pacific Northwest Electric Air Condition Saturation by Location</t>
  </si>
  <si>
    <t>Type</t>
  </si>
  <si>
    <t>Western Washington</t>
  </si>
  <si>
    <t>Western Oregon</t>
  </si>
  <si>
    <t>Eastern Washington</t>
  </si>
  <si>
    <t>Eastern Oregon</t>
  </si>
  <si>
    <t>Western Montana</t>
  </si>
  <si>
    <t>PNW Region</t>
  </si>
  <si>
    <t>Central Electric System</t>
  </si>
  <si>
    <t>Central Gas System</t>
  </si>
  <si>
    <t>Evaporative Swamp Cooler</t>
  </si>
  <si>
    <t>No Central Air Conditioner</t>
  </si>
  <si>
    <t>Don't Know</t>
  </si>
  <si>
    <t>Refused</t>
  </si>
  <si>
    <t>Source: 1992 Pacific Northwest Residential Energy Survey, Volume C. Bonneville Power Administration. June 1993. Doc. PNWRES92.</t>
  </si>
  <si>
    <t>Other Central AC</t>
  </si>
  <si>
    <t>No Cnetral AC</t>
  </si>
  <si>
    <t>Portland</t>
  </si>
  <si>
    <t>Seattle</t>
  </si>
  <si>
    <t>Boise</t>
  </si>
  <si>
    <t>Spokane</t>
  </si>
  <si>
    <t>Missoula</t>
  </si>
  <si>
    <t>Shipment Weighted SEERs of Unitary Air Conditioners and Heat Pumps</t>
  </si>
  <si>
    <t>Year</t>
  </si>
  <si>
    <t xml:space="preserve">Unitary Air Conditioners </t>
  </si>
  <si>
    <t>Unitary Heat Pumps</t>
  </si>
  <si>
    <t xml:space="preserve">Source: Table 5.11 in Technical Support Document:  Energy Efficiency Standards for Consumer Products:   </t>
  </si>
  <si>
    <t>Residential Central Air Conditioners and Heat Pumps. US DOE.</t>
  </si>
  <si>
    <t>Annual Residential Lighting Load Shape</t>
  </si>
  <si>
    <t>Segment</t>
  </si>
  <si>
    <t>Jan</t>
  </si>
  <si>
    <t>Feb</t>
  </si>
  <si>
    <t>Mar</t>
  </si>
  <si>
    <t>Apr</t>
  </si>
  <si>
    <t>May</t>
  </si>
  <si>
    <t>Jun</t>
  </si>
  <si>
    <t>Jul</t>
  </si>
  <si>
    <t>Aug</t>
  </si>
  <si>
    <t>Sep</t>
  </si>
  <si>
    <t>Oct</t>
  </si>
  <si>
    <t>Nov</t>
  </si>
  <si>
    <t>Dec</t>
  </si>
  <si>
    <t>% of Annual Use</t>
  </si>
  <si>
    <t>Relative Use</t>
  </si>
  <si>
    <t>Avg Jun-Sept</t>
  </si>
  <si>
    <t>Avg Jan-May &amp; Oct-Dec</t>
  </si>
  <si>
    <t>Ratio</t>
  </si>
  <si>
    <r>
      <t xml:space="preserve">CFL </t>
    </r>
    <r>
      <rPr>
        <b/>
        <sz val="10"/>
        <rFont val="Arial"/>
        <family val="2"/>
      </rPr>
      <t xml:space="preserve">Bulb </t>
    </r>
    <r>
      <rPr>
        <b/>
        <sz val="10"/>
        <rFont val="Arial"/>
        <family val="0"/>
      </rPr>
      <t>Cost and Savings Assumptions</t>
    </r>
  </si>
  <si>
    <r>
      <t>Indoor</t>
    </r>
    <r>
      <rPr>
        <sz val="10"/>
        <rFont val="Arial"/>
        <family val="2"/>
      </rPr>
      <t xml:space="preserve"> Fixture Type</t>
    </r>
  </si>
  <si>
    <r>
      <t>Outdoor</t>
    </r>
    <r>
      <rPr>
        <sz val="10"/>
        <rFont val="Arial"/>
        <family val="2"/>
      </rPr>
      <t xml:space="preserve"> Fixture Type</t>
    </r>
  </si>
  <si>
    <t>CFL Fixtures</t>
  </si>
  <si>
    <t>Bulb Assumptions</t>
  </si>
  <si>
    <t>CFL Data</t>
  </si>
  <si>
    <t>Fixture Assumptions</t>
  </si>
  <si>
    <t>Fixture Data</t>
  </si>
  <si>
    <t xml:space="preserve"> Existing SphtSysType PNRES</t>
  </si>
  <si>
    <t xml:space="preserve">Sales Wght Avg SEER by Vintage </t>
  </si>
  <si>
    <t>ResLight Load Shape</t>
  </si>
  <si>
    <t>The Northwest Energy Efficiency Alliance in supporting buying down the cost of fluorescent fixtures. For current information on this program see www.nwalliance.org. or contact the Alliance at 800-411-0834. The US Department of Energy is sponsoring a bulk procurement program for sub-compact fluorescent bulbs. Information on this program and links to online bulb sales can be found at http://www.pnl.gov/cfl/welcome.stm and at http://www.lightsite.net/.</t>
  </si>
  <si>
    <t>Energy Star CFL Vanity Fixture</t>
  </si>
  <si>
    <t>Energy Star CFL Pendant Fixture</t>
  </si>
  <si>
    <t>Energy Star Fluorescent Strip Lighting (per foot) 4' avg.</t>
  </si>
  <si>
    <t>Energy Star Fluorescent Torchieres</t>
  </si>
  <si>
    <t>Energy Star CFL Wall Sconce Fixture</t>
  </si>
  <si>
    <t>Energy Star CFL Ceiling Flush Mount Fixture</t>
  </si>
  <si>
    <t>Energy Star CFL Coach &amp; Lantern Fixtures</t>
  </si>
  <si>
    <t>Energy Star CFL Porch Light Fixture</t>
  </si>
  <si>
    <t>Energy Star CFL Flood Light Fixture</t>
  </si>
  <si>
    <t>Energy Star Average - CFL Interior Fixture</t>
  </si>
  <si>
    <t>Energy Star Average - CFL Exterior Fixture</t>
  </si>
  <si>
    <t>Energy Star Average - All CFL Fixtures</t>
  </si>
  <si>
    <t>CFL Ceiling Fan Fixture</t>
  </si>
  <si>
    <t>Energy Star CFL Ceiling Fan Fixture</t>
  </si>
  <si>
    <t xml:space="preserve">Space Conditioning Interaction Adjustment for CFL Lighting Savings </t>
  </si>
  <si>
    <t>Electric Heating Market Share in 2000*</t>
  </si>
  <si>
    <t>2025 Electric Heating Market Share**</t>
  </si>
  <si>
    <t>*Source: 2000 Census</t>
  </si>
  <si>
    <t xml:space="preserve">**Forecast electric space heating market share. </t>
  </si>
  <si>
    <t>***Stock average CAC SEER/3.413*100*.65*.75</t>
  </si>
  <si>
    <t>Stock average CAC SEER in 2025 assumption based on 2007 Federal Standard (SEER 12)</t>
  </si>
  <si>
    <t>JAN</t>
  </si>
  <si>
    <t>FEB</t>
  </si>
  <si>
    <t>MAR</t>
  </si>
  <si>
    <t>APR</t>
  </si>
  <si>
    <t>MAY</t>
  </si>
  <si>
    <t>JUN</t>
  </si>
  <si>
    <t>JUL</t>
  </si>
  <si>
    <t>AUG</t>
  </si>
  <si>
    <t>SEP</t>
  </si>
  <si>
    <t>OCT</t>
  </si>
  <si>
    <t>NOV</t>
  </si>
  <si>
    <t>DEC</t>
  </si>
  <si>
    <t>Monthly Lighting Energy (kWh)</t>
  </si>
  <si>
    <t>Monthly Lighting Energy (%)</t>
  </si>
  <si>
    <t>Monthly CAC Energy (%)</t>
  </si>
  <si>
    <t>Estar CFL Savings by Month (kWh)</t>
  </si>
  <si>
    <t>Standby Energy Savings during Cooling Season =&gt;</t>
  </si>
  <si>
    <t>% of Total CFL Savings During Cooling Season</t>
  </si>
  <si>
    <t>****Assumes that during cooling months that 50% of interior lighting loads contribute to space cooling.</t>
  </si>
  <si>
    <t>5th Plan Draft 092802</t>
  </si>
  <si>
    <t>ProCost Results, Version 1.70a: JPH 03/07/01, 03:09 PM 10/21/2002</t>
  </si>
  <si>
    <t>R:\TE\New Plan\Residential Resource Assessment\MC_AND_LOADSHAPE.XLS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</si>
</sst>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0.0_);\(#,##0.0\)"/>
    <numFmt numFmtId="178" formatCode="_(* #,##0.0_);_(* \(#,##0.0\);_(* &quot;-&quot;??_);_(@_)"/>
    <numFmt numFmtId="179" formatCode="#,##0.0"/>
    <numFmt numFmtId="180" formatCode="_(* #,##0.0_);_(* \(#,##0.0\);_(* &quot;-&quot;?_);_(@_)"/>
  </numFmts>
  <fonts count="33">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6"/>
      <name val="Tahoma"/>
      <family val="0"/>
    </font>
    <font>
      <sz val="12"/>
      <name val="Arial"/>
      <family val="0"/>
    </font>
    <font>
      <b/>
      <sz val="16"/>
      <name val="Arial"/>
      <family val="2"/>
    </font>
    <font>
      <b/>
      <i/>
      <sz val="14"/>
      <name val="Arial"/>
      <family val="2"/>
    </font>
    <font>
      <b/>
      <sz val="14"/>
      <name val="Arial"/>
      <family val="2"/>
    </font>
    <font>
      <b/>
      <sz val="12"/>
      <name val="Arial"/>
      <family val="2"/>
    </font>
    <font>
      <b/>
      <sz val="12"/>
      <name val="TimesNewRomanPS-BoldMT"/>
      <family val="0"/>
    </font>
    <font>
      <b/>
      <sz val="10"/>
      <name val="TimesNewRomanPS-BoldMT"/>
      <family val="0"/>
    </font>
    <font>
      <sz val="10"/>
      <name val="TimesNewRomanPSMT"/>
      <family val="0"/>
    </font>
    <font>
      <sz val="9"/>
      <name val="Tahoma"/>
      <family val="2"/>
    </font>
  </fonts>
  <fills count="1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s>
  <borders count="58">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thin"/>
      <top>
        <color indexed="63"/>
      </top>
      <bottom style="thin"/>
    </border>
    <border>
      <left style="medium"/>
      <right>
        <color indexed="63"/>
      </right>
      <top>
        <color indexed="63"/>
      </top>
      <bottom style="thin"/>
    </border>
    <border>
      <left style="medium"/>
      <right style="medium"/>
      <top>
        <color indexed="63"/>
      </top>
      <bottom style="thin"/>
    </border>
    <border>
      <left style="medium"/>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color indexed="63"/>
      </right>
      <top style="thin"/>
      <bottom style="medium"/>
    </border>
    <border>
      <left style="medium"/>
      <right style="medium"/>
      <top style="thin"/>
      <bottom style="medium"/>
    </border>
    <border>
      <left style="medium"/>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style="medium"/>
      <top style="medium"/>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9" fontId="0" fillId="0" borderId="0" applyFont="0" applyFill="0" applyBorder="0" applyAlignment="0" applyProtection="0"/>
  </cellStyleXfs>
  <cellXfs count="428">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0" fontId="0" fillId="0" borderId="0" xfId="0" applyAlignment="1">
      <alignment horizontal="right"/>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0" fontId="18" fillId="11" borderId="13" xfId="0" applyFont="1" applyFill="1" applyBorder="1" applyAlignment="1">
      <alignment horizontal="center" wrapText="1"/>
    </xf>
    <xf numFmtId="44" fontId="20" fillId="0" borderId="18" xfId="17" applyNumberFormat="1" applyFont="1" applyBorder="1" applyAlignment="1">
      <alignment horizontal="center" vertical="top" wrapText="1"/>
    </xf>
    <xf numFmtId="2" fontId="20" fillId="0" borderId="19" xfId="0" applyNumberFormat="1" applyFont="1" applyBorder="1" applyAlignment="1">
      <alignment horizontal="center" vertical="top" wrapText="1"/>
    </xf>
    <xf numFmtId="0" fontId="20" fillId="0" borderId="9" xfId="0" applyFont="1" applyBorder="1" applyAlignment="1">
      <alignment wrapText="1"/>
    </xf>
    <xf numFmtId="0" fontId="7" fillId="0" borderId="0" xfId="25" applyFont="1">
      <alignment/>
      <protection/>
    </xf>
    <xf numFmtId="0" fontId="0" fillId="0" borderId="0" xfId="25" applyFont="1">
      <alignment/>
      <protection/>
    </xf>
    <xf numFmtId="0" fontId="24" fillId="0" borderId="0" xfId="25">
      <alignment/>
      <protection/>
    </xf>
    <xf numFmtId="5" fontId="24" fillId="0" borderId="0" xfId="25" applyNumberFormat="1">
      <alignment/>
      <protection/>
    </xf>
    <xf numFmtId="165" fontId="24" fillId="0" borderId="0" xfId="25" applyNumberFormat="1">
      <alignment/>
      <protection/>
    </xf>
    <xf numFmtId="0" fontId="0" fillId="0" borderId="0" xfId="25" applyFont="1" applyAlignment="1">
      <alignment horizontal="left"/>
      <protection/>
    </xf>
    <xf numFmtId="0" fontId="12" fillId="7" borderId="20" xfId="0" applyFont="1" applyFill="1" applyBorder="1" applyAlignment="1">
      <alignment horizontal="center" wrapText="1"/>
    </xf>
    <xf numFmtId="168" fontId="0" fillId="0" borderId="0" xfId="26" applyNumberFormat="1" applyFont="1" applyAlignment="1">
      <alignment horizontal="left"/>
      <protection/>
    </xf>
    <xf numFmtId="3" fontId="0" fillId="0" borderId="0" xfId="26" applyNumberFormat="1" applyFont="1" applyAlignment="1">
      <alignment horizontal="center"/>
      <protection/>
    </xf>
    <xf numFmtId="179" fontId="0" fillId="0" borderId="0" xfId="26" applyNumberFormat="1" applyFont="1" applyAlignment="1">
      <alignment horizontal="center"/>
      <protection/>
    </xf>
    <xf numFmtId="8" fontId="0" fillId="0" borderId="0" xfId="26" applyNumberFormat="1" applyFont="1" applyAlignment="1">
      <alignment horizontal="right"/>
      <protection/>
    </xf>
    <xf numFmtId="44" fontId="0" fillId="0" borderId="0" xfId="17" applyFont="1" applyAlignment="1">
      <alignment horizontal="left"/>
    </xf>
    <xf numFmtId="4" fontId="0" fillId="0" borderId="0" xfId="26" applyNumberFormat="1" applyFont="1" applyAlignment="1">
      <alignment horizontal="left"/>
      <protection/>
    </xf>
    <xf numFmtId="1" fontId="0" fillId="0" borderId="0" xfId="0" applyNumberFormat="1" applyAlignment="1">
      <alignment horizontal="center"/>
    </xf>
    <xf numFmtId="179" fontId="0" fillId="0" borderId="0" xfId="0" applyNumberFormat="1" applyAlignment="1">
      <alignment horizontal="center"/>
    </xf>
    <xf numFmtId="44" fontId="0" fillId="0" borderId="0" xfId="0" applyNumberFormat="1" applyAlignment="1">
      <alignment/>
    </xf>
    <xf numFmtId="165" fontId="11" fillId="0" borderId="0" xfId="0" applyNumberFormat="1" applyFont="1" applyAlignment="1">
      <alignment/>
    </xf>
    <xf numFmtId="0" fontId="17" fillId="0" borderId="0" xfId="0" applyFont="1" applyAlignment="1">
      <alignment/>
    </xf>
    <xf numFmtId="0" fontId="0" fillId="0" borderId="3" xfId="0" applyFill="1" applyBorder="1" applyAlignment="1">
      <alignment/>
    </xf>
    <xf numFmtId="0" fontId="0" fillId="12" borderId="3" xfId="0" applyFill="1" applyBorder="1" applyAlignment="1">
      <alignment/>
    </xf>
    <xf numFmtId="0" fontId="0" fillId="13" borderId="3" xfId="0" applyFill="1" applyBorder="1" applyAlignment="1">
      <alignment/>
    </xf>
    <xf numFmtId="0" fontId="17" fillId="0" borderId="21" xfId="0" applyFont="1" applyBorder="1" applyAlignment="1">
      <alignment/>
    </xf>
    <xf numFmtId="0" fontId="0" fillId="0" borderId="14" xfId="0" applyBorder="1" applyAlignment="1">
      <alignment/>
    </xf>
    <xf numFmtId="0" fontId="0" fillId="0" borderId="15" xfId="0" applyBorder="1" applyAlignment="1">
      <alignment/>
    </xf>
    <xf numFmtId="0" fontId="0" fillId="3" borderId="16" xfId="0" applyFont="1" applyFill="1" applyBorder="1" applyAlignment="1">
      <alignment wrapText="1"/>
    </xf>
    <xf numFmtId="0" fontId="0" fillId="3" borderId="12" xfId="0" applyFont="1" applyFill="1" applyBorder="1" applyAlignment="1">
      <alignment wrapText="1"/>
    </xf>
    <xf numFmtId="0" fontId="0" fillId="3" borderId="13" xfId="0" applyFont="1" applyFill="1" applyBorder="1" applyAlignment="1">
      <alignment wrapText="1"/>
    </xf>
    <xf numFmtId="0" fontId="0" fillId="3" borderId="11" xfId="0" applyFont="1" applyFill="1" applyBorder="1" applyAlignment="1">
      <alignment wrapText="1"/>
    </xf>
    <xf numFmtId="0" fontId="0" fillId="0" borderId="22" xfId="0" applyBorder="1" applyAlignment="1">
      <alignment wrapText="1"/>
    </xf>
    <xf numFmtId="0" fontId="0" fillId="0" borderId="3" xfId="0" applyBorder="1" applyAlignment="1">
      <alignment wrapText="1"/>
    </xf>
    <xf numFmtId="0" fontId="0" fillId="0" borderId="5" xfId="0" applyBorder="1" applyAlignment="1">
      <alignment wrapText="1"/>
    </xf>
    <xf numFmtId="9" fontId="0" fillId="0" borderId="23" xfId="27" applyFont="1" applyBorder="1" applyAlignment="1">
      <alignment wrapText="1"/>
    </xf>
    <xf numFmtId="9" fontId="0" fillId="0" borderId="24" xfId="27" applyFont="1" applyBorder="1" applyAlignment="1">
      <alignment wrapText="1"/>
    </xf>
    <xf numFmtId="9" fontId="0" fillId="0" borderId="25" xfId="27" applyFont="1" applyBorder="1" applyAlignment="1">
      <alignment wrapText="1"/>
    </xf>
    <xf numFmtId="0" fontId="0" fillId="0" borderId="22" xfId="0" applyBorder="1" applyAlignment="1">
      <alignment/>
    </xf>
    <xf numFmtId="0" fontId="0" fillId="0" borderId="3" xfId="0" applyBorder="1" applyAlignment="1">
      <alignment/>
    </xf>
    <xf numFmtId="9" fontId="0" fillId="0" borderId="3" xfId="27" applyBorder="1" applyAlignment="1">
      <alignment/>
    </xf>
    <xf numFmtId="0" fontId="0" fillId="0" borderId="0" xfId="0" applyBorder="1" applyAlignment="1" quotePrefix="1">
      <alignment horizontal="right"/>
    </xf>
    <xf numFmtId="1" fontId="17" fillId="12" borderId="26" xfId="0" applyNumberFormat="1" applyFont="1" applyFill="1" applyBorder="1" applyAlignment="1">
      <alignment/>
    </xf>
    <xf numFmtId="0" fontId="0" fillId="0" borderId="22" xfId="0"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xf>
    <xf numFmtId="1" fontId="0" fillId="0" borderId="28" xfId="0" applyNumberFormat="1" applyFont="1" applyFill="1" applyBorder="1" applyAlignment="1">
      <alignment/>
    </xf>
    <xf numFmtId="0" fontId="0" fillId="0" borderId="0" xfId="0" applyFont="1" applyFill="1" applyAlignment="1">
      <alignment/>
    </xf>
    <xf numFmtId="0" fontId="0" fillId="0" borderId="0" xfId="0" applyBorder="1" applyAlignment="1">
      <alignment horizontal="right"/>
    </xf>
    <xf numFmtId="0" fontId="0" fillId="0" borderId="29" xfId="0" applyBorder="1" applyAlignment="1">
      <alignment/>
    </xf>
    <xf numFmtId="0" fontId="17" fillId="0" borderId="0" xfId="0" applyFont="1" applyBorder="1" applyAlignment="1">
      <alignment/>
    </xf>
    <xf numFmtId="0" fontId="17" fillId="0" borderId="29" xfId="0" applyFont="1" applyBorder="1" applyAlignment="1">
      <alignment/>
    </xf>
    <xf numFmtId="1" fontId="0" fillId="0" borderId="22" xfId="0" applyNumberFormat="1" applyFont="1" applyFill="1" applyBorder="1" applyAlignment="1">
      <alignment/>
    </xf>
    <xf numFmtId="0" fontId="0" fillId="0" borderId="29" xfId="0" applyFont="1" applyBorder="1" applyAlignment="1">
      <alignment/>
    </xf>
    <xf numFmtId="165" fontId="0" fillId="0" borderId="28" xfId="0" applyNumberFormat="1" applyFont="1" applyFill="1" applyBorder="1" applyAlignment="1">
      <alignment/>
    </xf>
    <xf numFmtId="0" fontId="17" fillId="0" borderId="30" xfId="0" applyFont="1" applyBorder="1" applyAlignment="1">
      <alignment horizontal="right"/>
    </xf>
    <xf numFmtId="9" fontId="17" fillId="0" borderId="0" xfId="27" applyFont="1" applyBorder="1" applyAlignment="1">
      <alignment/>
    </xf>
    <xf numFmtId="169" fontId="0" fillId="0" borderId="22" xfId="15" applyNumberFormat="1" applyFont="1" applyFill="1" applyBorder="1" applyAlignment="1">
      <alignment/>
    </xf>
    <xf numFmtId="169" fontId="0" fillId="0" borderId="27" xfId="15" applyNumberFormat="1" applyFont="1" applyFill="1" applyBorder="1" applyAlignment="1">
      <alignment/>
    </xf>
    <xf numFmtId="169" fontId="0" fillId="0" borderId="28" xfId="15" applyNumberFormat="1" applyFont="1" applyFill="1" applyBorder="1" applyAlignment="1">
      <alignment/>
    </xf>
    <xf numFmtId="0" fontId="0" fillId="0" borderId="30" xfId="0" applyFont="1" applyBorder="1" applyAlignment="1">
      <alignment/>
    </xf>
    <xf numFmtId="1" fontId="0" fillId="12" borderId="22" xfId="0" applyNumberFormat="1" applyFont="1" applyFill="1" applyBorder="1" applyAlignment="1">
      <alignment/>
    </xf>
    <xf numFmtId="1" fontId="0" fillId="12" borderId="27" xfId="0" applyNumberFormat="1" applyFont="1" applyFill="1" applyBorder="1" applyAlignment="1">
      <alignment/>
    </xf>
    <xf numFmtId="1" fontId="0" fillId="12" borderId="28" xfId="0" applyNumberFormat="1" applyFont="1" applyFill="1" applyBorder="1" applyAlignment="1">
      <alignment/>
    </xf>
    <xf numFmtId="165" fontId="0" fillId="13" borderId="22" xfId="0" applyNumberFormat="1" applyFont="1" applyFill="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44" fontId="0" fillId="0" borderId="22" xfId="17" applyFont="1" applyFill="1" applyBorder="1" applyAlignment="1">
      <alignment/>
    </xf>
    <xf numFmtId="44" fontId="0" fillId="0" borderId="7" xfId="17" applyFont="1" applyFill="1" applyBorder="1" applyAlignment="1">
      <alignment/>
    </xf>
    <xf numFmtId="44" fontId="0" fillId="0" borderId="6" xfId="17" applyFont="1" applyFill="1" applyBorder="1" applyAlignment="1">
      <alignment/>
    </xf>
    <xf numFmtId="44" fontId="0" fillId="0" borderId="28" xfId="17" applyFont="1" applyFill="1" applyBorder="1" applyAlignment="1">
      <alignment/>
    </xf>
    <xf numFmtId="44" fontId="0" fillId="13" borderId="22" xfId="17" applyFont="1" applyFill="1" applyBorder="1" applyAlignment="1">
      <alignment/>
    </xf>
    <xf numFmtId="44" fontId="0" fillId="13" borderId="27" xfId="17" applyFont="1" applyFill="1" applyBorder="1" applyAlignment="1">
      <alignment/>
    </xf>
    <xf numFmtId="44" fontId="0" fillId="13" borderId="28" xfId="17" applyFont="1" applyFill="1" applyBorder="1" applyAlignment="1">
      <alignment/>
    </xf>
    <xf numFmtId="9" fontId="0" fillId="0" borderId="22" xfId="27" applyFont="1" applyFill="1" applyBorder="1" applyAlignment="1">
      <alignment/>
    </xf>
    <xf numFmtId="9" fontId="0" fillId="0" borderId="27" xfId="27" applyFont="1" applyFill="1" applyBorder="1" applyAlignment="1">
      <alignment/>
    </xf>
    <xf numFmtId="9" fontId="0" fillId="0" borderId="28" xfId="27" applyFont="1" applyFill="1" applyBorder="1" applyAlignment="1">
      <alignment/>
    </xf>
    <xf numFmtId="44" fontId="0" fillId="0" borderId="27" xfId="17" applyFont="1" applyFill="1" applyBorder="1" applyAlignment="1">
      <alignment/>
    </xf>
    <xf numFmtId="44" fontId="0" fillId="12" borderId="22" xfId="17" applyNumberFormat="1" applyFont="1" applyFill="1" applyBorder="1" applyAlignment="1">
      <alignment/>
    </xf>
    <xf numFmtId="1" fontId="0" fillId="13" borderId="22" xfId="0" applyNumberFormat="1" applyFont="1" applyFill="1" applyBorder="1" applyAlignment="1">
      <alignment/>
    </xf>
    <xf numFmtId="1" fontId="0" fillId="13" borderId="27" xfId="0" applyNumberFormat="1" applyFont="1" applyFill="1" applyBorder="1" applyAlignment="1">
      <alignment/>
    </xf>
    <xf numFmtId="1" fontId="0" fillId="13" borderId="28" xfId="0" applyNumberFormat="1" applyFont="1" applyFill="1" applyBorder="1" applyAlignment="1">
      <alignment/>
    </xf>
    <xf numFmtId="1" fontId="0" fillId="13" borderId="34" xfId="0" applyNumberFormat="1" applyFont="1" applyFill="1" applyBorder="1" applyAlignment="1">
      <alignment/>
    </xf>
    <xf numFmtId="1" fontId="0" fillId="13" borderId="35" xfId="0" applyNumberFormat="1" applyFont="1" applyFill="1" applyBorder="1" applyAlignment="1">
      <alignment/>
    </xf>
    <xf numFmtId="1" fontId="0" fillId="13" borderId="36" xfId="0" applyNumberFormat="1" applyFont="1" applyFill="1" applyBorder="1" applyAlignment="1">
      <alignment/>
    </xf>
    <xf numFmtId="0" fontId="17" fillId="0" borderId="0" xfId="0" applyFont="1" applyAlignment="1">
      <alignment/>
    </xf>
    <xf numFmtId="44" fontId="0" fillId="12" borderId="37" xfId="17" applyFill="1" applyBorder="1" applyAlignment="1">
      <alignment/>
    </xf>
    <xf numFmtId="165" fontId="0" fillId="12" borderId="28" xfId="0" applyNumberFormat="1" applyFill="1" applyBorder="1" applyAlignment="1">
      <alignment/>
    </xf>
    <xf numFmtId="44" fontId="0" fillId="12" borderId="28" xfId="17" applyFont="1" applyFill="1" applyBorder="1" applyAlignment="1">
      <alignment/>
    </xf>
    <xf numFmtId="44" fontId="0" fillId="13" borderId="36" xfId="17" applyFill="1" applyBorder="1" applyAlignment="1">
      <alignment/>
    </xf>
    <xf numFmtId="0" fontId="0" fillId="3" borderId="3" xfId="0" applyFill="1" applyBorder="1" applyAlignment="1">
      <alignment wrapText="1"/>
    </xf>
    <xf numFmtId="44" fontId="0" fillId="0" borderId="3" xfId="17" applyBorder="1" applyAlignment="1">
      <alignment/>
    </xf>
    <xf numFmtId="169" fontId="0" fillId="0" borderId="3" xfId="15" applyNumberFormat="1" applyBorder="1" applyAlignment="1">
      <alignment/>
    </xf>
    <xf numFmtId="0" fontId="0" fillId="0" borderId="13" xfId="0" applyFill="1" applyBorder="1" applyAlignment="1">
      <alignment/>
    </xf>
    <xf numFmtId="0" fontId="0" fillId="12" borderId="13" xfId="0" applyFill="1" applyBorder="1" applyAlignment="1">
      <alignment/>
    </xf>
    <xf numFmtId="0" fontId="0" fillId="13" borderId="13" xfId="0" applyFill="1" applyBorder="1" applyAlignment="1">
      <alignment/>
    </xf>
    <xf numFmtId="0" fontId="0" fillId="14" borderId="13" xfId="0" applyFill="1" applyBorder="1" applyAlignment="1">
      <alignment/>
    </xf>
    <xf numFmtId="0" fontId="17" fillId="3" borderId="38" xfId="0" applyFont="1" applyFill="1" applyBorder="1" applyAlignment="1">
      <alignment/>
    </xf>
    <xf numFmtId="0" fontId="17" fillId="3" borderId="39" xfId="0" applyFont="1" applyFill="1" applyBorder="1" applyAlignment="1">
      <alignment wrapText="1"/>
    </xf>
    <xf numFmtId="0" fontId="17" fillId="3" borderId="39" xfId="0" applyFont="1" applyFill="1" applyBorder="1" applyAlignment="1">
      <alignment horizontal="left" wrapText="1"/>
    </xf>
    <xf numFmtId="0" fontId="17" fillId="3" borderId="40" xfId="0" applyFont="1" applyFill="1" applyBorder="1" applyAlignment="1">
      <alignment wrapText="1"/>
    </xf>
    <xf numFmtId="0" fontId="17" fillId="3" borderId="38" xfId="0" applyFont="1" applyFill="1" applyBorder="1" applyAlignment="1">
      <alignment wrapText="1"/>
    </xf>
    <xf numFmtId="0" fontId="17" fillId="3" borderId="41" xfId="0" applyFont="1" applyFill="1" applyBorder="1" applyAlignment="1">
      <alignment wrapText="1"/>
    </xf>
    <xf numFmtId="0" fontId="0" fillId="0" borderId="42" xfId="0" applyFont="1" applyBorder="1" applyAlignment="1">
      <alignment/>
    </xf>
    <xf numFmtId="9" fontId="0" fillId="14" borderId="43" xfId="27" applyFont="1" applyFill="1" applyBorder="1" applyAlignment="1">
      <alignment/>
    </xf>
    <xf numFmtId="9" fontId="0" fillId="14" borderId="44" xfId="27" applyFont="1" applyFill="1" applyBorder="1" applyAlignment="1">
      <alignment/>
    </xf>
    <xf numFmtId="9" fontId="0" fillId="14" borderId="42" xfId="27" applyFont="1" applyFill="1" applyBorder="1" applyAlignment="1">
      <alignment/>
    </xf>
    <xf numFmtId="0" fontId="0" fillId="15" borderId="45" xfId="0" applyFont="1" applyFill="1" applyBorder="1" applyAlignment="1">
      <alignment/>
    </xf>
    <xf numFmtId="0" fontId="0" fillId="0" borderId="22" xfId="0" applyFont="1" applyBorder="1" applyAlignment="1">
      <alignment/>
    </xf>
    <xf numFmtId="0" fontId="0" fillId="12" borderId="3" xfId="0" applyFont="1" applyFill="1" applyBorder="1" applyAlignment="1">
      <alignment/>
    </xf>
    <xf numFmtId="0" fontId="0" fillId="12" borderId="5" xfId="0" applyFont="1" applyFill="1" applyBorder="1" applyAlignment="1">
      <alignment/>
    </xf>
    <xf numFmtId="165" fontId="0" fillId="12" borderId="22" xfId="0" applyNumberFormat="1" applyFont="1" applyFill="1" applyBorder="1" applyAlignment="1">
      <alignment horizontal="right"/>
    </xf>
    <xf numFmtId="165" fontId="0" fillId="12" borderId="5" xfId="0" applyNumberFormat="1" applyFont="1" applyFill="1" applyBorder="1" applyAlignment="1">
      <alignment horizontal="right"/>
    </xf>
    <xf numFmtId="165" fontId="0" fillId="12" borderId="46" xfId="0" applyNumberFormat="1" applyFont="1" applyFill="1" applyBorder="1" applyAlignment="1">
      <alignment horizontal="right"/>
    </xf>
    <xf numFmtId="169" fontId="0" fillId="12" borderId="3" xfId="15" applyNumberFormat="1" applyFont="1" applyFill="1" applyBorder="1" applyAlignment="1">
      <alignment/>
    </xf>
    <xf numFmtId="169" fontId="0" fillId="12" borderId="5" xfId="15" applyNumberFormat="1" applyFont="1" applyFill="1" applyBorder="1" applyAlignment="1">
      <alignment/>
    </xf>
    <xf numFmtId="169" fontId="0" fillId="12" borderId="22" xfId="15" applyNumberFormat="1" applyFont="1" applyFill="1" applyBorder="1" applyAlignment="1">
      <alignment/>
    </xf>
    <xf numFmtId="1" fontId="0" fillId="12" borderId="46" xfId="0" applyNumberFormat="1" applyFont="1" applyFill="1" applyBorder="1" applyAlignment="1">
      <alignment horizontal="right"/>
    </xf>
    <xf numFmtId="1" fontId="0" fillId="12" borderId="3" xfId="0" applyNumberFormat="1" applyFill="1" applyBorder="1" applyAlignment="1">
      <alignment/>
    </xf>
    <xf numFmtId="1" fontId="0" fillId="12" borderId="5" xfId="0" applyNumberFormat="1" applyFill="1" applyBorder="1" applyAlignment="1">
      <alignment/>
    </xf>
    <xf numFmtId="165" fontId="0" fillId="12" borderId="3" xfId="0" applyNumberFormat="1" applyFont="1" applyFill="1" applyBorder="1" applyAlignment="1">
      <alignment/>
    </xf>
    <xf numFmtId="165" fontId="0" fillId="12" borderId="5" xfId="0" applyNumberFormat="1" applyFont="1" applyFill="1" applyBorder="1" applyAlignment="1">
      <alignment/>
    </xf>
    <xf numFmtId="178" fontId="0" fillId="12" borderId="22" xfId="15" applyNumberFormat="1" applyFont="1" applyFill="1" applyBorder="1" applyAlignment="1">
      <alignment/>
    </xf>
    <xf numFmtId="178" fontId="0" fillId="12" borderId="5" xfId="15" applyNumberFormat="1" applyFont="1" applyFill="1" applyBorder="1" applyAlignment="1">
      <alignment/>
    </xf>
    <xf numFmtId="8" fontId="0" fillId="14" borderId="3" xfId="17" applyNumberFormat="1" applyFont="1" applyFill="1" applyBorder="1" applyAlignment="1">
      <alignment/>
    </xf>
    <xf numFmtId="8" fontId="0" fillId="14" borderId="5" xfId="17" applyNumberFormat="1" applyFont="1" applyFill="1" applyBorder="1" applyAlignment="1">
      <alignment/>
    </xf>
    <xf numFmtId="8" fontId="0" fillId="14" borderId="22" xfId="17" applyNumberFormat="1" applyFont="1" applyFill="1" applyBorder="1" applyAlignment="1">
      <alignment/>
    </xf>
    <xf numFmtId="8" fontId="0" fillId="14" borderId="46" xfId="17" applyNumberFormat="1" applyFont="1" applyFill="1" applyBorder="1" applyAlignment="1">
      <alignment/>
    </xf>
    <xf numFmtId="0" fontId="0" fillId="13" borderId="22" xfId="0" applyFont="1" applyFill="1" applyBorder="1" applyAlignment="1">
      <alignment/>
    </xf>
    <xf numFmtId="8" fontId="0" fillId="13" borderId="3" xfId="17" applyNumberFormat="1" applyFont="1" applyFill="1" applyBorder="1" applyAlignment="1">
      <alignment/>
    </xf>
    <xf numFmtId="8" fontId="0" fillId="13" borderId="5" xfId="17" applyNumberFormat="1" applyFont="1" applyFill="1" applyBorder="1" applyAlignment="1">
      <alignment/>
    </xf>
    <xf numFmtId="8" fontId="0" fillId="13" borderId="22" xfId="17" applyNumberFormat="1" applyFont="1" applyFill="1" applyBorder="1" applyAlignment="1">
      <alignment/>
    </xf>
    <xf numFmtId="1" fontId="0" fillId="14" borderId="3" xfId="0" applyNumberFormat="1" applyFont="1" applyFill="1" applyBorder="1" applyAlignment="1">
      <alignment/>
    </xf>
    <xf numFmtId="1" fontId="0" fillId="14" borderId="5" xfId="0" applyNumberFormat="1" applyFont="1" applyFill="1" applyBorder="1" applyAlignment="1">
      <alignment/>
    </xf>
    <xf numFmtId="1" fontId="0" fillId="14" borderId="22" xfId="0" applyNumberFormat="1" applyFont="1" applyFill="1" applyBorder="1" applyAlignment="1">
      <alignment/>
    </xf>
    <xf numFmtId="1" fontId="0" fillId="14" borderId="46" xfId="0" applyNumberFormat="1" applyFont="1" applyFill="1" applyBorder="1" applyAlignment="1">
      <alignment/>
    </xf>
    <xf numFmtId="9" fontId="0" fillId="0" borderId="3" xfId="27" applyFont="1" applyFill="1" applyBorder="1" applyAlignment="1">
      <alignment/>
    </xf>
    <xf numFmtId="9" fontId="0" fillId="0" borderId="5" xfId="27" applyFont="1" applyFill="1" applyBorder="1" applyAlignment="1">
      <alignment/>
    </xf>
    <xf numFmtId="9" fontId="0" fillId="0" borderId="46" xfId="27" applyFont="1" applyFill="1" applyBorder="1" applyAlignment="1">
      <alignment/>
    </xf>
    <xf numFmtId="177" fontId="0" fillId="12" borderId="3" xfId="17" applyNumberFormat="1" applyFont="1" applyFill="1" applyBorder="1" applyAlignment="1">
      <alignment/>
    </xf>
    <xf numFmtId="177" fontId="0" fillId="12" borderId="5" xfId="17" applyNumberFormat="1" applyFont="1" applyFill="1" applyBorder="1" applyAlignment="1">
      <alignment/>
    </xf>
    <xf numFmtId="177" fontId="0" fillId="12" borderId="22" xfId="17" applyNumberFormat="1" applyFont="1" applyFill="1" applyBorder="1" applyAlignment="1">
      <alignment/>
    </xf>
    <xf numFmtId="1" fontId="0" fillId="12" borderId="3" xfId="0" applyNumberFormat="1" applyFont="1" applyFill="1" applyBorder="1" applyAlignment="1">
      <alignment/>
    </xf>
    <xf numFmtId="1" fontId="0" fillId="12" borderId="5" xfId="0" applyNumberFormat="1" applyFont="1" applyFill="1" applyBorder="1" applyAlignment="1">
      <alignment/>
    </xf>
    <xf numFmtId="1" fontId="0" fillId="13" borderId="3" xfId="0" applyNumberFormat="1" applyFont="1" applyFill="1" applyBorder="1" applyAlignment="1">
      <alignment/>
    </xf>
    <xf numFmtId="1" fontId="0" fillId="13" borderId="5" xfId="0" applyNumberFormat="1" applyFont="1" applyFill="1" applyBorder="1" applyAlignment="1">
      <alignment/>
    </xf>
    <xf numFmtId="0" fontId="0" fillId="0" borderId="34" xfId="0" applyFont="1" applyBorder="1" applyAlignment="1">
      <alignment/>
    </xf>
    <xf numFmtId="1" fontId="0" fillId="13" borderId="47" xfId="0" applyNumberFormat="1" applyFont="1" applyFill="1" applyBorder="1" applyAlignment="1">
      <alignment/>
    </xf>
    <xf numFmtId="1" fontId="0" fillId="13" borderId="48" xfId="0" applyNumberFormat="1" applyFont="1" applyFill="1" applyBorder="1" applyAlignment="1">
      <alignment/>
    </xf>
    <xf numFmtId="1" fontId="0" fillId="14" borderId="49" xfId="0" applyNumberFormat="1" applyFont="1" applyFill="1" applyBorder="1" applyAlignment="1">
      <alignment/>
    </xf>
    <xf numFmtId="169" fontId="0" fillId="0" borderId="0" xfId="15" applyNumberFormat="1" applyFont="1" applyAlignment="1">
      <alignment/>
    </xf>
    <xf numFmtId="9" fontId="0" fillId="0" borderId="0" xfId="27" applyAlignment="1">
      <alignment/>
    </xf>
    <xf numFmtId="9" fontId="0" fillId="0" borderId="0" xfId="0" applyNumberFormat="1" applyAlignment="1">
      <alignment/>
    </xf>
    <xf numFmtId="0" fontId="0" fillId="0" borderId="0" xfId="0" applyFont="1" applyAlignment="1">
      <alignment horizontal="right"/>
    </xf>
    <xf numFmtId="0" fontId="17" fillId="3" borderId="38" xfId="0" applyFont="1" applyFill="1" applyBorder="1" applyAlignment="1">
      <alignment horizontal="right" wrapText="1"/>
    </xf>
    <xf numFmtId="0" fontId="0" fillId="0" borderId="42" xfId="0" applyBorder="1" applyAlignment="1">
      <alignment/>
    </xf>
    <xf numFmtId="165" fontId="0" fillId="13" borderId="43" xfId="0" applyNumberFormat="1" applyFill="1" applyBorder="1" applyAlignment="1">
      <alignment/>
    </xf>
    <xf numFmtId="165" fontId="0" fillId="13" borderId="44" xfId="0" applyNumberFormat="1" applyFill="1" applyBorder="1" applyAlignment="1">
      <alignment/>
    </xf>
    <xf numFmtId="165" fontId="0" fillId="13" borderId="42" xfId="0" applyNumberFormat="1" applyFill="1" applyBorder="1" applyAlignment="1">
      <alignment/>
    </xf>
    <xf numFmtId="165" fontId="0" fillId="13" borderId="45" xfId="0" applyNumberFormat="1" applyFill="1" applyBorder="1" applyAlignment="1">
      <alignment/>
    </xf>
    <xf numFmtId="2" fontId="0" fillId="12" borderId="3" xfId="0" applyNumberFormat="1" applyFill="1" applyBorder="1" applyAlignment="1">
      <alignment/>
    </xf>
    <xf numFmtId="2" fontId="0" fillId="12" borderId="5" xfId="0" applyNumberFormat="1" applyFill="1" applyBorder="1" applyAlignment="1">
      <alignment/>
    </xf>
    <xf numFmtId="2" fontId="0" fillId="12" borderId="22" xfId="0" applyNumberFormat="1" applyFill="1" applyBorder="1" applyAlignment="1">
      <alignment/>
    </xf>
    <xf numFmtId="2" fontId="0" fillId="12" borderId="46" xfId="0" applyNumberFormat="1" applyFill="1" applyBorder="1" applyAlignment="1">
      <alignment/>
    </xf>
    <xf numFmtId="177" fontId="0" fillId="12" borderId="3" xfId="0" applyNumberFormat="1" applyFill="1" applyBorder="1" applyAlignment="1">
      <alignment/>
    </xf>
    <xf numFmtId="177" fontId="0" fillId="12" borderId="5" xfId="0" applyNumberFormat="1" applyFill="1" applyBorder="1" applyAlignment="1">
      <alignment/>
    </xf>
    <xf numFmtId="177" fontId="0" fillId="12" borderId="22" xfId="0" applyNumberFormat="1" applyFill="1" applyBorder="1" applyAlignment="1">
      <alignment/>
    </xf>
    <xf numFmtId="177" fontId="0" fillId="12" borderId="46" xfId="0" applyNumberFormat="1" applyFill="1" applyBorder="1" applyAlignment="1">
      <alignment/>
    </xf>
    <xf numFmtId="44" fontId="0" fillId="13" borderId="3" xfId="17" applyFill="1" applyBorder="1" applyAlignment="1">
      <alignment/>
    </xf>
    <xf numFmtId="44" fontId="0" fillId="13" borderId="5" xfId="17" applyFill="1" applyBorder="1" applyAlignment="1">
      <alignment/>
    </xf>
    <xf numFmtId="44" fontId="0" fillId="13" borderId="22" xfId="17" applyFill="1" applyBorder="1" applyAlignment="1">
      <alignment/>
    </xf>
    <xf numFmtId="44" fontId="0" fillId="13" borderId="46" xfId="17" applyFill="1" applyBorder="1" applyAlignment="1">
      <alignment/>
    </xf>
    <xf numFmtId="44" fontId="0" fillId="12" borderId="3" xfId="0" applyNumberFormat="1" applyFill="1" applyBorder="1" applyAlignment="1">
      <alignment/>
    </xf>
    <xf numFmtId="44" fontId="0" fillId="12" borderId="5" xfId="0" applyNumberFormat="1" applyFill="1" applyBorder="1" applyAlignment="1">
      <alignment/>
    </xf>
    <xf numFmtId="44" fontId="0" fillId="12" borderId="22" xfId="0" applyNumberFormat="1" applyFill="1" applyBorder="1" applyAlignment="1">
      <alignment/>
    </xf>
    <xf numFmtId="44" fontId="0" fillId="12" borderId="46" xfId="0" applyNumberFormat="1" applyFill="1" applyBorder="1" applyAlignment="1">
      <alignment/>
    </xf>
    <xf numFmtId="0" fontId="0" fillId="0" borderId="34" xfId="0" applyBorder="1" applyAlignment="1">
      <alignment/>
    </xf>
    <xf numFmtId="44" fontId="0" fillId="13" borderId="47" xfId="0" applyNumberFormat="1" applyFill="1" applyBorder="1" applyAlignment="1">
      <alignment/>
    </xf>
    <xf numFmtId="44" fontId="0" fillId="13" borderId="48" xfId="0" applyNumberFormat="1" applyFill="1" applyBorder="1" applyAlignment="1">
      <alignment/>
    </xf>
    <xf numFmtId="44" fontId="0" fillId="13" borderId="34" xfId="0" applyNumberFormat="1" applyFill="1" applyBorder="1" applyAlignment="1">
      <alignment/>
    </xf>
    <xf numFmtId="44" fontId="0" fillId="13" borderId="49" xfId="0" applyNumberFormat="1" applyFill="1" applyBorder="1" applyAlignment="1">
      <alignment/>
    </xf>
    <xf numFmtId="44" fontId="0" fillId="0" borderId="0" xfId="0" applyNumberFormat="1" applyBorder="1" applyAlignment="1">
      <alignment/>
    </xf>
    <xf numFmtId="8" fontId="0" fillId="0" borderId="0" xfId="0" applyNumberFormat="1" applyBorder="1" applyAlignment="1">
      <alignment/>
    </xf>
    <xf numFmtId="0" fontId="25" fillId="0" borderId="0" xfId="0" applyFont="1" applyAlignment="1">
      <alignment/>
    </xf>
    <xf numFmtId="0" fontId="26" fillId="0" borderId="0" xfId="0" applyFont="1" applyAlignment="1">
      <alignment/>
    </xf>
    <xf numFmtId="0" fontId="27" fillId="7" borderId="3" xfId="0" applyFont="1" applyFill="1" applyBorder="1" applyAlignment="1">
      <alignment horizontal="center" wrapText="1"/>
    </xf>
    <xf numFmtId="0" fontId="0" fillId="7" borderId="3" xfId="0" applyFont="1" applyFill="1" applyBorder="1" applyAlignment="1">
      <alignment wrapText="1"/>
    </xf>
    <xf numFmtId="0" fontId="0" fillId="7" borderId="3" xfId="0" applyFill="1" applyBorder="1" applyAlignment="1">
      <alignment horizontal="center" wrapText="1"/>
    </xf>
    <xf numFmtId="0" fontId="0" fillId="7" borderId="3" xfId="0" applyFill="1" applyBorder="1" applyAlignment="1">
      <alignment wrapText="1"/>
    </xf>
    <xf numFmtId="0" fontId="0" fillId="7" borderId="3" xfId="0" applyFont="1" applyFill="1" applyBorder="1" applyAlignment="1">
      <alignment horizontal="center" wrapText="1"/>
    </xf>
    <xf numFmtId="0" fontId="0" fillId="0" borderId="0" xfId="0" applyAlignment="1">
      <alignment wrapText="1"/>
    </xf>
    <xf numFmtId="0" fontId="0" fillId="7" borderId="3" xfId="0" applyFill="1" applyBorder="1" applyAlignment="1">
      <alignment/>
    </xf>
    <xf numFmtId="0" fontId="17" fillId="0" borderId="3" xfId="0" applyFont="1" applyBorder="1" applyAlignment="1">
      <alignment/>
    </xf>
    <xf numFmtId="3" fontId="17" fillId="0" borderId="3" xfId="0" applyNumberFormat="1" applyFont="1" applyBorder="1" applyAlignment="1">
      <alignment/>
    </xf>
    <xf numFmtId="164" fontId="17" fillId="0" borderId="3" xfId="27" applyNumberFormat="1" applyFont="1" applyFill="1" applyBorder="1" applyAlignment="1">
      <alignment/>
    </xf>
    <xf numFmtId="8" fontId="17" fillId="0" borderId="3" xfId="0" applyNumberFormat="1" applyFont="1" applyBorder="1" applyAlignment="1">
      <alignment/>
    </xf>
    <xf numFmtId="6" fontId="17" fillId="7" borderId="3" xfId="0" applyNumberFormat="1" applyFont="1" applyFill="1" applyBorder="1" applyAlignment="1">
      <alignment/>
    </xf>
    <xf numFmtId="8" fontId="17" fillId="0" borderId="3" xfId="0" applyNumberFormat="1" applyFont="1" applyFill="1" applyBorder="1" applyAlignment="1">
      <alignment/>
    </xf>
    <xf numFmtId="6" fontId="17" fillId="7" borderId="3" xfId="0" applyNumberFormat="1" applyFont="1" applyFill="1" applyBorder="1" applyAlignment="1">
      <alignment/>
    </xf>
    <xf numFmtId="0" fontId="17" fillId="0" borderId="3" xfId="0" applyFont="1" applyBorder="1" applyAlignment="1">
      <alignment horizontal="left"/>
    </xf>
    <xf numFmtId="8" fontId="0" fillId="7" borderId="3" xfId="0" applyNumberFormat="1" applyFill="1" applyBorder="1" applyAlignment="1">
      <alignment/>
    </xf>
    <xf numFmtId="0" fontId="0" fillId="0" borderId="3" xfId="0" applyBorder="1" applyAlignment="1">
      <alignment horizontal="right"/>
    </xf>
    <xf numFmtId="3" fontId="0" fillId="0" borderId="3" xfId="0" applyNumberFormat="1" applyBorder="1" applyAlignment="1">
      <alignment/>
    </xf>
    <xf numFmtId="8" fontId="0" fillId="0" borderId="3" xfId="0" applyNumberFormat="1" applyBorder="1" applyAlignment="1">
      <alignment/>
    </xf>
    <xf numFmtId="8" fontId="0" fillId="0" borderId="3" xfId="0" applyNumberFormat="1" applyFill="1" applyBorder="1" applyAlignment="1">
      <alignment/>
    </xf>
    <xf numFmtId="6" fontId="0" fillId="7" borderId="3" xfId="0" applyNumberFormat="1" applyFont="1" applyFill="1" applyBorder="1" applyAlignment="1">
      <alignment/>
    </xf>
    <xf numFmtId="8" fontId="17" fillId="7" borderId="26" xfId="0" applyNumberFormat="1" applyFont="1" applyFill="1" applyBorder="1" applyAlignment="1">
      <alignment/>
    </xf>
    <xf numFmtId="0" fontId="0" fillId="0" borderId="0" xfId="0" applyFill="1" applyAlignment="1">
      <alignment/>
    </xf>
    <xf numFmtId="8" fontId="0" fillId="0" borderId="0" xfId="0" applyNumberFormat="1" applyAlignment="1">
      <alignment/>
    </xf>
    <xf numFmtId="1" fontId="17" fillId="7" borderId="26" xfId="0" applyNumberFormat="1" applyFont="1" applyFill="1" applyBorder="1" applyAlignment="1">
      <alignment/>
    </xf>
    <xf numFmtId="3" fontId="17" fillId="7" borderId="12" xfId="0" applyNumberFormat="1" applyFont="1" applyFill="1" applyBorder="1" applyAlignment="1">
      <alignment/>
    </xf>
    <xf numFmtId="9" fontId="17" fillId="7" borderId="11" xfId="0" applyNumberFormat="1" applyFont="1" applyFill="1" applyBorder="1" applyAlignment="1">
      <alignment/>
    </xf>
    <xf numFmtId="9" fontId="17" fillId="0" borderId="3" xfId="0" applyNumberFormat="1" applyFont="1" applyBorder="1" applyAlignment="1">
      <alignment/>
    </xf>
    <xf numFmtId="6" fontId="0" fillId="7" borderId="3" xfId="0" applyNumberFormat="1" applyFill="1" applyBorder="1" applyAlignment="1">
      <alignment/>
    </xf>
    <xf numFmtId="8" fontId="17" fillId="0" borderId="3" xfId="0" applyNumberFormat="1" applyFont="1" applyBorder="1" applyAlignment="1">
      <alignment horizontal="right"/>
    </xf>
    <xf numFmtId="6" fontId="0" fillId="7" borderId="3" xfId="0" applyNumberFormat="1" applyFill="1" applyBorder="1" applyAlignment="1">
      <alignment horizontal="right"/>
    </xf>
    <xf numFmtId="0" fontId="0" fillId="0" borderId="3" xfId="0" applyFont="1" applyBorder="1" applyAlignment="1">
      <alignment/>
    </xf>
    <xf numFmtId="8" fontId="0" fillId="0" borderId="3" xfId="0" applyNumberFormat="1" applyFont="1" applyBorder="1" applyAlignment="1">
      <alignment/>
    </xf>
    <xf numFmtId="6" fontId="17" fillId="0" borderId="3" xfId="0" applyNumberFormat="1" applyFont="1" applyFill="1" applyBorder="1" applyAlignment="1">
      <alignment/>
    </xf>
    <xf numFmtId="0" fontId="17" fillId="0" borderId="3" xfId="0" applyFont="1" applyFill="1" applyBorder="1" applyAlignment="1">
      <alignment/>
    </xf>
    <xf numFmtId="44" fontId="17" fillId="7" borderId="26" xfId="17" applyFont="1" applyFill="1" applyBorder="1" applyAlignment="1">
      <alignment/>
    </xf>
    <xf numFmtId="9" fontId="17" fillId="7" borderId="11" xfId="0" applyNumberFormat="1" applyFont="1" applyFill="1" applyBorder="1" applyAlignment="1">
      <alignment/>
    </xf>
    <xf numFmtId="3" fontId="0" fillId="0" borderId="0" xfId="0" applyNumberFormat="1" applyAlignment="1">
      <alignment/>
    </xf>
    <xf numFmtId="0" fontId="17" fillId="16" borderId="3" xfId="0" applyFont="1" applyFill="1" applyBorder="1" applyAlignment="1">
      <alignment/>
    </xf>
    <xf numFmtId="9" fontId="17" fillId="0" borderId="3" xfId="27" applyFont="1" applyBorder="1" applyAlignment="1">
      <alignment horizontal="right"/>
    </xf>
    <xf numFmtId="8" fontId="0" fillId="0" borderId="0" xfId="0" applyNumberFormat="1" applyBorder="1" applyAlignment="1">
      <alignment horizontal="right"/>
    </xf>
    <xf numFmtId="44" fontId="0" fillId="0" borderId="0" xfId="0" applyNumberFormat="1" applyBorder="1" applyAlignment="1">
      <alignment horizontal="right"/>
    </xf>
    <xf numFmtId="1" fontId="0" fillId="0" borderId="0" xfId="0" applyNumberFormat="1" applyBorder="1" applyAlignment="1">
      <alignment horizontal="right"/>
    </xf>
    <xf numFmtId="9" fontId="0" fillId="0" borderId="0" xfId="27" applyBorder="1" applyAlignment="1">
      <alignment horizontal="right"/>
    </xf>
    <xf numFmtId="44" fontId="0" fillId="0" borderId="0" xfId="17" applyBorder="1" applyAlignment="1">
      <alignment horizontal="left"/>
    </xf>
    <xf numFmtId="0" fontId="17" fillId="0" borderId="42" xfId="0" applyFont="1" applyBorder="1" applyAlignment="1">
      <alignment/>
    </xf>
    <xf numFmtId="0" fontId="0" fillId="11" borderId="45" xfId="0" applyFill="1" applyBorder="1" applyAlignment="1">
      <alignment/>
    </xf>
    <xf numFmtId="0" fontId="17" fillId="0" borderId="34" xfId="0" applyFont="1" applyBorder="1" applyAlignment="1">
      <alignment/>
    </xf>
    <xf numFmtId="0" fontId="0" fillId="13" borderId="49" xfId="0" applyFill="1" applyBorder="1" applyAlignment="1">
      <alignment/>
    </xf>
    <xf numFmtId="0" fontId="17" fillId="12" borderId="16" xfId="0" applyFont="1" applyFill="1" applyBorder="1" applyAlignment="1">
      <alignment/>
    </xf>
    <xf numFmtId="0" fontId="17" fillId="12" borderId="50" xfId="0" applyFont="1" applyFill="1" applyBorder="1" applyAlignment="1">
      <alignment/>
    </xf>
    <xf numFmtId="0" fontId="17" fillId="12" borderId="51" xfId="0" applyFont="1" applyFill="1" applyBorder="1" applyAlignment="1">
      <alignment wrapText="1"/>
    </xf>
    <xf numFmtId="0" fontId="0" fillId="0" borderId="23" xfId="0" applyBorder="1" applyAlignment="1">
      <alignment/>
    </xf>
    <xf numFmtId="9" fontId="0" fillId="11" borderId="9" xfId="27" applyFill="1" applyBorder="1" applyAlignment="1">
      <alignment/>
    </xf>
    <xf numFmtId="9" fontId="0" fillId="13" borderId="52" xfId="0" applyNumberFormat="1" applyFill="1" applyBorder="1" applyAlignment="1">
      <alignment/>
    </xf>
    <xf numFmtId="9" fontId="0" fillId="11" borderId="3" xfId="27" applyFill="1" applyBorder="1" applyAlignment="1">
      <alignment/>
    </xf>
    <xf numFmtId="9" fontId="0" fillId="13" borderId="46" xfId="27" applyFill="1" applyBorder="1" applyAlignment="1">
      <alignment/>
    </xf>
    <xf numFmtId="9" fontId="0" fillId="11" borderId="3" xfId="0" applyNumberFormat="1" applyFill="1" applyBorder="1" applyAlignment="1">
      <alignment/>
    </xf>
    <xf numFmtId="9" fontId="0" fillId="13" borderId="46" xfId="0" applyNumberFormat="1" applyFill="1" applyBorder="1" applyAlignment="1">
      <alignment/>
    </xf>
    <xf numFmtId="9" fontId="0" fillId="11" borderId="46" xfId="27" applyFill="1" applyBorder="1" applyAlignment="1">
      <alignment/>
    </xf>
    <xf numFmtId="0" fontId="0" fillId="0" borderId="46" xfId="0" applyBorder="1" applyAlignment="1">
      <alignment/>
    </xf>
    <xf numFmtId="9" fontId="0" fillId="11" borderId="47" xfId="0" applyNumberFormat="1" applyFill="1" applyBorder="1" applyAlignment="1">
      <alignment/>
    </xf>
    <xf numFmtId="9" fontId="0" fillId="13" borderId="49" xfId="27" applyFill="1" applyBorder="1" applyAlignment="1">
      <alignment/>
    </xf>
    <xf numFmtId="9" fontId="0" fillId="0" borderId="0" xfId="27" applyBorder="1" applyAlignment="1">
      <alignment/>
    </xf>
    <xf numFmtId="0" fontId="0" fillId="0" borderId="20" xfId="0" applyFill="1" applyBorder="1" applyAlignment="1">
      <alignment/>
    </xf>
    <xf numFmtId="0" fontId="0" fillId="0" borderId="0" xfId="0" applyFill="1" applyBorder="1" applyAlignment="1">
      <alignment/>
    </xf>
    <xf numFmtId="0" fontId="0" fillId="12" borderId="16" xfId="0" applyFill="1" applyBorder="1" applyAlignment="1">
      <alignment wrapText="1"/>
    </xf>
    <xf numFmtId="0" fontId="0" fillId="12" borderId="50" xfId="0" applyFill="1" applyBorder="1" applyAlignment="1">
      <alignment wrapText="1"/>
    </xf>
    <xf numFmtId="0" fontId="0" fillId="12" borderId="51" xfId="0" applyFill="1" applyBorder="1" applyAlignment="1">
      <alignment wrapText="1"/>
    </xf>
    <xf numFmtId="9" fontId="0" fillId="13" borderId="3" xfId="27" applyFill="1" applyBorder="1" applyAlignment="1">
      <alignment/>
    </xf>
    <xf numFmtId="9" fontId="0" fillId="13" borderId="3" xfId="0" applyNumberFormat="1" applyFill="1" applyBorder="1" applyAlignment="1">
      <alignment/>
    </xf>
    <xf numFmtId="0" fontId="0" fillId="0" borderId="34" xfId="0" applyFill="1" applyBorder="1" applyAlignment="1">
      <alignment/>
    </xf>
    <xf numFmtId="9" fontId="0" fillId="13" borderId="47" xfId="0" applyNumberFormat="1" applyFill="1" applyBorder="1" applyAlignment="1">
      <alignment/>
    </xf>
    <xf numFmtId="0" fontId="0" fillId="0" borderId="53" xfId="0" applyFill="1" applyBorder="1" applyAlignment="1">
      <alignment/>
    </xf>
    <xf numFmtId="0" fontId="24" fillId="0" borderId="0" xfId="23" applyAlignment="1" quotePrefix="1">
      <alignment horizontal="left"/>
      <protection/>
    </xf>
    <xf numFmtId="0" fontId="24" fillId="0" borderId="0" xfId="23">
      <alignment/>
      <protection/>
    </xf>
    <xf numFmtId="0" fontId="24" fillId="0" borderId="0" xfId="23" applyAlignment="1">
      <alignment horizontal="left"/>
      <protection/>
    </xf>
    <xf numFmtId="0" fontId="24" fillId="0" borderId="3" xfId="23" applyBorder="1">
      <alignment/>
      <protection/>
    </xf>
    <xf numFmtId="0" fontId="24" fillId="0" borderId="3" xfId="23" applyBorder="1" applyAlignment="1">
      <alignment horizontal="centerContinuous"/>
      <protection/>
    </xf>
    <xf numFmtId="0" fontId="24" fillId="0" borderId="3" xfId="23" applyBorder="1" applyAlignment="1">
      <alignment horizontal="right"/>
      <protection/>
    </xf>
    <xf numFmtId="9" fontId="24" fillId="0" borderId="3" xfId="27" applyBorder="1" applyAlignment="1">
      <alignment/>
    </xf>
    <xf numFmtId="0" fontId="24" fillId="0" borderId="3" xfId="23" applyBorder="1" applyAlignment="1" quotePrefix="1">
      <alignment horizontal="right"/>
      <protection/>
    </xf>
    <xf numFmtId="9" fontId="24" fillId="0" borderId="0" xfId="23" applyNumberFormat="1">
      <alignment/>
      <protection/>
    </xf>
    <xf numFmtId="0" fontId="24" fillId="0" borderId="3" xfId="23" applyBorder="1" applyAlignment="1" quotePrefix="1">
      <alignment horizontal="left"/>
      <protection/>
    </xf>
    <xf numFmtId="0" fontId="24" fillId="0" borderId="3" xfId="0" applyFont="1" applyBorder="1" applyAlignment="1">
      <alignment/>
    </xf>
    <xf numFmtId="9" fontId="24" fillId="0" borderId="3" xfId="0" applyNumberFormat="1" applyFont="1" applyBorder="1" applyAlignment="1">
      <alignment/>
    </xf>
    <xf numFmtId="1" fontId="24" fillId="0" borderId="3" xfId="0" applyNumberFormat="1" applyFont="1" applyBorder="1" applyAlignment="1">
      <alignment/>
    </xf>
    <xf numFmtId="164" fontId="24" fillId="0" borderId="3" xfId="0" applyNumberFormat="1" applyFont="1" applyBorder="1" applyAlignment="1">
      <alignment/>
    </xf>
    <xf numFmtId="169" fontId="24" fillId="0" borderId="3" xfId="15" applyNumberFormat="1" applyFont="1" applyBorder="1" applyAlignment="1">
      <alignment/>
    </xf>
    <xf numFmtId="0" fontId="24" fillId="0" borderId="3" xfId="23" applyFont="1" applyBorder="1">
      <alignment/>
      <protection/>
    </xf>
    <xf numFmtId="0" fontId="24" fillId="0" borderId="3" xfId="23" applyFont="1" applyBorder="1" applyAlignment="1">
      <alignment horizontal="right"/>
      <protection/>
    </xf>
    <xf numFmtId="9" fontId="24" fillId="0" borderId="3" xfId="27" applyNumberFormat="1" applyBorder="1" applyAlignment="1">
      <alignment/>
    </xf>
    <xf numFmtId="0" fontId="24" fillId="0" borderId="3" xfId="23" applyBorder="1" applyAlignment="1">
      <alignment wrapText="1"/>
      <protection/>
    </xf>
    <xf numFmtId="0" fontId="24" fillId="0" borderId="3" xfId="23" applyBorder="1" applyAlignment="1">
      <alignment horizontal="centerContinuous" wrapText="1"/>
      <protection/>
    </xf>
    <xf numFmtId="0" fontId="24" fillId="0" borderId="0" xfId="23" applyFont="1">
      <alignment/>
      <protection/>
    </xf>
    <xf numFmtId="9" fontId="24" fillId="0" borderId="0" xfId="27" applyAlignment="1">
      <alignment/>
    </xf>
    <xf numFmtId="169" fontId="24" fillId="0" borderId="3" xfId="15" applyNumberFormat="1" applyBorder="1" applyAlignment="1">
      <alignment/>
    </xf>
    <xf numFmtId="9" fontId="24" fillId="0" borderId="3" xfId="23" applyNumberFormat="1" applyBorder="1">
      <alignment/>
      <protection/>
    </xf>
    <xf numFmtId="169" fontId="24" fillId="0" borderId="3" xfId="15" applyNumberFormat="1" applyFont="1" applyBorder="1" applyAlignment="1">
      <alignment/>
    </xf>
    <xf numFmtId="169" fontId="24" fillId="0" borderId="3" xfId="23" applyNumberFormat="1" applyBorder="1">
      <alignment/>
      <protection/>
    </xf>
    <xf numFmtId="9" fontId="24" fillId="0" borderId="3" xfId="27" applyFont="1" applyBorder="1" applyAlignment="1">
      <alignment wrapText="1"/>
    </xf>
    <xf numFmtId="9" fontId="24" fillId="0" borderId="3" xfId="27" applyFont="1" applyBorder="1" applyAlignment="1">
      <alignment/>
    </xf>
    <xf numFmtId="9" fontId="24" fillId="0" borderId="3" xfId="27" applyNumberFormat="1" applyFont="1" applyBorder="1" applyAlignment="1">
      <alignment/>
    </xf>
    <xf numFmtId="0" fontId="24" fillId="0" borderId="0" xfId="0" applyFont="1" applyAlignment="1">
      <alignment/>
    </xf>
    <xf numFmtId="0" fontId="28" fillId="13" borderId="3" xfId="0" applyFont="1" applyFill="1" applyBorder="1" applyAlignment="1">
      <alignment/>
    </xf>
    <xf numFmtId="0" fontId="29" fillId="0" borderId="0" xfId="0" applyFont="1" applyAlignment="1">
      <alignment/>
    </xf>
    <xf numFmtId="0" fontId="30" fillId="0" borderId="3" xfId="0" applyFont="1" applyBorder="1" applyAlignment="1">
      <alignment wrapText="1"/>
    </xf>
    <xf numFmtId="0" fontId="31" fillId="0" borderId="9" xfId="0" applyFont="1" applyBorder="1" applyAlignment="1">
      <alignment vertical="top" wrapText="1"/>
    </xf>
    <xf numFmtId="0" fontId="31" fillId="0" borderId="18" xfId="0" applyFont="1" applyBorder="1" applyAlignment="1">
      <alignment vertical="top" wrapText="1"/>
    </xf>
    <xf numFmtId="43" fontId="31" fillId="0" borderId="18" xfId="15" applyFont="1" applyBorder="1" applyAlignment="1">
      <alignment vertical="top" wrapText="1"/>
    </xf>
    <xf numFmtId="0" fontId="0" fillId="7" borderId="0" xfId="0" applyFont="1" applyFill="1" applyAlignment="1">
      <alignment horizontal="center"/>
    </xf>
    <xf numFmtId="0" fontId="0" fillId="0" borderId="43" xfId="0" applyFont="1" applyBorder="1" applyAlignment="1">
      <alignment/>
    </xf>
    <xf numFmtId="164" fontId="0" fillId="0" borderId="43" xfId="27" applyNumberFormat="1" applyBorder="1" applyAlignment="1">
      <alignment/>
    </xf>
    <xf numFmtId="164" fontId="0" fillId="0" borderId="45" xfId="27" applyNumberFormat="1" applyBorder="1" applyAlignment="1">
      <alignment/>
    </xf>
    <xf numFmtId="0" fontId="0" fillId="0" borderId="3" xfId="0" applyFont="1" applyBorder="1" applyAlignment="1">
      <alignment/>
    </xf>
    <xf numFmtId="164" fontId="0" fillId="0" borderId="3" xfId="27" applyNumberFormat="1" applyBorder="1" applyAlignment="1">
      <alignment/>
    </xf>
    <xf numFmtId="164" fontId="0" fillId="0" borderId="46" xfId="27" applyNumberFormat="1" applyBorder="1" applyAlignment="1">
      <alignment/>
    </xf>
    <xf numFmtId="0" fontId="0" fillId="0" borderId="54" xfId="0" applyBorder="1" applyAlignment="1">
      <alignment/>
    </xf>
    <xf numFmtId="0" fontId="0" fillId="0" borderId="4" xfId="0" applyBorder="1" applyAlignment="1">
      <alignment/>
    </xf>
    <xf numFmtId="164" fontId="0" fillId="0" borderId="4" xfId="27" applyNumberFormat="1" applyBorder="1" applyAlignment="1">
      <alignment/>
    </xf>
    <xf numFmtId="164" fontId="0" fillId="0" borderId="55" xfId="27" applyNumberFormat="1" applyBorder="1" applyAlignment="1">
      <alignment/>
    </xf>
    <xf numFmtId="0" fontId="0" fillId="0" borderId="16" xfId="0" applyBorder="1" applyAlignment="1">
      <alignment/>
    </xf>
    <xf numFmtId="0" fontId="0" fillId="0" borderId="50" xfId="0" applyBorder="1" applyAlignment="1">
      <alignment/>
    </xf>
    <xf numFmtId="9" fontId="0" fillId="0" borderId="50" xfId="0" applyNumberFormat="1" applyBorder="1" applyAlignment="1">
      <alignment/>
    </xf>
    <xf numFmtId="9" fontId="0" fillId="0" borderId="51" xfId="0" applyNumberFormat="1" applyBorder="1" applyAlignment="1">
      <alignment/>
    </xf>
    <xf numFmtId="9" fontId="0" fillId="0" borderId="0" xfId="27" applyFont="1" applyBorder="1" applyAlignment="1">
      <alignment/>
    </xf>
    <xf numFmtId="0" fontId="24" fillId="0" borderId="0" xfId="24">
      <alignment/>
      <protection/>
    </xf>
    <xf numFmtId="0" fontId="24" fillId="0" borderId="0" xfId="24" applyFont="1">
      <alignment/>
      <protection/>
    </xf>
    <xf numFmtId="9" fontId="0" fillId="0" borderId="0" xfId="27" applyAlignment="1">
      <alignment/>
    </xf>
    <xf numFmtId="9" fontId="0" fillId="0" borderId="0" xfId="27" applyNumberFormat="1" applyAlignment="1">
      <alignment/>
    </xf>
    <xf numFmtId="178" fontId="0" fillId="0" borderId="0" xfId="0" applyNumberFormat="1" applyAlignment="1">
      <alignment/>
    </xf>
    <xf numFmtId="169" fontId="0" fillId="0" borderId="0" xfId="15" applyNumberFormat="1" applyAlignment="1">
      <alignment/>
    </xf>
    <xf numFmtId="180" fontId="0" fillId="0" borderId="0" xfId="0" applyNumberFormat="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6"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0" borderId="12" xfId="0" applyBorder="1" applyAlignment="1">
      <alignment wrapText="1"/>
    </xf>
    <xf numFmtId="0" fontId="0" fillId="0" borderId="10" xfId="0" applyBorder="1" applyAlignment="1">
      <alignment wrapText="1"/>
    </xf>
    <xf numFmtId="0" fontId="0" fillId="0" borderId="11" xfId="0" applyBorder="1" applyAlignment="1">
      <alignment wrapText="1"/>
    </xf>
    <xf numFmtId="0" fontId="24" fillId="0" borderId="3" xfId="0" applyFont="1" applyBorder="1" applyAlignment="1">
      <alignment horizontal="center"/>
    </xf>
    <xf numFmtId="0" fontId="24" fillId="0" borderId="3" xfId="0" applyFont="1" applyBorder="1" applyAlignment="1">
      <alignment/>
    </xf>
    <xf numFmtId="0" fontId="24" fillId="0" borderId="3" xfId="0" applyFont="1" applyBorder="1" applyAlignment="1">
      <alignment wrapText="1"/>
    </xf>
    <xf numFmtId="0" fontId="18" fillId="11" borderId="57" xfId="0" applyFont="1" applyFill="1" applyBorder="1" applyAlignment="1">
      <alignment horizontal="center" wrapText="1"/>
    </xf>
    <xf numFmtId="165" fontId="0" fillId="0" borderId="3" xfId="0" applyNumberFormat="1" applyBorder="1" applyAlignment="1">
      <alignment/>
    </xf>
  </cellXfs>
  <cellStyles count="14">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DUCTMTV" xfId="23"/>
    <cellStyle name="Normal_HVAB-LC" xfId="24"/>
    <cellStyle name="Normal_MTDUCT" xfId="25"/>
    <cellStyle name="Normal_ProCost Template"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5.emf" /><Relationship Id="rId3" Type="http://schemas.openxmlformats.org/officeDocument/2006/relationships/image" Target="../media/image11.emf" /><Relationship Id="rId4" Type="http://schemas.openxmlformats.org/officeDocument/2006/relationships/image" Target="../media/image8.emf" /><Relationship Id="rId5" Type="http://schemas.openxmlformats.org/officeDocument/2006/relationships/image" Target="../media/image2.emf" /><Relationship Id="rId6" Type="http://schemas.openxmlformats.org/officeDocument/2006/relationships/image" Target="../media/image9.emf" /><Relationship Id="rId7" Type="http://schemas.openxmlformats.org/officeDocument/2006/relationships/image" Target="../media/image4.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3.emf" /><Relationship Id="rId11" Type="http://schemas.openxmlformats.org/officeDocument/2006/relationships/image" Target="../media/image1.emf" /><Relationship Id="rId12" Type="http://schemas.openxmlformats.org/officeDocument/2006/relationships/image" Target="../media/image6.emf" /><Relationship Id="rId1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tarCFLBulb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ew%20Plan\Residential%20Resource%20Assessment\PNWResCharacterics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asureTable"/>
      <sheetName val="ProData"/>
      <sheetName val="CFLs"/>
      <sheetName val="Bulb Assumptions"/>
      <sheetName val="Res Lighting Fixtures and Use"/>
      <sheetName val="CFL Data"/>
      <sheetName val="Space Conditioning Interaction"/>
      <sheetName val=" Existing SphtSysType PNRES"/>
      <sheetName val="Sales Wght Avg SEER by Vintage "/>
    </sheetNames>
    <sheetDataSet>
      <sheetData sheetId="3">
        <row r="7">
          <cell r="I7">
            <v>0.8648648648648649</v>
          </cell>
          <cell r="J7">
            <v>0.13513513513513514</v>
          </cell>
        </row>
      </sheetData>
      <sheetData sheetId="5">
        <row r="22">
          <cell r="C22">
            <v>6.3</v>
          </cell>
        </row>
        <row r="23">
          <cell r="C23">
            <v>6.5</v>
          </cell>
        </row>
      </sheetData>
      <sheetData sheetId="6">
        <row r="27">
          <cell r="C2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of Residential Units"/>
      <sheetName val="Housing Units by Climate Zone"/>
      <sheetName val="Total Housing Units"/>
      <sheetName val="Pre-1980 Space Heating Unit"/>
      <sheetName val="Post79 - Pre93 Units"/>
      <sheetName val="Existing Space Heating Units"/>
      <sheetName val="New Space Heating Units"/>
      <sheetName val="DHW &amp; Appliance Units"/>
    </sheetNames>
    <sheetDataSet>
      <sheetData sheetId="0">
        <row r="12">
          <cell r="F12">
            <v>0.30437009175225693</v>
          </cell>
          <cell r="G12">
            <v>0.3026173121835001</v>
          </cell>
        </row>
        <row r="13">
          <cell r="F13">
            <v>0.1118196973695496</v>
          </cell>
          <cell r="G13">
            <v>0.20077927607981252</v>
          </cell>
        </row>
        <row r="14">
          <cell r="F14">
            <v>0.5838102108781936</v>
          </cell>
          <cell r="G14">
            <v>0.4966034117366874</v>
          </cell>
        </row>
        <row r="18">
          <cell r="E18">
            <v>0.2724596827796487</v>
          </cell>
          <cell r="H18">
            <v>0.39716767160370814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Home Characteristics"/>
      <sheetName val="PNW Existing Characteristics"/>
      <sheetName val="Idaho Characteristics"/>
      <sheetName val="Montana Characteristics"/>
      <sheetName val="Oregon Characteristics"/>
      <sheetName val="Washington Characteristics"/>
      <sheetName val="MDUResApplianceSat"/>
      <sheetName val="NorthWesternResApplianceSat"/>
      <sheetName val="AvistaResApplianceSat"/>
      <sheetName val="IPCResApplianceSat"/>
      <sheetName val="PacfiCorpResApplianceSat-ID"/>
      <sheetName val="PGEResApplianceSat"/>
      <sheetName val="PacfiCorpResApplianceSat-OR"/>
      <sheetName val="PacfiCorpResApplianceSat-CA"/>
      <sheetName val="PacfiCorpResApplianceSat-WA"/>
      <sheetName val="SCL Characteristics"/>
      <sheetName val="PSEResApplianceSat"/>
      <sheetName val=" Existing SphtSysType PNRES"/>
    </sheetNames>
    <sheetDataSet>
      <sheetData sheetId="1">
        <row r="20">
          <cell r="F20">
            <v>0.419631940634978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2:AL16"/>
  <sheetViews>
    <sheetView tabSelected="1" workbookViewId="0" topLeftCell="A1">
      <selection activeCell="A1" sqref="A1"/>
    </sheetView>
  </sheetViews>
  <sheetFormatPr defaultColWidth="9.140625" defaultRowHeight="12.75"/>
  <cols>
    <col min="1" max="1" width="27.57421875" style="0" customWidth="1"/>
    <col min="2" max="2" width="13.57421875" style="0" customWidth="1"/>
    <col min="3" max="3" width="14.140625" style="0" customWidth="1"/>
    <col min="4" max="4" width="10.8515625" style="0" customWidth="1"/>
    <col min="5" max="5" width="10.140625" style="0" customWidth="1"/>
    <col min="6" max="6" width="10.8515625" style="0" customWidth="1"/>
    <col min="7" max="7" width="12.8515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4.42187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62.8515625" style="0" customWidth="1"/>
    <col min="36" max="36" width="63.7109375" style="0" customWidth="1"/>
    <col min="37" max="37" width="12.00390625" style="0" customWidth="1"/>
  </cols>
  <sheetData>
    <row r="1" ht="13.5" thickBot="1"/>
    <row r="2" spans="1:36" s="72" customFormat="1" ht="33" customHeight="1" thickBot="1">
      <c r="A2" s="412" t="s">
        <v>111</v>
      </c>
      <c r="B2" s="413"/>
      <c r="C2" s="413"/>
      <c r="D2" s="413"/>
      <c r="E2" s="413"/>
      <c r="F2" s="413"/>
      <c r="G2" s="413"/>
      <c r="H2" s="413"/>
      <c r="I2" s="413"/>
      <c r="J2" s="413"/>
      <c r="K2" s="413"/>
      <c r="L2" s="413"/>
      <c r="M2" s="413"/>
      <c r="N2" s="413"/>
      <c r="O2" s="413"/>
      <c r="P2" s="413"/>
      <c r="Q2" s="413"/>
      <c r="R2" s="413"/>
      <c r="S2" s="413"/>
      <c r="T2" s="413"/>
      <c r="U2" s="413"/>
      <c r="V2" s="413"/>
      <c r="W2" s="414"/>
      <c r="X2" s="412" t="s">
        <v>112</v>
      </c>
      <c r="Y2" s="413"/>
      <c r="Z2" s="414"/>
      <c r="AA2" s="413" t="s">
        <v>113</v>
      </c>
      <c r="AB2" s="413"/>
      <c r="AC2" s="413"/>
      <c r="AD2" s="416"/>
      <c r="AE2" s="415" t="s">
        <v>114</v>
      </c>
      <c r="AF2" s="413"/>
      <c r="AG2" s="413"/>
      <c r="AH2" s="416"/>
      <c r="AI2" s="70"/>
      <c r="AJ2" s="71"/>
    </row>
    <row r="3" spans="1:38" s="76" customFormat="1" ht="79.5" thickBot="1">
      <c r="A3" s="73" t="s">
        <v>115</v>
      </c>
      <c r="B3" s="74" t="s">
        <v>116</v>
      </c>
      <c r="C3" s="74" t="s">
        <v>117</v>
      </c>
      <c r="D3" s="74" t="s">
        <v>118</v>
      </c>
      <c r="E3" s="74" t="s">
        <v>149</v>
      </c>
      <c r="F3" s="74" t="s">
        <v>150</v>
      </c>
      <c r="G3" s="74" t="s">
        <v>151</v>
      </c>
      <c r="H3" s="74" t="s">
        <v>119</v>
      </c>
      <c r="I3" s="74" t="s">
        <v>152</v>
      </c>
      <c r="J3" s="74" t="s">
        <v>120</v>
      </c>
      <c r="K3" s="74" t="s">
        <v>121</v>
      </c>
      <c r="L3" s="74" t="s">
        <v>122</v>
      </c>
      <c r="M3" s="74" t="s">
        <v>123</v>
      </c>
      <c r="N3" s="74" t="s">
        <v>153</v>
      </c>
      <c r="O3" s="74" t="s">
        <v>124</v>
      </c>
      <c r="P3" s="74" t="s">
        <v>154</v>
      </c>
      <c r="Q3" s="74" t="s">
        <v>125</v>
      </c>
      <c r="R3" s="74" t="s">
        <v>126</v>
      </c>
      <c r="S3" s="74" t="s">
        <v>131</v>
      </c>
      <c r="T3" s="74" t="s">
        <v>132</v>
      </c>
      <c r="U3" s="74" t="s">
        <v>133</v>
      </c>
      <c r="V3" s="74" t="s">
        <v>134</v>
      </c>
      <c r="W3" s="74" t="s">
        <v>135</v>
      </c>
      <c r="X3" s="73" t="s">
        <v>136</v>
      </c>
      <c r="Y3" s="73" t="s">
        <v>137</v>
      </c>
      <c r="Z3" s="74" t="s">
        <v>138</v>
      </c>
      <c r="AA3" s="74" t="s">
        <v>139</v>
      </c>
      <c r="AB3" s="74" t="s">
        <v>140</v>
      </c>
      <c r="AC3" s="74" t="s">
        <v>141</v>
      </c>
      <c r="AD3" s="74" t="s">
        <v>142</v>
      </c>
      <c r="AE3" s="74" t="s">
        <v>143</v>
      </c>
      <c r="AF3" s="74" t="s">
        <v>144</v>
      </c>
      <c r="AG3" s="74" t="s">
        <v>145</v>
      </c>
      <c r="AH3" s="75" t="s">
        <v>135</v>
      </c>
      <c r="AI3" s="93" t="s">
        <v>146</v>
      </c>
      <c r="AJ3" s="93" t="s">
        <v>147</v>
      </c>
      <c r="AK3" s="426" t="s">
        <v>61</v>
      </c>
      <c r="AL3" s="72"/>
    </row>
    <row r="4" spans="1:37" ht="78.75">
      <c r="A4" s="84" t="str">
        <f>'CFL Fixtures'!B43</f>
        <v>Energy Star CFL Flood Light Fixture</v>
      </c>
      <c r="B4" s="77" t="s">
        <v>128</v>
      </c>
      <c r="C4" s="77" t="s">
        <v>158</v>
      </c>
      <c r="D4" s="77" t="s">
        <v>155</v>
      </c>
      <c r="E4" s="78">
        <f>'CFL Fixtures'!E43</f>
        <v>11</v>
      </c>
      <c r="F4" s="94">
        <f>'CFL Fixtures'!F43</f>
        <v>-1.22</v>
      </c>
      <c r="G4" s="94">
        <f>'CFL Fixtures'!G43</f>
        <v>5.3198442459106445</v>
      </c>
      <c r="H4" s="79">
        <f>'CFL Fixtures'!C43</f>
        <v>15</v>
      </c>
      <c r="I4" s="79" t="s">
        <v>159</v>
      </c>
      <c r="J4" s="91">
        <f>'CFL Fixtures'!D43</f>
        <v>148.8032</v>
      </c>
      <c r="K4" s="91">
        <f>'CFL Fixtures'!K43</f>
        <v>160.14944400000002</v>
      </c>
      <c r="L4" s="81">
        <f>'CFL Fixtures'!J43</f>
        <v>0.27799999713897705</v>
      </c>
      <c r="M4" s="86">
        <f>'CFL Fixtures'!L43</f>
        <v>0.01270592036923766</v>
      </c>
      <c r="N4" s="85">
        <f>'CFL Fixtures'!N43/'CFL Fixtures'!$K43</f>
        <v>0.06868586035927698</v>
      </c>
      <c r="O4" s="85">
        <f>'CFL Fixtures'!O43/'CFL Fixtures'!$K43</f>
        <v>-0.08020680142745601</v>
      </c>
      <c r="P4" s="85">
        <f>'CFL Fixtures'!P43/'CFL Fixtures'!$K43</f>
        <v>0.03321800009440335</v>
      </c>
      <c r="Q4" s="85">
        <f>('CFL Fixtures'!N43+'CFL Fixtures'!P43)/'CFL Fixtures'!$K43</f>
        <v>0.10190386045368033</v>
      </c>
      <c r="R4" s="80">
        <f>'CFL Fixtures'!S43/'CFL Fixtures'!K43</f>
        <v>0.3337509344356284</v>
      </c>
      <c r="S4" s="80">
        <f>'CFL Fixtures'!T43/'CFL Fixtures'!$K43</f>
        <v>0.0025127834874677387</v>
      </c>
      <c r="T4" s="80">
        <f>'CFL Fixtures'!U43/'CFL Fixtures'!$K43</f>
        <v>0.039367586169972366</v>
      </c>
      <c r="U4" s="80">
        <f>'CFL Fixtures'!V43/'CFL Fixtures'!K43</f>
        <v>0.3755173591938156</v>
      </c>
      <c r="V4" s="80">
        <f aca="true" t="shared" si="0" ref="V4:V15">U4-Q4</f>
        <v>0.2736134987401353</v>
      </c>
      <c r="W4" s="86">
        <f aca="true" t="shared" si="1" ref="W4:W15">U4/Q4</f>
        <v>3.6850160290493053</v>
      </c>
      <c r="X4" s="81">
        <f>'CFL Fixtures'!I43</f>
        <v>0.4</v>
      </c>
      <c r="Y4" s="86">
        <f>'CFL Fixtures'!M43</f>
        <v>0.04570474848151207</v>
      </c>
      <c r="Z4" s="81">
        <f>'CFL Fixtures'!Y43/'CFL Fixtures'!K43</f>
        <v>0.060258592808992324</v>
      </c>
      <c r="AA4" s="80" t="s">
        <v>160</v>
      </c>
      <c r="AB4" s="87" t="s">
        <v>161</v>
      </c>
      <c r="AC4" s="80">
        <f>('CFL Fixtures'!Z43+(-1*'CFL Fixtures'!O43))/'CFL Fixtures'!$K43</f>
        <v>0.08020680142745601</v>
      </c>
      <c r="AD4" s="80">
        <f>'CFL Fixtures'!AA43/'CFL Fixtures'!$K43</f>
        <v>0</v>
      </c>
      <c r="AE4" s="80">
        <f>('CFL Fixtures'!N43+'CFL Fixtures'!P43)/'CFL Fixtures'!$K43</f>
        <v>0.10190386045368033</v>
      </c>
      <c r="AF4" s="80">
        <f aca="true" t="shared" si="2" ref="AF4:AF15">U4+Z4+AC4+AD4</f>
        <v>0.5159827534302639</v>
      </c>
      <c r="AG4" s="80">
        <f aca="true" t="shared" si="3" ref="AG4:AG15">AF4-AE4</f>
        <v>0.41407889297658357</v>
      </c>
      <c r="AH4" s="95">
        <f aca="true" t="shared" si="4" ref="AH4:AH15">AF4/AE4</f>
        <v>5.063426950981903</v>
      </c>
      <c r="AI4" s="92" t="s">
        <v>454</v>
      </c>
      <c r="AJ4" s="96"/>
      <c r="AK4" s="427">
        <f>VLOOKUP(A4,'CFL Fixtures'!B$43:R$55,17,0)</f>
        <v>2.0551700556123134</v>
      </c>
    </row>
    <row r="5" spans="1:37" ht="78.75">
      <c r="A5" s="84" t="str">
        <f>'CFL Fixtures'!B44</f>
        <v>Energy Star Average - All CFL Fixtures</v>
      </c>
      <c r="B5" s="77" t="s">
        <v>128</v>
      </c>
      <c r="C5" s="77" t="s">
        <v>158</v>
      </c>
      <c r="D5" s="77" t="s">
        <v>155</v>
      </c>
      <c r="E5" s="78">
        <f>'CFL Fixtures'!E44</f>
        <v>15.5</v>
      </c>
      <c r="F5" s="94">
        <f>'CFL Fixtures'!F44</f>
        <v>-1.13</v>
      </c>
      <c r="G5" s="94">
        <f>'CFL Fixtures'!G44</f>
        <v>2.7594830989837646</v>
      </c>
      <c r="H5" s="79">
        <f>'CFL Fixtures'!C44</f>
        <v>15</v>
      </c>
      <c r="I5" s="79" t="s">
        <v>159</v>
      </c>
      <c r="J5" s="91">
        <f>'CFL Fixtures'!D44</f>
        <v>133.0164538149482</v>
      </c>
      <c r="K5" s="91">
        <f>'CFL Fixtures'!K44</f>
        <v>143.158958418338</v>
      </c>
      <c r="L5" s="81">
        <f>'CFL Fixtures'!J44</f>
        <v>0.27799999713897705</v>
      </c>
      <c r="M5" s="86">
        <f>'CFL Fixtures'!L44</f>
        <v>0.011357930944839296</v>
      </c>
      <c r="N5" s="85">
        <f>'CFL Fixtures'!N44/'CFL Fixtures'!$K44</f>
        <v>0.10824543205564041</v>
      </c>
      <c r="O5" s="85">
        <f>'CFL Fixtures'!O44/'CFL Fixtures'!$K44</f>
        <v>-0.08337648304537675</v>
      </c>
      <c r="P5" s="85">
        <f>'CFL Fixtures'!P44/'CFL Fixtures'!$K44</f>
        <v>0.019275657838470888</v>
      </c>
      <c r="Q5" s="85">
        <f>('CFL Fixtures'!N44+'CFL Fixtures'!P44)/'CFL Fixtures'!$K44</f>
        <v>0.1275210898941113</v>
      </c>
      <c r="R5" s="80">
        <f>'CFL Fixtures'!S44/'CFL Fixtures'!K44</f>
        <v>0.33375093443562776</v>
      </c>
      <c r="S5" s="80">
        <f>'CFL Fixtures'!T44/'CFL Fixtures'!$K44</f>
        <v>0.002512783524281355</v>
      </c>
      <c r="T5" s="80">
        <f>'CFL Fixtures'!U44/'CFL Fixtures'!$K44</f>
        <v>0.03936758715798126</v>
      </c>
      <c r="U5" s="80">
        <f>'CFL Fixtures'!V44/'CFL Fixtures'!K44</f>
        <v>0.37551736018182386</v>
      </c>
      <c r="V5" s="80">
        <f t="shared" si="0"/>
        <v>0.24799627028771257</v>
      </c>
      <c r="W5" s="86">
        <f t="shared" si="1"/>
        <v>2.944747104135005</v>
      </c>
      <c r="X5" s="81">
        <f>'CFL Fixtures'!I44</f>
        <v>0.4</v>
      </c>
      <c r="Y5" s="86">
        <f>'CFL Fixtures'!M44</f>
        <v>0.04085586592555046</v>
      </c>
      <c r="Z5" s="81">
        <f>'CFL Fixtures'!Y44/'CFL Fixtures'!K44</f>
        <v>0.0602585992461928</v>
      </c>
      <c r="AA5" s="80" t="s">
        <v>160</v>
      </c>
      <c r="AB5" s="87" t="s">
        <v>161</v>
      </c>
      <c r="AC5" s="80">
        <f>('CFL Fixtures'!Z44+(-1*'CFL Fixtures'!O44))/'CFL Fixtures'!$K44</f>
        <v>0.08337648304537675</v>
      </c>
      <c r="AD5" s="80">
        <f>'CFL Fixtures'!AA44/'CFL Fixtures'!$K44</f>
        <v>0</v>
      </c>
      <c r="AE5" s="80">
        <f>('CFL Fixtures'!N44+'CFL Fixtures'!P44)/'CFL Fixtures'!$K44</f>
        <v>0.1275210898941113</v>
      </c>
      <c r="AF5" s="80">
        <f t="shared" si="2"/>
        <v>0.5191524424733934</v>
      </c>
      <c r="AG5" s="80">
        <f t="shared" si="3"/>
        <v>0.39163135257928217</v>
      </c>
      <c r="AH5" s="95">
        <f t="shared" si="4"/>
        <v>4.071110456352577</v>
      </c>
      <c r="AI5" s="92" t="s">
        <v>454</v>
      </c>
      <c r="AJ5" s="92"/>
      <c r="AK5" s="427">
        <f>VLOOKUP(A5,'CFL Fixtures'!B$43:R$55,17,0)</f>
        <v>4.181427132209921</v>
      </c>
    </row>
    <row r="6" spans="1:37" ht="67.5">
      <c r="A6" s="84" t="str">
        <f>'CFL Fixtures'!B45</f>
        <v>Energy Star CFL Porch Light Fixture</v>
      </c>
      <c r="B6" s="77" t="s">
        <v>128</v>
      </c>
      <c r="C6" s="77" t="s">
        <v>158</v>
      </c>
      <c r="D6" s="77" t="s">
        <v>155</v>
      </c>
      <c r="E6" s="78">
        <f>'CFL Fixtures'!E45</f>
        <v>12</v>
      </c>
      <c r="F6" s="94">
        <f>'CFL Fixtures'!F45</f>
        <v>-1.22</v>
      </c>
      <c r="G6" s="94">
        <f>'CFL Fixtures'!G45</f>
        <v>5.3198442459106445</v>
      </c>
      <c r="H6" s="79">
        <f>'CFL Fixtures'!C45</f>
        <v>15</v>
      </c>
      <c r="I6" s="79" t="s">
        <v>159</v>
      </c>
      <c r="J6" s="91">
        <f>'CFL Fixtures'!D45</f>
        <v>88.70960000000001</v>
      </c>
      <c r="K6" s="91">
        <f>'CFL Fixtures'!K45</f>
        <v>95.473707</v>
      </c>
      <c r="L6" s="81">
        <f>'CFL Fixtures'!J45</f>
        <v>0.27799999713897705</v>
      </c>
      <c r="M6" s="86">
        <f>'CFL Fixtures'!L45</f>
        <v>0.007574683297045529</v>
      </c>
      <c r="N6" s="85">
        <f>'CFL Fixtures'!N45/'CFL Fixtures'!$K45</f>
        <v>0.12568908171316373</v>
      </c>
      <c r="O6" s="85">
        <f>'CFL Fixtures'!O45/'CFL Fixtures'!$K45</f>
        <v>-0.13454044110411978</v>
      </c>
      <c r="P6" s="85">
        <f>'CFL Fixtures'!P45/'CFL Fixtures'!$K45</f>
        <v>0.055720516287386265</v>
      </c>
      <c r="Q6" s="85">
        <f>('CFL Fixtures'!N45+'CFL Fixtures'!P45)/'CFL Fixtures'!$K45</f>
        <v>0.18140959800055</v>
      </c>
      <c r="R6" s="80">
        <f>'CFL Fixtures'!S45/'CFL Fixtures'!K45</f>
        <v>0.33375093443562776</v>
      </c>
      <c r="S6" s="80">
        <f>'CFL Fixtures'!T45/'CFL Fixtures'!$K45</f>
        <v>0.002512783403426777</v>
      </c>
      <c r="T6" s="80">
        <f>'CFL Fixtures'!U45/'CFL Fixtures'!$K45</f>
        <v>0.0393675871304405</v>
      </c>
      <c r="U6" s="80">
        <f>'CFL Fixtures'!V45/'CFL Fixtures'!K45</f>
        <v>0.3755173601542831</v>
      </c>
      <c r="V6" s="80">
        <f t="shared" si="0"/>
        <v>0.1941077621537331</v>
      </c>
      <c r="W6" s="86">
        <f t="shared" si="1"/>
        <v>2.0699972013230776</v>
      </c>
      <c r="X6" s="81">
        <f>'CFL Fixtures'!I45</f>
        <v>0.4</v>
      </c>
      <c r="Y6" s="86">
        <f>'CFL Fixtures'!M45</f>
        <v>0.02724706195294857</v>
      </c>
      <c r="Z6" s="81">
        <f>'CFL Fixtures'!Y45/'CFL Fixtures'!K45</f>
        <v>0.06025859914808203</v>
      </c>
      <c r="AA6" s="80" t="s">
        <v>160</v>
      </c>
      <c r="AB6" s="87" t="s">
        <v>161</v>
      </c>
      <c r="AC6" s="80">
        <f>('CFL Fixtures'!Z45+(-1*'CFL Fixtures'!O45))/'CFL Fixtures'!$K45</f>
        <v>0.13454044110411978</v>
      </c>
      <c r="AD6" s="80">
        <f>'CFL Fixtures'!AA45/'CFL Fixtures'!$K45</f>
        <v>0</v>
      </c>
      <c r="AE6" s="80">
        <f>('CFL Fixtures'!N45+'CFL Fixtures'!P45)/'CFL Fixtures'!$K45</f>
        <v>0.18140959800055</v>
      </c>
      <c r="AF6" s="80">
        <f t="shared" si="2"/>
        <v>0.5703164004064849</v>
      </c>
      <c r="AG6" s="80">
        <f t="shared" si="3"/>
        <v>0.3889068024059349</v>
      </c>
      <c r="AH6" s="95">
        <f t="shared" si="4"/>
        <v>3.14380499539366</v>
      </c>
      <c r="AI6" s="92" t="s">
        <v>454</v>
      </c>
      <c r="AJ6" s="92"/>
      <c r="AK6" s="427">
        <f>VLOOKUP(A6,'CFL Fixtures'!B$43:R$55,17,0)</f>
        <v>4.439499513282343</v>
      </c>
    </row>
    <row r="7" spans="1:37" ht="67.5">
      <c r="A7" s="84" t="str">
        <f>'CFL Fixtures'!B46</f>
        <v>Energy Star CFL Ceiling Flush Mount Fixture</v>
      </c>
      <c r="B7" s="77" t="s">
        <v>128</v>
      </c>
      <c r="C7" s="77" t="s">
        <v>158</v>
      </c>
      <c r="D7" s="77" t="s">
        <v>155</v>
      </c>
      <c r="E7" s="78">
        <f>'CFL Fixtures'!E46</f>
        <v>13</v>
      </c>
      <c r="F7" s="94">
        <f>'CFL Fixtures'!F46</f>
        <v>-0.73</v>
      </c>
      <c r="G7" s="94">
        <f>'CFL Fixtures'!G46</f>
        <v>2.7594830989837646</v>
      </c>
      <c r="H7" s="79">
        <f>'CFL Fixtures'!C46</f>
        <v>15</v>
      </c>
      <c r="I7" s="79" t="s">
        <v>159</v>
      </c>
      <c r="J7" s="91">
        <f>'CFL Fixtures'!D46</f>
        <v>156.1069500298898</v>
      </c>
      <c r="K7" s="91">
        <f>'CFL Fixtures'!K46</f>
        <v>168.0101049696689</v>
      </c>
      <c r="L7" s="81">
        <f>'CFL Fixtures'!J46</f>
        <v>0.27799999713897705</v>
      </c>
      <c r="M7" s="86">
        <f>'CFL Fixtures'!L46</f>
        <v>0.013329568693175567</v>
      </c>
      <c r="N7" s="85">
        <f>'CFL Fixtures'!N46/'CFL Fixtures'!$K46</f>
        <v>0.07735667313347382</v>
      </c>
      <c r="O7" s="85">
        <f>'CFL Fixtures'!O46/'CFL Fixtures'!$K46</f>
        <v>-0.045871254694144666</v>
      </c>
      <c r="P7" s="85">
        <f>'CFL Fixtures'!P46/'CFL Fixtures'!$K46</f>
        <v>0.016424506725246903</v>
      </c>
      <c r="Q7" s="85">
        <f>('CFL Fixtures'!N46+'CFL Fixtures'!P46)/'CFL Fixtures'!$K46</f>
        <v>0.09378117985872071</v>
      </c>
      <c r="R7" s="80">
        <f>'CFL Fixtures'!S46/'CFL Fixtures'!K46</f>
        <v>0.333750934435628</v>
      </c>
      <c r="S7" s="80">
        <f>'CFL Fixtures'!T46/'CFL Fixtures'!$K46</f>
        <v>0.002512783521563137</v>
      </c>
      <c r="T7" s="80">
        <f>'CFL Fixtures'!U46/'CFL Fixtures'!$K46</f>
        <v>0.03936758704294661</v>
      </c>
      <c r="U7" s="80">
        <f>'CFL Fixtures'!V46/'CFL Fixtures'!K46</f>
        <v>0.3755173600667894</v>
      </c>
      <c r="V7" s="80">
        <f t="shared" si="0"/>
        <v>0.2817361802080687</v>
      </c>
      <c r="W7" s="86">
        <f t="shared" si="1"/>
        <v>4.004186774281344</v>
      </c>
      <c r="X7" s="81">
        <f>'CFL Fixtures'!I46</f>
        <v>0.4</v>
      </c>
      <c r="Y7" s="86">
        <f>'CFL Fixtures'!M46</f>
        <v>0.04794808849692345</v>
      </c>
      <c r="Z7" s="81">
        <f>'CFL Fixtures'!Y46/'CFL Fixtures'!K46</f>
        <v>0.06025859577453105</v>
      </c>
      <c r="AA7" s="80" t="s">
        <v>160</v>
      </c>
      <c r="AB7" s="87" t="s">
        <v>161</v>
      </c>
      <c r="AC7" s="80">
        <f>('CFL Fixtures'!Z46+(-1*'CFL Fixtures'!O46))/'CFL Fixtures'!$K46</f>
        <v>0.045871254694144666</v>
      </c>
      <c r="AD7" s="80">
        <f>'CFL Fixtures'!AA46/'CFL Fixtures'!$K46</f>
        <v>0</v>
      </c>
      <c r="AE7" s="80">
        <f>('CFL Fixtures'!N46+'CFL Fixtures'!P46)/'CFL Fixtures'!$K46</f>
        <v>0.09378117985872071</v>
      </c>
      <c r="AF7" s="80">
        <f t="shared" si="2"/>
        <v>0.4816472105354651</v>
      </c>
      <c r="AG7" s="80">
        <f t="shared" si="3"/>
        <v>0.3878660306767444</v>
      </c>
      <c r="AH7" s="95">
        <f t="shared" si="4"/>
        <v>5.135862134183597</v>
      </c>
      <c r="AI7" s="92" t="s">
        <v>454</v>
      </c>
      <c r="AJ7" s="92"/>
      <c r="AK7" s="427">
        <f>VLOOKUP(A7,'CFL Fixtures'!B$43:R$55,17,0)</f>
        <v>4.538082446359998</v>
      </c>
    </row>
    <row r="8" spans="1:37" ht="67.5">
      <c r="A8" s="84" t="str">
        <f>'CFL Fixtures'!B47</f>
        <v>Energy Star CFL Pendant Fixture</v>
      </c>
      <c r="B8" s="77" t="s">
        <v>128</v>
      </c>
      <c r="C8" s="77" t="s">
        <v>158</v>
      </c>
      <c r="D8" s="77" t="s">
        <v>155</v>
      </c>
      <c r="E8" s="78">
        <f>'CFL Fixtures'!E47</f>
        <v>10</v>
      </c>
      <c r="F8" s="94">
        <f>'CFL Fixtures'!F47</f>
        <v>-0.49</v>
      </c>
      <c r="G8" s="94">
        <f>'CFL Fixtures'!G47</f>
        <v>2.2919840812683105</v>
      </c>
      <c r="H8" s="79">
        <f>'CFL Fixtures'!C47</f>
        <v>15</v>
      </c>
      <c r="I8" s="79" t="s">
        <v>159</v>
      </c>
      <c r="J8" s="91">
        <f>'CFL Fixtures'!D47</f>
        <v>112.44485289509305</v>
      </c>
      <c r="K8" s="91">
        <f>'CFL Fixtures'!K47</f>
        <v>121.01877292834389</v>
      </c>
      <c r="L8" s="81">
        <f>'CFL Fixtures'!J47</f>
        <v>0.27799999713897705</v>
      </c>
      <c r="M8" s="86">
        <f>'CFL Fixtures'!L47</f>
        <v>0.009601375150639873</v>
      </c>
      <c r="N8" s="85">
        <f>'CFL Fixtures'!N47/'CFL Fixtures'!$K47</f>
        <v>0.0826318255576688</v>
      </c>
      <c r="O8" s="85">
        <f>'CFL Fixtures'!O47/'CFL Fixtures'!$K47</f>
        <v>-0.04245820886329938</v>
      </c>
      <c r="P8" s="85">
        <f>'CFL Fixtures'!P47/'CFL Fixtures'!$K47</f>
        <v>0.018939078837176868</v>
      </c>
      <c r="Q8" s="85">
        <f>('CFL Fixtures'!N47+'CFL Fixtures'!P47)/'CFL Fixtures'!$K47</f>
        <v>0.10157090439484567</v>
      </c>
      <c r="R8" s="80">
        <f>'CFL Fixtures'!S47/'CFL Fixtures'!K47</f>
        <v>0.333750934435628</v>
      </c>
      <c r="S8" s="80">
        <f>'CFL Fixtures'!T47/'CFL Fixtures'!$K47</f>
        <v>0.00251278334417903</v>
      </c>
      <c r="T8" s="80">
        <f>'CFL Fixtures'!U47/'CFL Fixtures'!$K47</f>
        <v>0.03936758951877584</v>
      </c>
      <c r="U8" s="80">
        <f>'CFL Fixtures'!V47/'CFL Fixtures'!K47</f>
        <v>0.37551736254261864</v>
      </c>
      <c r="V8" s="80">
        <f t="shared" si="0"/>
        <v>0.27394645814777296</v>
      </c>
      <c r="W8" s="86">
        <f t="shared" si="1"/>
        <v>3.6970957852539774</v>
      </c>
      <c r="X8" s="81">
        <f>'CFL Fixtures'!I47</f>
        <v>0.4</v>
      </c>
      <c r="Y8" s="86">
        <f>'CFL Fixtures'!M47</f>
        <v>0.03453732281923294</v>
      </c>
      <c r="Z8" s="81">
        <f>'CFL Fixtures'!Y47/'CFL Fixtures'!K47</f>
        <v>0.06025859595568928</v>
      </c>
      <c r="AA8" s="80" t="s">
        <v>160</v>
      </c>
      <c r="AB8" s="87" t="s">
        <v>161</v>
      </c>
      <c r="AC8" s="80">
        <f>('CFL Fixtures'!Z47+(-1*'CFL Fixtures'!O47))/'CFL Fixtures'!$K47</f>
        <v>0.04245820886329938</v>
      </c>
      <c r="AD8" s="80">
        <f>'CFL Fixtures'!AA47/'CFL Fixtures'!$K47</f>
        <v>0</v>
      </c>
      <c r="AE8" s="80">
        <f>('CFL Fixtures'!N47+'CFL Fixtures'!P47)/'CFL Fixtures'!$K47</f>
        <v>0.10157090439484567</v>
      </c>
      <c r="AF8" s="80">
        <f t="shared" si="2"/>
        <v>0.4782341673616073</v>
      </c>
      <c r="AG8" s="80">
        <f t="shared" si="3"/>
        <v>0.3766632629667616</v>
      </c>
      <c r="AH8" s="95">
        <f t="shared" si="4"/>
        <v>4.708377563544426</v>
      </c>
      <c r="AI8" s="92" t="s">
        <v>454</v>
      </c>
      <c r="AJ8" s="92"/>
      <c r="AK8" s="427">
        <f>VLOOKUP(A8,'CFL Fixtures'!B$43:R$55,17,0)</f>
        <v>5.599221725172228</v>
      </c>
    </row>
    <row r="9" spans="1:37" ht="67.5">
      <c r="A9" s="84" t="str">
        <f>'CFL Fixtures'!B48</f>
        <v>Energy Star CFL Wall Sconce Fixture</v>
      </c>
      <c r="B9" s="77" t="s">
        <v>128</v>
      </c>
      <c r="C9" s="77" t="s">
        <v>158</v>
      </c>
      <c r="D9" s="77" t="s">
        <v>155</v>
      </c>
      <c r="E9" s="78">
        <f>'CFL Fixtures'!E48</f>
        <v>15</v>
      </c>
      <c r="F9" s="94">
        <f>'CFL Fixtures'!F48</f>
        <v>-0.97</v>
      </c>
      <c r="G9" s="94">
        <f>'CFL Fixtures'!G48</f>
        <v>5.3198442459106445</v>
      </c>
      <c r="H9" s="79">
        <f>'CFL Fixtures'!C48</f>
        <v>15</v>
      </c>
      <c r="I9" s="79" t="s">
        <v>159</v>
      </c>
      <c r="J9" s="91">
        <f>'CFL Fixtures'!D48</f>
        <v>148.33150807437804</v>
      </c>
      <c r="K9" s="91">
        <f>'CFL Fixtures'!K48</f>
        <v>159.64178556504933</v>
      </c>
      <c r="L9" s="81">
        <f>'CFL Fixtures'!J48</f>
        <v>0.27799999713897705</v>
      </c>
      <c r="M9" s="86">
        <f>'CFL Fixtures'!L48</f>
        <v>0.0126656438157377</v>
      </c>
      <c r="N9" s="85">
        <f>'CFL Fixtures'!N48/'CFL Fixtures'!$K48</f>
        <v>0.09396038228734924</v>
      </c>
      <c r="O9" s="85">
        <f>'CFL Fixtures'!O48/'CFL Fixtures'!$K48</f>
        <v>-0.06436551604944793</v>
      </c>
      <c r="P9" s="85">
        <f>'CFL Fixtures'!P48/'CFL Fixtures'!$K48</f>
        <v>0.03332363282633772</v>
      </c>
      <c r="Q9" s="85">
        <f>('CFL Fixtures'!N48+'CFL Fixtures'!P48)/'CFL Fixtures'!$K48</f>
        <v>0.12728401511368695</v>
      </c>
      <c r="R9" s="80">
        <f>'CFL Fixtures'!S48/'CFL Fixtures'!K48</f>
        <v>0.3337509344356279</v>
      </c>
      <c r="S9" s="80">
        <f>'CFL Fixtures'!T48/'CFL Fixtures'!$K48</f>
        <v>0.002512783530861498</v>
      </c>
      <c r="T9" s="80">
        <f>'CFL Fixtures'!U48/'CFL Fixtures'!$K48</f>
        <v>0.03936758672251081</v>
      </c>
      <c r="U9" s="80">
        <f>'CFL Fixtures'!V48/'CFL Fixtures'!K48</f>
        <v>0.37551735974635353</v>
      </c>
      <c r="V9" s="80">
        <f t="shared" si="0"/>
        <v>0.24823334463266658</v>
      </c>
      <c r="W9" s="86">
        <f t="shared" si="1"/>
        <v>2.9502318842703907</v>
      </c>
      <c r="X9" s="81">
        <f>'CFL Fixtures'!I48</f>
        <v>0.4</v>
      </c>
      <c r="Y9" s="86">
        <f>'CFL Fixtures'!M48</f>
        <v>0.045559871941804886</v>
      </c>
      <c r="Z9" s="81">
        <f>'CFL Fixtures'!Y48/'CFL Fixtures'!K48</f>
        <v>0.06025858540614393</v>
      </c>
      <c r="AA9" s="80" t="s">
        <v>160</v>
      </c>
      <c r="AB9" s="87" t="s">
        <v>161</v>
      </c>
      <c r="AC9" s="80">
        <f>('CFL Fixtures'!Z48+(-1*'CFL Fixtures'!O48))/'CFL Fixtures'!$K48</f>
        <v>0.06436551604944793</v>
      </c>
      <c r="AD9" s="80">
        <f>'CFL Fixtures'!AA48/'CFL Fixtures'!$K48</f>
        <v>0</v>
      </c>
      <c r="AE9" s="80">
        <f>('CFL Fixtures'!N48+'CFL Fixtures'!P48)/'CFL Fixtures'!$K48</f>
        <v>0.12728401511368695</v>
      </c>
      <c r="AF9" s="80">
        <f t="shared" si="2"/>
        <v>0.5001414612019454</v>
      </c>
      <c r="AG9" s="80">
        <f t="shared" si="3"/>
        <v>0.37285744608825844</v>
      </c>
      <c r="AH9" s="95">
        <f t="shared" si="4"/>
        <v>3.929334416071266</v>
      </c>
      <c r="AI9" s="92" t="s">
        <v>454</v>
      </c>
      <c r="AJ9" s="92"/>
      <c r="AK9" s="427">
        <f>VLOOKUP(A9,'CFL Fixtures'!B$43:R$55,17,0)</f>
        <v>5.959711204475213</v>
      </c>
    </row>
    <row r="10" spans="1:37" ht="67.5">
      <c r="A10" s="84" t="str">
        <f>'CFL Fixtures'!B49</f>
        <v>Energy Star Average - CFL Interior Fixture</v>
      </c>
      <c r="B10" s="77" t="s">
        <v>128</v>
      </c>
      <c r="C10" s="77" t="s">
        <v>158</v>
      </c>
      <c r="D10" s="77" t="s">
        <v>155</v>
      </c>
      <c r="E10" s="78">
        <f>'CFL Fixtures'!E49</f>
        <v>15.1</v>
      </c>
      <c r="F10" s="94">
        <f>'CFL Fixtures'!F49</f>
        <v>-0.73</v>
      </c>
      <c r="G10" s="94">
        <f>'CFL Fixtures'!G49</f>
        <v>2.6343514919281006</v>
      </c>
      <c r="H10" s="79">
        <f>'CFL Fixtures'!C49</f>
        <v>15</v>
      </c>
      <c r="I10" s="79" t="s">
        <v>159</v>
      </c>
      <c r="J10" s="91">
        <f>'CFL Fixtures'!D49</f>
        <v>138.06959718743238</v>
      </c>
      <c r="K10" s="91">
        <f>'CFL Fixtures'!K49</f>
        <v>148.5974039729741</v>
      </c>
      <c r="L10" s="81">
        <f>'CFL Fixtures'!J49</f>
        <v>0.27799999713897705</v>
      </c>
      <c r="M10" s="86">
        <f>'CFL Fixtures'!L49</f>
        <v>0.01178940578748465</v>
      </c>
      <c r="N10" s="85">
        <f>'CFL Fixtures'!N49/'CFL Fixtures'!$K49</f>
        <v>0.10163436788819541</v>
      </c>
      <c r="O10" s="85">
        <f>'CFL Fixtures'!O49/'CFL Fixtures'!$K49</f>
        <v>-0.05156545502954277</v>
      </c>
      <c r="P10" s="85">
        <f>'CFL Fixtures'!P49/'CFL Fixtures'!$K49</f>
        <v>0.017728112480398506</v>
      </c>
      <c r="Q10" s="85">
        <f>('CFL Fixtures'!N49+'CFL Fixtures'!P49)/'CFL Fixtures'!$K49</f>
        <v>0.11936248036859393</v>
      </c>
      <c r="R10" s="80">
        <f>'CFL Fixtures'!S49/'CFL Fixtures'!K49</f>
        <v>0.33375093443562787</v>
      </c>
      <c r="S10" s="80">
        <f>'CFL Fixtures'!T49/'CFL Fixtures'!$K49</f>
        <v>0.0025127833905300803</v>
      </c>
      <c r="T10" s="80">
        <f>'CFL Fixtures'!U49/'CFL Fixtures'!$K49</f>
        <v>0.03936758698399206</v>
      </c>
      <c r="U10" s="80">
        <f>'CFL Fixtures'!V49/'CFL Fixtures'!K49</f>
        <v>0.37551736000783476</v>
      </c>
      <c r="V10" s="80">
        <f t="shared" si="0"/>
        <v>0.25615487963924083</v>
      </c>
      <c r="W10" s="86">
        <f t="shared" si="1"/>
        <v>3.146025106450779</v>
      </c>
      <c r="X10" s="81">
        <f>'CFL Fixtures'!I49</f>
        <v>0.4</v>
      </c>
      <c r="Y10" s="86">
        <f>'CFL Fixtures'!M49</f>
        <v>0.04240793362259865</v>
      </c>
      <c r="Z10" s="81">
        <f>'CFL Fixtures'!Y49/'CFL Fixtures'!K49</f>
        <v>0.06025859858330273</v>
      </c>
      <c r="AA10" s="80" t="s">
        <v>160</v>
      </c>
      <c r="AB10" s="87" t="s">
        <v>161</v>
      </c>
      <c r="AC10" s="80">
        <f>('CFL Fixtures'!Z49+(-1*'CFL Fixtures'!O49))/'CFL Fixtures'!$K49</f>
        <v>0.05156545502954277</v>
      </c>
      <c r="AD10" s="80">
        <f>'CFL Fixtures'!AA49/'CFL Fixtures'!$K49</f>
        <v>0</v>
      </c>
      <c r="AE10" s="80">
        <f>('CFL Fixtures'!N49+'CFL Fixtures'!P49)/'CFL Fixtures'!$K49</f>
        <v>0.11936248036859393</v>
      </c>
      <c r="AF10" s="80">
        <f t="shared" si="2"/>
        <v>0.4873414136206803</v>
      </c>
      <c r="AG10" s="80">
        <f t="shared" si="3"/>
        <v>0.36797893325208636</v>
      </c>
      <c r="AH10" s="95">
        <f t="shared" si="4"/>
        <v>4.082869358241882</v>
      </c>
      <c r="AI10" s="92" t="s">
        <v>454</v>
      </c>
      <c r="AJ10" s="92"/>
      <c r="AK10" s="427">
        <f>VLOOKUP(A10,'CFL Fixtures'!B$43:R$55,17,0)</f>
        <v>6.421811092845887</v>
      </c>
    </row>
    <row r="11" spans="1:37" ht="67.5">
      <c r="A11" s="84" t="str">
        <f>'CFL Fixtures'!B50</f>
        <v>Energy Star Average - CFL Exterior Fixture</v>
      </c>
      <c r="B11" s="77" t="s">
        <v>128</v>
      </c>
      <c r="C11" s="77" t="s">
        <v>158</v>
      </c>
      <c r="D11" s="77" t="s">
        <v>155</v>
      </c>
      <c r="E11" s="78">
        <f>'CFL Fixtures'!E50</f>
        <v>17.14</v>
      </c>
      <c r="F11" s="94">
        <f>'CFL Fixtures'!F50</f>
        <v>-1.22</v>
      </c>
      <c r="G11" s="94">
        <f>'CFL Fixtures'!G50</f>
        <v>5.3198442459106445</v>
      </c>
      <c r="H11" s="79">
        <f>'CFL Fixtures'!C50</f>
        <v>15</v>
      </c>
      <c r="I11" s="79" t="s">
        <v>159</v>
      </c>
      <c r="J11" s="91">
        <f>'CFL Fixtures'!D50</f>
        <v>111.92412887283561</v>
      </c>
      <c r="K11" s="91">
        <f>'CFL Fixtures'!K50</f>
        <v>120.45834369938933</v>
      </c>
      <c r="L11" s="81">
        <f>'CFL Fixtures'!J50</f>
        <v>0.27799999713897705</v>
      </c>
      <c r="M11" s="86">
        <f>'CFL Fixtures'!L50</f>
        <v>0.009556911873229493</v>
      </c>
      <c r="N11" s="85">
        <f>'CFL Fixtures'!N50/'CFL Fixtures'!$K50</f>
        <v>0.14228739272783977</v>
      </c>
      <c r="O11" s="85">
        <f>'CFL Fixtures'!O50/'CFL Fixtures'!$K50</f>
        <v>-0.1066349931365577</v>
      </c>
      <c r="P11" s="85">
        <f>'CFL Fixtures'!P50/'CFL Fixtures'!$K50</f>
        <v>0.04416335209777265</v>
      </c>
      <c r="Q11" s="85">
        <f>('CFL Fixtures'!N50+'CFL Fixtures'!P50)/'CFL Fixtures'!$K50</f>
        <v>0.1864507448256124</v>
      </c>
      <c r="R11" s="80">
        <f>'CFL Fixtures'!S50/'CFL Fixtures'!K50</f>
        <v>0.3337509344356276</v>
      </c>
      <c r="S11" s="80">
        <f>'CFL Fixtures'!T50/'CFL Fixtures'!$K50</f>
        <v>0.002512783492733661</v>
      </c>
      <c r="T11" s="80">
        <f>'CFL Fixtures'!U50/'CFL Fixtures'!$K50</f>
        <v>0.039367585305948104</v>
      </c>
      <c r="U11" s="80">
        <f>'CFL Fixtures'!V50/'CFL Fixtures'!K50</f>
        <v>0.3755173583297905</v>
      </c>
      <c r="V11" s="80">
        <f t="shared" si="0"/>
        <v>0.18906661350417808</v>
      </c>
      <c r="W11" s="86">
        <f t="shared" si="1"/>
        <v>2.014029810827585</v>
      </c>
      <c r="X11" s="81">
        <f>'CFL Fixtures'!I50</f>
        <v>0.4</v>
      </c>
      <c r="Y11" s="86">
        <f>'CFL Fixtures'!M50</f>
        <v>0.03437738120555878</v>
      </c>
      <c r="Z11" s="81">
        <f>'CFL Fixtures'!Y50/'CFL Fixtures'!K50</f>
        <v>0.06025858901201713</v>
      </c>
      <c r="AA11" s="80" t="s">
        <v>160</v>
      </c>
      <c r="AB11" s="87" t="s">
        <v>161</v>
      </c>
      <c r="AC11" s="80">
        <f>('CFL Fixtures'!Z50+(-1*'CFL Fixtures'!O50))/'CFL Fixtures'!$K50</f>
        <v>0.1066349931365577</v>
      </c>
      <c r="AD11" s="80">
        <f>'CFL Fixtures'!AA50/'CFL Fixtures'!$K50</f>
        <v>0</v>
      </c>
      <c r="AE11" s="80">
        <f>('CFL Fixtures'!N50+'CFL Fixtures'!P50)/'CFL Fixtures'!$K50</f>
        <v>0.1864507448256124</v>
      </c>
      <c r="AF11" s="80">
        <f t="shared" si="2"/>
        <v>0.5424109404783654</v>
      </c>
      <c r="AG11" s="80">
        <f t="shared" si="3"/>
        <v>0.35596019565275294</v>
      </c>
      <c r="AH11" s="95">
        <f t="shared" si="4"/>
        <v>2.9091379655559053</v>
      </c>
      <c r="AI11" s="92" t="s">
        <v>454</v>
      </c>
      <c r="AJ11" s="92"/>
      <c r="AK11" s="427">
        <f>VLOOKUP(A11,'CFL Fixtures'!B$43:R$55,17,0)</f>
        <v>7.5602388144715365</v>
      </c>
    </row>
    <row r="12" spans="1:37" ht="67.5">
      <c r="A12" s="84" t="str">
        <f>'CFL Fixtures'!B51</f>
        <v>Energy Star Fluorescent Torchieres</v>
      </c>
      <c r="B12" s="77" t="s">
        <v>128</v>
      </c>
      <c r="C12" s="77" t="s">
        <v>158</v>
      </c>
      <c r="D12" s="77" t="s">
        <v>155</v>
      </c>
      <c r="E12" s="78">
        <f>'CFL Fixtures'!E51</f>
        <v>29</v>
      </c>
      <c r="F12" s="94">
        <f>'CFL Fixtures'!F51</f>
        <v>-0.73</v>
      </c>
      <c r="G12" s="94">
        <f>'CFL Fixtures'!G51</f>
        <v>2.7594830989837646</v>
      </c>
      <c r="H12" s="79">
        <f>'CFL Fixtures'!C51</f>
        <v>15</v>
      </c>
      <c r="I12" s="79" t="s">
        <v>159</v>
      </c>
      <c r="J12" s="91">
        <f>'CFL Fixtures'!D51</f>
        <v>204.55393452192456</v>
      </c>
      <c r="K12" s="91">
        <f>'CFL Fixtures'!K51</f>
        <v>220.1511720292213</v>
      </c>
      <c r="L12" s="81">
        <f>'CFL Fixtures'!J51</f>
        <v>0.27799999713897705</v>
      </c>
      <c r="M12" s="86">
        <f>'CFL Fixtures'!L51</f>
        <v>0.01746633139105764</v>
      </c>
      <c r="N12" s="85">
        <f>'CFL Fixtures'!N51/'CFL Fixtures'!$K51</f>
        <v>0.13172769384222524</v>
      </c>
      <c r="O12" s="85">
        <f>'CFL Fixtures'!O51/'CFL Fixtures'!$K51</f>
        <v>-0.03500701016132093</v>
      </c>
      <c r="P12" s="85">
        <f>'CFL Fixtures'!P51/'CFL Fixtures'!$K51</f>
        <v>0.012534491974530531</v>
      </c>
      <c r="Q12" s="85">
        <f>('CFL Fixtures'!N51+'CFL Fixtures'!P51)/'CFL Fixtures'!$K51</f>
        <v>0.1442621858167558</v>
      </c>
      <c r="R12" s="80">
        <f>'CFL Fixtures'!S51/'CFL Fixtures'!K51</f>
        <v>0.3337509344356285</v>
      </c>
      <c r="S12" s="80">
        <f>'CFL Fixtures'!T51/'CFL Fixtures'!$K51</f>
        <v>0.0025127833441790305</v>
      </c>
      <c r="T12" s="80">
        <f>'CFL Fixtures'!U51/'CFL Fixtures'!$K51</f>
        <v>0.039367587491074885</v>
      </c>
      <c r="U12" s="80">
        <f>'CFL Fixtures'!V51/'CFL Fixtures'!K51</f>
        <v>0.37551736051491813</v>
      </c>
      <c r="V12" s="80">
        <f t="shared" si="0"/>
        <v>0.23125517469816234</v>
      </c>
      <c r="W12" s="86">
        <f t="shared" si="1"/>
        <v>2.6030200387501856</v>
      </c>
      <c r="X12" s="81">
        <f>'CFL Fixtures'!I51</f>
        <v>0.4</v>
      </c>
      <c r="Y12" s="86">
        <f>'CFL Fixtures'!M51</f>
        <v>0.06282853335142136</v>
      </c>
      <c r="Z12" s="81">
        <f>'CFL Fixtures'!Y51/'CFL Fixtures'!K51</f>
        <v>0.06025859263763317</v>
      </c>
      <c r="AA12" s="80" t="s">
        <v>160</v>
      </c>
      <c r="AB12" s="87" t="s">
        <v>161</v>
      </c>
      <c r="AC12" s="80">
        <f>('CFL Fixtures'!Z51+(-1*'CFL Fixtures'!O51))/'CFL Fixtures'!$K51</f>
        <v>0.03500701016132093</v>
      </c>
      <c r="AD12" s="80">
        <f>'CFL Fixtures'!AA51/'CFL Fixtures'!$K51</f>
        <v>0</v>
      </c>
      <c r="AE12" s="80">
        <f>('CFL Fixtures'!N51+'CFL Fixtures'!P51)/'CFL Fixtures'!$K51</f>
        <v>0.1442621858167558</v>
      </c>
      <c r="AF12" s="80">
        <f t="shared" si="2"/>
        <v>0.4707829633138722</v>
      </c>
      <c r="AG12" s="80">
        <f t="shared" si="3"/>
        <v>0.3265207774971164</v>
      </c>
      <c r="AH12" s="95">
        <f t="shared" si="4"/>
        <v>3.2633843764981387</v>
      </c>
      <c r="AI12" s="92" t="s">
        <v>454</v>
      </c>
      <c r="AJ12" s="92"/>
      <c r="AK12" s="427">
        <f>VLOOKUP(A12,'CFL Fixtures'!B$43:R$55,17,0)</f>
        <v>10.348773846332</v>
      </c>
    </row>
    <row r="13" spans="1:37" ht="67.5">
      <c r="A13" s="84" t="str">
        <f>'CFL Fixtures'!B52</f>
        <v>Energy Star CFL Coach &amp; Lantern Fixtures</v>
      </c>
      <c r="B13" s="77" t="s">
        <v>128</v>
      </c>
      <c r="C13" s="77" t="s">
        <v>158</v>
      </c>
      <c r="D13" s="77" t="s">
        <v>155</v>
      </c>
      <c r="E13" s="78">
        <f>'CFL Fixtures'!E52</f>
        <v>25</v>
      </c>
      <c r="F13" s="94">
        <f>'CFL Fixtures'!F52</f>
        <v>-1.22</v>
      </c>
      <c r="G13" s="94">
        <f>'CFL Fixtures'!G52</f>
        <v>5.3198442459106445</v>
      </c>
      <c r="H13" s="79">
        <f>'CFL Fixtures'!C52</f>
        <v>15</v>
      </c>
      <c r="I13" s="79" t="s">
        <v>159</v>
      </c>
      <c r="J13" s="91">
        <f>'CFL Fixtures'!D52</f>
        <v>81.55560000000001</v>
      </c>
      <c r="K13" s="91">
        <f>'CFL Fixtures'!K52</f>
        <v>87.77421450000001</v>
      </c>
      <c r="L13" s="81">
        <f>'CFL Fixtures'!J52</f>
        <v>0.27799999713897705</v>
      </c>
      <c r="M13" s="86">
        <f>'CFL Fixtures'!L52</f>
        <v>0.006963821740832181</v>
      </c>
      <c r="N13" s="85">
        <f>'CFL Fixtures'!N52/'CFL Fixtures'!$K52</f>
        <v>0.28482174949620437</v>
      </c>
      <c r="O13" s="85">
        <f>'CFL Fixtures'!O52/'CFL Fixtures'!$K52</f>
        <v>-0.1463422341834285</v>
      </c>
      <c r="P13" s="85">
        <f>'CFL Fixtures'!P52/'CFL Fixtures'!$K52</f>
        <v>0.06060828087399909</v>
      </c>
      <c r="Q13" s="85">
        <f>('CFL Fixtures'!N52+'CFL Fixtures'!P52)/'CFL Fixtures'!$K52</f>
        <v>0.3454300303702034</v>
      </c>
      <c r="R13" s="80">
        <f>'CFL Fixtures'!S52/'CFL Fixtures'!K52</f>
        <v>0.3337509344356281</v>
      </c>
      <c r="S13" s="80">
        <f>'CFL Fixtures'!T52/'CFL Fixtures'!$K52</f>
        <v>0.0025127835266447285</v>
      </c>
      <c r="T13" s="80">
        <f>'CFL Fixtures'!U52/'CFL Fixtures'!$K52</f>
        <v>0.03936758805046787</v>
      </c>
      <c r="U13" s="80">
        <f>'CFL Fixtures'!V52/'CFL Fixtures'!K52</f>
        <v>0.3755173610743108</v>
      </c>
      <c r="V13" s="80">
        <f t="shared" si="0"/>
        <v>0.03008733070410735</v>
      </c>
      <c r="W13" s="86">
        <f t="shared" si="1"/>
        <v>1.0871010857737593</v>
      </c>
      <c r="X13" s="81">
        <f>'CFL Fixtures'!I52</f>
        <v>0.4</v>
      </c>
      <c r="Y13" s="86">
        <f>'CFL Fixtures'!M52</f>
        <v>0.025049718096852303</v>
      </c>
      <c r="Z13" s="81">
        <f>'CFL Fixtures'!Y52/'CFL Fixtures'!K52</f>
        <v>0.060258598972838716</v>
      </c>
      <c r="AA13" s="80" t="s">
        <v>160</v>
      </c>
      <c r="AB13" s="87" t="s">
        <v>161</v>
      </c>
      <c r="AC13" s="80">
        <f>('CFL Fixtures'!Z52+(-1*'CFL Fixtures'!O52))/'CFL Fixtures'!$K52</f>
        <v>0.1463422341834285</v>
      </c>
      <c r="AD13" s="80">
        <f>'CFL Fixtures'!AA52/'CFL Fixtures'!$K52</f>
        <v>0</v>
      </c>
      <c r="AE13" s="80">
        <f>('CFL Fixtures'!N52+'CFL Fixtures'!P52)/'CFL Fixtures'!$K52</f>
        <v>0.3454300303702034</v>
      </c>
      <c r="AF13" s="80">
        <f t="shared" si="2"/>
        <v>0.582118194230578</v>
      </c>
      <c r="AG13" s="80">
        <f t="shared" si="3"/>
        <v>0.23668816386037456</v>
      </c>
      <c r="AH13" s="95">
        <f t="shared" si="4"/>
        <v>1.6851985729402614</v>
      </c>
      <c r="AI13" s="92" t="s">
        <v>454</v>
      </c>
      <c r="AJ13" s="92"/>
      <c r="AK13" s="427">
        <f>VLOOKUP(A13,'CFL Fixtures'!B$43:R$55,17,0)</f>
        <v>18.857822326050403</v>
      </c>
    </row>
    <row r="14" spans="1:37" ht="67.5">
      <c r="A14" s="84" t="str">
        <f>'CFL Fixtures'!B53</f>
        <v>Energy Star Fluorescent Strip Lighting (per foot) 4' avg.</v>
      </c>
      <c r="B14" s="77" t="s">
        <v>128</v>
      </c>
      <c r="C14" s="77" t="s">
        <v>158</v>
      </c>
      <c r="D14" s="77" t="s">
        <v>155</v>
      </c>
      <c r="E14" s="78">
        <f>'CFL Fixtures'!E53</f>
        <v>30.01</v>
      </c>
      <c r="F14" s="94">
        <f>'CFL Fixtures'!F53</f>
        <v>-0.73</v>
      </c>
      <c r="G14" s="94">
        <f>'CFL Fixtures'!G53</f>
        <v>2.7594830989837646</v>
      </c>
      <c r="H14" s="79">
        <f>'CFL Fixtures'!C53</f>
        <v>15</v>
      </c>
      <c r="I14" s="79" t="s">
        <v>159</v>
      </c>
      <c r="J14" s="91">
        <f>'CFL Fixtures'!D53</f>
        <v>98.68830174303378</v>
      </c>
      <c r="K14" s="91">
        <f>'CFL Fixtures'!K53</f>
        <v>106.21328475094009</v>
      </c>
      <c r="L14" s="81">
        <f>'CFL Fixtures'!J53</f>
        <v>0.27799999713897705</v>
      </c>
      <c r="M14" s="86">
        <f>'CFL Fixtures'!L53</f>
        <v>0.008426738829019034</v>
      </c>
      <c r="N14" s="85">
        <f>'CFL Fixtures'!N53/'CFL Fixtures'!$K53</f>
        <v>0.28254475392563677</v>
      </c>
      <c r="O14" s="85">
        <f>'CFL Fixtures'!O53/'CFL Fixtures'!$K53</f>
        <v>-0.07255998469801066</v>
      </c>
      <c r="P14" s="85">
        <f>'CFL Fixtures'!P53/'CFL Fixtures'!$K53</f>
        <v>0.025980583365390556</v>
      </c>
      <c r="Q14" s="85">
        <f>('CFL Fixtures'!N53+'CFL Fixtures'!P53)/'CFL Fixtures'!$K53</f>
        <v>0.30852533729102727</v>
      </c>
      <c r="R14" s="80">
        <f>'CFL Fixtures'!S53/'CFL Fixtures'!K53</f>
        <v>0.33375093443562814</v>
      </c>
      <c r="S14" s="80">
        <f>'CFL Fixtures'!T53/'CFL Fixtures'!$K53</f>
        <v>0.002512783344179031</v>
      </c>
      <c r="T14" s="80">
        <f>'CFL Fixtures'!U53/'CFL Fixtures'!$K53</f>
        <v>0.039367586939741316</v>
      </c>
      <c r="U14" s="80">
        <f>'CFL Fixtures'!V53/'CFL Fixtures'!K53</f>
        <v>0.3755173599635843</v>
      </c>
      <c r="V14" s="80">
        <f t="shared" si="0"/>
        <v>0.06699202267255705</v>
      </c>
      <c r="W14" s="86">
        <f t="shared" si="1"/>
        <v>1.217136210791545</v>
      </c>
      <c r="X14" s="81">
        <f>'CFL Fixtures'!I53</f>
        <v>0.4</v>
      </c>
      <c r="Y14" s="86">
        <f>'CFL Fixtures'!M53</f>
        <v>0.030312011018395424</v>
      </c>
      <c r="Z14" s="81">
        <f>'CFL Fixtures'!Y53/'CFL Fixtures'!K53</f>
        <v>0.06025859500049132</v>
      </c>
      <c r="AA14" s="80" t="s">
        <v>160</v>
      </c>
      <c r="AB14" s="87" t="s">
        <v>161</v>
      </c>
      <c r="AC14" s="80">
        <f>('CFL Fixtures'!Z53+(-1*'CFL Fixtures'!O53))/'CFL Fixtures'!$K53</f>
        <v>0.07255998469801066</v>
      </c>
      <c r="AD14" s="80">
        <f>'CFL Fixtures'!AA53/'CFL Fixtures'!$K53</f>
        <v>0</v>
      </c>
      <c r="AE14" s="80">
        <f>('CFL Fixtures'!N53+'CFL Fixtures'!P53)/'CFL Fixtures'!$K53</f>
        <v>0.30852533729102727</v>
      </c>
      <c r="AF14" s="80">
        <f t="shared" si="2"/>
        <v>0.5083359396620862</v>
      </c>
      <c r="AG14" s="80">
        <f t="shared" si="3"/>
        <v>0.19981060237105897</v>
      </c>
      <c r="AH14" s="95">
        <f t="shared" si="4"/>
        <v>1.6476310961215501</v>
      </c>
      <c r="AI14" s="92" t="s">
        <v>454</v>
      </c>
      <c r="AJ14" s="92"/>
      <c r="AK14" s="427">
        <f>VLOOKUP(A14,'CFL Fixtures'!B$43:R$55,17,0)</f>
        <v>22.3509049952491</v>
      </c>
    </row>
    <row r="15" spans="1:37" ht="67.5">
      <c r="A15" s="84" t="str">
        <f>'CFL Fixtures'!B54</f>
        <v>Energy Star CFL Ceiling Fan Fixture</v>
      </c>
      <c r="B15" s="77" t="s">
        <v>128</v>
      </c>
      <c r="C15" s="77" t="s">
        <v>158</v>
      </c>
      <c r="D15" s="77" t="s">
        <v>155</v>
      </c>
      <c r="E15" s="78">
        <f>'CFL Fixtures'!E54</f>
        <v>35</v>
      </c>
      <c r="F15" s="94">
        <f>'CFL Fixtures'!F54</f>
        <v>-0.73</v>
      </c>
      <c r="G15" s="94">
        <f>'CFL Fixtures'!G54</f>
        <v>2.7594830989837646</v>
      </c>
      <c r="H15" s="79">
        <f>'CFL Fixtures'!C54</f>
        <v>15</v>
      </c>
      <c r="I15" s="79" t="s">
        <v>159</v>
      </c>
      <c r="J15" s="91">
        <f>'CFL Fixtures'!D54</f>
        <v>103.17413364044441</v>
      </c>
      <c r="K15" s="91">
        <f>'CFL Fixtures'!K54</f>
        <v>111.0411613305283</v>
      </c>
      <c r="L15" s="81">
        <f>'CFL Fixtures'!J54</f>
        <v>0.27799999713897705</v>
      </c>
      <c r="M15" s="86">
        <f>'CFL Fixtures'!L54</f>
        <v>0.008809772412156264</v>
      </c>
      <c r="N15" s="85">
        <f>'CFL Fixtures'!N54/'CFL Fixtures'!$K54</f>
        <v>0.3151984998083831</v>
      </c>
      <c r="O15" s="85">
        <f>'CFL Fixtures'!O54/'CFL Fixtures'!$K54</f>
        <v>-0.06940520275461888</v>
      </c>
      <c r="P15" s="85">
        <f>'CFL Fixtures'!P54/'CFL Fixtures'!$K54</f>
        <v>0.024850992784286614</v>
      </c>
      <c r="Q15" s="85">
        <f>('CFL Fixtures'!N54+'CFL Fixtures'!P54)/'CFL Fixtures'!$K54</f>
        <v>0.3400494925926697</v>
      </c>
      <c r="R15" s="80">
        <f>'CFL Fixtures'!S54/'CFL Fixtures'!K54</f>
        <v>0.3337509344356283</v>
      </c>
      <c r="S15" s="80">
        <f>'CFL Fixtures'!T54/'CFL Fixtures'!$K54</f>
        <v>0.0025127834783739635</v>
      </c>
      <c r="T15" s="80">
        <f>'CFL Fixtures'!U54/'CFL Fixtures'!$K54</f>
        <v>0.03936758869647498</v>
      </c>
      <c r="U15" s="80">
        <f>'CFL Fixtures'!V54/'CFL Fixtures'!K54</f>
        <v>0.37551736172031813</v>
      </c>
      <c r="V15" s="80">
        <f t="shared" si="0"/>
        <v>0.03546786912764843</v>
      </c>
      <c r="W15" s="86">
        <f t="shared" si="1"/>
        <v>1.1043020792568388</v>
      </c>
      <c r="X15" s="81">
        <f>'CFL Fixtures'!I54</f>
        <v>0.4</v>
      </c>
      <c r="Y15" s="86">
        <f>'CFL Fixtures'!M54</f>
        <v>0.031689830124378204</v>
      </c>
      <c r="Z15" s="81">
        <f>'CFL Fixtures'!Y54/'CFL Fixtures'!K54</f>
        <v>0.060258596366839716</v>
      </c>
      <c r="AA15" s="80" t="s">
        <v>160</v>
      </c>
      <c r="AB15" s="87" t="s">
        <v>161</v>
      </c>
      <c r="AC15" s="80">
        <f>('CFL Fixtures'!Z54+(-1*'CFL Fixtures'!O54))/'CFL Fixtures'!$K54</f>
        <v>0.06940520275461888</v>
      </c>
      <c r="AD15" s="80">
        <f>'CFL Fixtures'!AA54/'CFL Fixtures'!$K54</f>
        <v>0</v>
      </c>
      <c r="AE15" s="80">
        <f>('CFL Fixtures'!N54+'CFL Fixtures'!P54)/'CFL Fixtures'!$K54</f>
        <v>0.3400494925926697</v>
      </c>
      <c r="AF15" s="80">
        <f t="shared" si="2"/>
        <v>0.5051811608417768</v>
      </c>
      <c r="AG15" s="80">
        <f t="shared" si="3"/>
        <v>0.16513166824910708</v>
      </c>
      <c r="AH15" s="95">
        <f t="shared" si="4"/>
        <v>1.4856106885797093</v>
      </c>
      <c r="AI15" s="92" t="s">
        <v>454</v>
      </c>
      <c r="AJ15" s="92"/>
      <c r="AK15" s="427">
        <f>VLOOKUP(A15,'CFL Fixtures'!B$43:R$55,17,0)</f>
        <v>25.635734050189022</v>
      </c>
    </row>
    <row r="16" spans="1:37" ht="67.5">
      <c r="A16" s="84" t="str">
        <f>'CFL Fixtures'!B55</f>
        <v>Energy Star CFL Vanity Fixture</v>
      </c>
      <c r="B16" s="77" t="s">
        <v>128</v>
      </c>
      <c r="C16" s="77" t="s">
        <v>158</v>
      </c>
      <c r="D16" s="77" t="s">
        <v>155</v>
      </c>
      <c r="E16" s="78">
        <f>'CFL Fixtures'!E55</f>
        <v>25</v>
      </c>
      <c r="F16" s="94">
        <f>'CFL Fixtures'!F55</f>
        <v>-0.49</v>
      </c>
      <c r="G16" s="94">
        <f>'CFL Fixtures'!G55</f>
        <v>2.2919840812683105</v>
      </c>
      <c r="H16" s="79">
        <f>'CFL Fixtures'!C55</f>
        <v>15</v>
      </c>
      <c r="I16" s="79" t="s">
        <v>159</v>
      </c>
      <c r="J16" s="91">
        <f>'CFL Fixtures'!D55</f>
        <v>23.924436786190007</v>
      </c>
      <c r="K16" s="91">
        <f>'CFL Fixtures'!K55</f>
        <v>25.748675091136995</v>
      </c>
      <c r="L16" s="81">
        <f>'CFL Fixtures'!J55</f>
        <v>0.27799999713897705</v>
      </c>
      <c r="M16" s="86">
        <f>'CFL Fixtures'!L55</f>
        <v>0.0020428457767318877</v>
      </c>
      <c r="N16" s="85">
        <f>'CFL Fixtures'!N55/'CFL Fixtures'!$K55</f>
        <v>0.9709239503026086</v>
      </c>
      <c r="O16" s="85">
        <f>'CFL Fixtures'!O55/'CFL Fixtures'!$K55</f>
        <v>-0.19955358165750714</v>
      </c>
      <c r="P16" s="85">
        <f>'CFL Fixtures'!P55/'CFL Fixtures'!$K55</f>
        <v>0.08901367053473129</v>
      </c>
      <c r="Q16" s="85">
        <f>('CFL Fixtures'!N55+'CFL Fixtures'!P55)/'CFL Fixtures'!$K55</f>
        <v>1.0599376208373399</v>
      </c>
      <c r="R16" s="80">
        <f>'CFL Fixtures'!S55/'CFL Fixtures'!K55</f>
        <v>0.3337509344356279</v>
      </c>
      <c r="S16" s="80">
        <f>'CFL Fixtures'!T55/'CFL Fixtures'!$K55</f>
        <v>0.0025127833441790305</v>
      </c>
      <c r="T16" s="80">
        <f>'CFL Fixtures'!U55/'CFL Fixtures'!$K55</f>
        <v>0.03936759030681417</v>
      </c>
      <c r="U16" s="80">
        <f>'CFL Fixtures'!V55/'CFL Fixtures'!K55</f>
        <v>0.3755173633306569</v>
      </c>
      <c r="V16" s="80">
        <f>U16-Q16</f>
        <v>-0.684420257506683</v>
      </c>
      <c r="W16" s="86">
        <f>U16/Q16</f>
        <v>0.3542825124312523</v>
      </c>
      <c r="X16" s="81">
        <f>'CFL Fixtures'!I55</f>
        <v>0.4</v>
      </c>
      <c r="Y16" s="86">
        <f>'CFL Fixtures'!M55</f>
        <v>0.00734836608171463</v>
      </c>
      <c r="Z16" s="81">
        <f>'CFL Fixtures'!Y55/'CFL Fixtures'!K55</f>
        <v>0.06025860482112049</v>
      </c>
      <c r="AA16" s="80" t="s">
        <v>160</v>
      </c>
      <c r="AB16" s="87" t="s">
        <v>161</v>
      </c>
      <c r="AC16" s="80">
        <f>('CFL Fixtures'!Z55+(-1*'CFL Fixtures'!O55))/'CFL Fixtures'!$K55</f>
        <v>0.19955358165750714</v>
      </c>
      <c r="AD16" s="80">
        <f>'CFL Fixtures'!AA55/'CFL Fixtures'!$K55</f>
        <v>0</v>
      </c>
      <c r="AE16" s="80">
        <f>('CFL Fixtures'!N55+'CFL Fixtures'!P55)/'CFL Fixtures'!$K55</f>
        <v>1.0599376208373399</v>
      </c>
      <c r="AF16" s="80">
        <f>U16+Z16+AC16+AD16</f>
        <v>0.6353295498092846</v>
      </c>
      <c r="AG16" s="80">
        <f>AF16-AE16</f>
        <v>-0.4246080710280553</v>
      </c>
      <c r="AH16" s="95">
        <f>AF16/AE16</f>
        <v>0.5994027736343397</v>
      </c>
      <c r="AI16" s="92" t="s">
        <v>454</v>
      </c>
      <c r="AJ16" s="92"/>
      <c r="AK16" s="427">
        <f>VLOOKUP(A16,'CFL Fixtures'!B$43:R$55,17,0)</f>
        <v>81.49655527910258</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9"/>
  <dimension ref="A1:C22"/>
  <sheetViews>
    <sheetView workbookViewId="0" topLeftCell="A1">
      <selection activeCell="A1" sqref="A1"/>
    </sheetView>
  </sheetViews>
  <sheetFormatPr defaultColWidth="9.140625" defaultRowHeight="12.75"/>
  <cols>
    <col min="2" max="2" width="12.140625" style="0" customWidth="1"/>
    <col min="3" max="3" width="12.00390625" style="0" customWidth="1"/>
  </cols>
  <sheetData>
    <row r="1" ht="15.75">
      <c r="A1" s="384" t="s">
        <v>418</v>
      </c>
    </row>
    <row r="2" spans="1:3" ht="25.5">
      <c r="A2" s="385" t="s">
        <v>419</v>
      </c>
      <c r="B2" s="385" t="s">
        <v>420</v>
      </c>
      <c r="C2" s="385" t="s">
        <v>421</v>
      </c>
    </row>
    <row r="3" spans="1:3" ht="12.75">
      <c r="A3" s="386">
        <v>1980</v>
      </c>
      <c r="B3" s="387">
        <v>7.55</v>
      </c>
      <c r="C3" s="387">
        <v>7.51</v>
      </c>
    </row>
    <row r="4" spans="1:3" ht="12.75">
      <c r="A4" s="386">
        <v>1981</v>
      </c>
      <c r="B4" s="387">
        <v>7.78</v>
      </c>
      <c r="C4" s="387">
        <v>7.7</v>
      </c>
    </row>
    <row r="5" spans="1:3" ht="12.75">
      <c r="A5" s="386">
        <v>1982</v>
      </c>
      <c r="B5" s="387">
        <v>8.31</v>
      </c>
      <c r="C5" s="387">
        <v>7.79</v>
      </c>
    </row>
    <row r="6" spans="1:3" ht="12.75">
      <c r="A6" s="386">
        <v>1983</v>
      </c>
      <c r="B6" s="387">
        <v>8.43</v>
      </c>
      <c r="C6" s="387">
        <v>8.23</v>
      </c>
    </row>
    <row r="7" spans="1:3" ht="12.75">
      <c r="A7" s="386">
        <v>1984</v>
      </c>
      <c r="B7" s="387">
        <v>8.66</v>
      </c>
      <c r="C7" s="387">
        <v>8.45</v>
      </c>
    </row>
    <row r="8" spans="1:3" ht="12.75">
      <c r="A8" s="386">
        <v>1985</v>
      </c>
      <c r="B8" s="387">
        <v>8.82</v>
      </c>
      <c r="C8" s="387">
        <v>8.56</v>
      </c>
    </row>
    <row r="9" spans="1:3" ht="12.75">
      <c r="A9" s="386">
        <v>1986</v>
      </c>
      <c r="B9" s="387">
        <v>8.87</v>
      </c>
      <c r="C9" s="387">
        <v>8.7</v>
      </c>
    </row>
    <row r="10" spans="1:3" ht="12.75">
      <c r="A10" s="386">
        <v>1987</v>
      </c>
      <c r="B10" s="387">
        <v>8.97</v>
      </c>
      <c r="C10" s="387">
        <v>8.93</v>
      </c>
    </row>
    <row r="11" spans="1:3" ht="12.75">
      <c r="A11" s="386">
        <v>1988</v>
      </c>
      <c r="B11" s="387">
        <v>9.11</v>
      </c>
      <c r="C11" s="387">
        <v>9.13</v>
      </c>
    </row>
    <row r="12" spans="1:3" ht="12.75">
      <c r="A12" s="386">
        <v>1989</v>
      </c>
      <c r="B12" s="387">
        <v>9.25</v>
      </c>
      <c r="C12" s="387">
        <v>9.26</v>
      </c>
    </row>
    <row r="13" spans="1:3" ht="12.75">
      <c r="A13" s="386">
        <v>1990</v>
      </c>
      <c r="B13" s="387">
        <v>9.31</v>
      </c>
      <c r="C13" s="387">
        <v>9.46</v>
      </c>
    </row>
    <row r="14" spans="1:3" ht="12.75">
      <c r="A14" s="386">
        <v>1991</v>
      </c>
      <c r="B14" s="387">
        <v>9.49</v>
      </c>
      <c r="C14" s="387">
        <v>9.77</v>
      </c>
    </row>
    <row r="15" spans="1:3" ht="12.75">
      <c r="A15" s="386">
        <v>1992</v>
      </c>
      <c r="B15" s="387">
        <v>10.46</v>
      </c>
      <c r="C15" s="387">
        <v>10.6</v>
      </c>
    </row>
    <row r="16" spans="1:3" ht="12.75">
      <c r="A16" s="386">
        <v>1993</v>
      </c>
      <c r="B16" s="387">
        <v>10.56</v>
      </c>
      <c r="C16" s="387">
        <v>10.86</v>
      </c>
    </row>
    <row r="17" spans="1:3" ht="12.75">
      <c r="A17" s="386">
        <v>1994</v>
      </c>
      <c r="B17" s="387">
        <v>10.61</v>
      </c>
      <c r="C17" s="387">
        <v>10.94</v>
      </c>
    </row>
    <row r="18" spans="1:3" ht="12.75">
      <c r="A18" s="386">
        <v>1995</v>
      </c>
      <c r="B18" s="387">
        <v>10.68</v>
      </c>
      <c r="C18" s="387">
        <v>10.97</v>
      </c>
    </row>
    <row r="19" spans="1:3" ht="12.75">
      <c r="A19" s="386">
        <v>1996</v>
      </c>
      <c r="B19" s="387">
        <v>10.68</v>
      </c>
      <c r="C19" s="388">
        <v>11</v>
      </c>
    </row>
    <row r="20" spans="1:3" ht="12.75">
      <c r="A20" s="386">
        <v>1997</v>
      </c>
      <c r="B20" s="387">
        <v>10.66</v>
      </c>
      <c r="C20" s="387">
        <v>10.97</v>
      </c>
    </row>
    <row r="21" ht="12.75">
      <c r="A21" t="s">
        <v>422</v>
      </c>
    </row>
    <row r="22" ht="12.75">
      <c r="A22" t="s">
        <v>423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N11"/>
  <sheetViews>
    <sheetView workbookViewId="0" topLeftCell="A1">
      <selection activeCell="A1" sqref="A1"/>
    </sheetView>
  </sheetViews>
  <sheetFormatPr defaultColWidth="9.140625" defaultRowHeight="12.75"/>
  <cols>
    <col min="2" max="2" width="12.57421875" style="0" customWidth="1"/>
    <col min="3" max="13" width="5.28125" style="0" customWidth="1"/>
    <col min="14" max="14" width="6.28125" style="0" customWidth="1"/>
  </cols>
  <sheetData>
    <row r="1" ht="12.75">
      <c r="A1" t="s">
        <v>424</v>
      </c>
    </row>
    <row r="2" spans="2:14" ht="13.5" thickBot="1">
      <c r="B2" s="389" t="s">
        <v>425</v>
      </c>
      <c r="C2" s="389" t="s">
        <v>426</v>
      </c>
      <c r="D2" s="389" t="s">
        <v>427</v>
      </c>
      <c r="E2" s="389" t="s">
        <v>428</v>
      </c>
      <c r="F2" s="389" t="s">
        <v>429</v>
      </c>
      <c r="G2" s="389" t="s">
        <v>430</v>
      </c>
      <c r="H2" s="389" t="s">
        <v>431</v>
      </c>
      <c r="I2" s="389" t="s">
        <v>432</v>
      </c>
      <c r="J2" s="389" t="s">
        <v>433</v>
      </c>
      <c r="K2" s="389" t="s">
        <v>434</v>
      </c>
      <c r="L2" s="389" t="s">
        <v>435</v>
      </c>
      <c r="M2" s="389" t="s">
        <v>436</v>
      </c>
      <c r="N2" s="389" t="s">
        <v>437</v>
      </c>
    </row>
    <row r="3" spans="1:14" ht="12.75">
      <c r="A3" s="249"/>
      <c r="B3" s="390">
        <v>1</v>
      </c>
      <c r="C3" s="391">
        <v>0.0273414197653609</v>
      </c>
      <c r="D3" s="391">
        <v>0.023463909325909714</v>
      </c>
      <c r="E3" s="391">
        <v>0.02286736925830184</v>
      </c>
      <c r="F3" s="391">
        <v>0.019586398886458533</v>
      </c>
      <c r="G3" s="391">
        <v>0.02286736925830184</v>
      </c>
      <c r="H3" s="391">
        <v>0.01988466892026247</v>
      </c>
      <c r="I3" s="391">
        <v>0.025850069596341216</v>
      </c>
      <c r="J3" s="391">
        <v>0.02237025253529528</v>
      </c>
      <c r="K3" s="391">
        <v>0.0176973553390336</v>
      </c>
      <c r="L3" s="391">
        <v>0.02207198250149135</v>
      </c>
      <c r="M3" s="391">
        <v>0.023563332670511028</v>
      </c>
      <c r="N3" s="392">
        <v>0.026844303042354342</v>
      </c>
    </row>
    <row r="4" spans="1:14" ht="12.75">
      <c r="A4" s="131"/>
      <c r="B4" s="393">
        <v>2</v>
      </c>
      <c r="C4" s="394">
        <v>0.04474050507059056</v>
      </c>
      <c r="D4" s="394">
        <v>0.041459534698747254</v>
      </c>
      <c r="E4" s="394">
        <v>0.041459534698747254</v>
      </c>
      <c r="F4" s="394">
        <v>0.03320739709683833</v>
      </c>
      <c r="G4" s="394">
        <v>0.03290912706303439</v>
      </c>
      <c r="H4" s="394">
        <v>0.03151720023861602</v>
      </c>
      <c r="I4" s="394">
        <v>0.031218930204812083</v>
      </c>
      <c r="J4" s="394">
        <v>0.03201431696162258</v>
      </c>
      <c r="K4" s="394">
        <v>0.03489759395506064</v>
      </c>
      <c r="L4" s="394">
        <v>0.03758202425929607</v>
      </c>
      <c r="M4" s="394">
        <v>0.04116126466494332</v>
      </c>
      <c r="N4" s="395">
        <v>0.04951282561145356</v>
      </c>
    </row>
    <row r="5" spans="1:14" ht="12.75">
      <c r="A5" s="131"/>
      <c r="B5" s="393">
        <v>3</v>
      </c>
      <c r="C5" s="394">
        <v>0.018393318751242786</v>
      </c>
      <c r="D5" s="394">
        <v>0.017796778683634912</v>
      </c>
      <c r="E5" s="394">
        <v>0.01640485185921654</v>
      </c>
      <c r="F5" s="394">
        <v>0.014615231656392917</v>
      </c>
      <c r="G5" s="394">
        <v>0.015012925034798166</v>
      </c>
      <c r="H5" s="394">
        <v>0.014217538277987668</v>
      </c>
      <c r="I5" s="394">
        <v>0.015311195068602103</v>
      </c>
      <c r="J5" s="394">
        <v>0.014913501690196854</v>
      </c>
      <c r="K5" s="394">
        <v>0.014018691588785041</v>
      </c>
      <c r="L5" s="394">
        <v>0.014913501690196854</v>
      </c>
      <c r="M5" s="394">
        <v>0.016703121893020475</v>
      </c>
      <c r="N5" s="395">
        <v>0.01938755219725591</v>
      </c>
    </row>
    <row r="6" spans="1:14" ht="12.75">
      <c r="A6" s="131"/>
      <c r="B6" s="393">
        <v>4</v>
      </c>
      <c r="C6" s="394">
        <v>0.007059057466693177</v>
      </c>
      <c r="D6" s="394">
        <v>0.007556174189699739</v>
      </c>
      <c r="E6" s="394">
        <v>0.006561940743686616</v>
      </c>
      <c r="F6" s="394">
        <v>0.006164247365281365</v>
      </c>
      <c r="G6" s="394">
        <v>0.0062636707098826785</v>
      </c>
      <c r="H6" s="394">
        <v>0.0062636707098826785</v>
      </c>
      <c r="I6" s="394">
        <v>0.007257904155895802</v>
      </c>
      <c r="J6" s="394">
        <v>0.005567707297673492</v>
      </c>
      <c r="K6" s="394">
        <v>0.007456750845098427</v>
      </c>
      <c r="L6" s="394">
        <v>0.005368860608470868</v>
      </c>
      <c r="M6" s="394">
        <v>0.007357327500497114</v>
      </c>
      <c r="N6" s="395">
        <v>0.00934579439252336</v>
      </c>
    </row>
    <row r="7" spans="1:14" ht="13.5" thickBot="1">
      <c r="A7" s="396" t="s">
        <v>438</v>
      </c>
      <c r="B7" s="397"/>
      <c r="C7" s="398">
        <v>0.09753430105388743</v>
      </c>
      <c r="D7" s="398">
        <v>0.09027639689799162</v>
      </c>
      <c r="E7" s="398">
        <v>0.08729369655995224</v>
      </c>
      <c r="F7" s="398">
        <v>0.07357327500497114</v>
      </c>
      <c r="G7" s="398">
        <v>0.07705309206601707</v>
      </c>
      <c r="H7" s="398">
        <v>0.07188307814674884</v>
      </c>
      <c r="I7" s="398">
        <v>0.0796380990256512</v>
      </c>
      <c r="J7" s="398">
        <v>0.0748657784847882</v>
      </c>
      <c r="K7" s="398">
        <v>0.07407039172797772</v>
      </c>
      <c r="L7" s="398">
        <v>0.07993636905945514</v>
      </c>
      <c r="M7" s="398">
        <v>0.08878504672897193</v>
      </c>
      <c r="N7" s="399">
        <v>0.10509047524358717</v>
      </c>
    </row>
    <row r="8" spans="1:14" ht="13.5" thickBot="1">
      <c r="A8" s="400" t="s">
        <v>439</v>
      </c>
      <c r="B8" s="401"/>
      <c r="C8" s="402">
        <f aca="true" t="shared" si="0" ref="C8:N8">C7/$N7</f>
        <v>0.9280983916745505</v>
      </c>
      <c r="D8" s="402">
        <f t="shared" si="0"/>
        <v>0.859035004730369</v>
      </c>
      <c r="E8" s="402">
        <f t="shared" si="0"/>
        <v>0.8306527909176915</v>
      </c>
      <c r="F8" s="402">
        <f t="shared" si="0"/>
        <v>0.7000946073793756</v>
      </c>
      <c r="G8" s="402">
        <f t="shared" si="0"/>
        <v>0.7332071901608325</v>
      </c>
      <c r="H8" s="402">
        <f t="shared" si="0"/>
        <v>0.6840113528855251</v>
      </c>
      <c r="I8" s="402">
        <f t="shared" si="0"/>
        <v>0.7578051087984862</v>
      </c>
      <c r="J8" s="402">
        <f t="shared" si="0"/>
        <v>0.7123935666982024</v>
      </c>
      <c r="K8" s="402">
        <f t="shared" si="0"/>
        <v>0.7048249763481552</v>
      </c>
      <c r="L8" s="402">
        <f t="shared" si="0"/>
        <v>0.760643330179754</v>
      </c>
      <c r="M8" s="402">
        <f t="shared" si="0"/>
        <v>0.8448438978240302</v>
      </c>
      <c r="N8" s="403">
        <f t="shared" si="0"/>
        <v>1</v>
      </c>
    </row>
    <row r="9" spans="1:3" ht="12.75">
      <c r="A9" t="s">
        <v>440</v>
      </c>
      <c r="C9" s="246">
        <f>AVERAGE(H8:J8)</f>
        <v>0.718070009460738</v>
      </c>
    </row>
    <row r="10" spans="1:3" ht="12.75">
      <c r="A10" t="s">
        <v>441</v>
      </c>
      <c r="C10" s="246">
        <f>AVERAGE(C8:G8,L8:N8)</f>
        <v>0.8320719016083253</v>
      </c>
    </row>
    <row r="11" spans="1:3" ht="12.75">
      <c r="A11" t="s">
        <v>442</v>
      </c>
      <c r="C11" s="245">
        <f>C9/C10</f>
        <v>0.8629903354178512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15</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156</v>
      </c>
      <c r="E8" s="31" t="b">
        <v>0</v>
      </c>
      <c r="F8" s="16"/>
      <c r="G8" s="5"/>
      <c r="H8" s="5"/>
      <c r="I8"/>
      <c r="J8"/>
      <c r="K8"/>
    </row>
    <row r="9" spans="1:11" ht="15" customHeight="1">
      <c r="A9" s="17" t="s">
        <v>24</v>
      </c>
      <c r="B9" s="21">
        <v>1</v>
      </c>
      <c r="C9" s="4"/>
      <c r="D9" s="88" t="s">
        <v>446</v>
      </c>
      <c r="E9" s="31" t="b">
        <v>1</v>
      </c>
      <c r="F9"/>
      <c r="G9" s="5"/>
      <c r="H9" s="5"/>
      <c r="I9"/>
      <c r="J9"/>
      <c r="K9"/>
    </row>
    <row r="10" spans="1:10" ht="15" customHeight="1">
      <c r="A10" s="17" t="s">
        <v>25</v>
      </c>
      <c r="B10" s="21">
        <v>0</v>
      </c>
      <c r="C10" s="4"/>
      <c r="D10" s="30" t="s">
        <v>447</v>
      </c>
      <c r="E10" s="32" t="b">
        <v>0</v>
      </c>
      <c r="F10" s="8"/>
      <c r="G10" s="9"/>
      <c r="H10" s="5"/>
      <c r="I10"/>
      <c r="J10"/>
    </row>
    <row r="11" spans="1:11" s="10" customFormat="1" ht="15" customHeight="1">
      <c r="A11" s="83" t="s">
        <v>26</v>
      </c>
      <c r="B11" s="21">
        <v>0</v>
      </c>
      <c r="C11" s="4"/>
      <c r="D11" s="30" t="s">
        <v>448</v>
      </c>
      <c r="E11" s="32" t="b">
        <v>0</v>
      </c>
      <c r="F11" s="5"/>
      <c r="G11" s="5"/>
      <c r="H11" s="5"/>
      <c r="I11"/>
      <c r="J11"/>
      <c r="K11" s="3"/>
    </row>
    <row r="12" spans="1:10" ht="15" customHeight="1">
      <c r="A12" s="17" t="s">
        <v>27</v>
      </c>
      <c r="B12" s="18">
        <v>15</v>
      </c>
      <c r="C12" s="4"/>
      <c r="D12" s="30" t="s">
        <v>449</v>
      </c>
      <c r="E12" s="32" t="b">
        <v>0</v>
      </c>
      <c r="F12" s="4"/>
      <c r="G12" s="5"/>
      <c r="H12" s="5"/>
      <c r="I12"/>
      <c r="J12" s="11"/>
    </row>
    <row r="13" spans="1:9" ht="15" customHeight="1">
      <c r="A13" s="34" t="s">
        <v>29</v>
      </c>
      <c r="B13" s="20">
        <v>0.025</v>
      </c>
      <c r="C13" s="4"/>
      <c r="D13" s="17" t="s">
        <v>450</v>
      </c>
      <c r="E13" s="33" t="b">
        <v>0</v>
      </c>
      <c r="F13" s="4"/>
      <c r="G13" s="5"/>
      <c r="H13" s="5"/>
      <c r="I13"/>
    </row>
    <row r="14" spans="1:9" ht="15" customHeight="1">
      <c r="A14" s="34" t="s">
        <v>28</v>
      </c>
      <c r="B14" s="22">
        <v>3</v>
      </c>
      <c r="C14" s="4"/>
      <c r="D14" s="17" t="s">
        <v>212</v>
      </c>
      <c r="E14" s="33" t="b">
        <v>0</v>
      </c>
      <c r="F14" s="5"/>
      <c r="G14" s="5"/>
      <c r="H14" s="5"/>
      <c r="I14"/>
    </row>
    <row r="15" spans="1:9" ht="14.25">
      <c r="A15" s="34" t="s">
        <v>30</v>
      </c>
      <c r="B15" s="20">
        <v>0.05</v>
      </c>
      <c r="C15" s="4"/>
      <c r="D15" s="17" t="s">
        <v>451</v>
      </c>
      <c r="E15" s="33" t="b">
        <v>0</v>
      </c>
      <c r="F15" s="5"/>
      <c r="G15" s="13"/>
      <c r="H15" s="5"/>
      <c r="I15"/>
    </row>
    <row r="16" spans="1:9" ht="14.25">
      <c r="A16" s="34" t="s">
        <v>31</v>
      </c>
      <c r="B16" s="22">
        <v>20</v>
      </c>
      <c r="C16" s="4"/>
      <c r="D16" s="17" t="s">
        <v>452</v>
      </c>
      <c r="E16" s="33" t="b">
        <v>0</v>
      </c>
      <c r="F16" s="4"/>
      <c r="G16" s="5"/>
      <c r="H16" s="5"/>
      <c r="I16" s="5"/>
    </row>
    <row r="17" spans="1:9" ht="14.25">
      <c r="A17" s="17" t="s">
        <v>14</v>
      </c>
      <c r="B17" s="23">
        <v>0</v>
      </c>
      <c r="C17" s="4"/>
      <c r="D17" s="17" t="s">
        <v>453</v>
      </c>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417" t="s">
        <v>497</v>
      </c>
      <c r="C21" s="418"/>
      <c r="D21" s="419"/>
      <c r="E21" s="12"/>
      <c r="F21" s="5"/>
      <c r="G21" s="5"/>
      <c r="H21" s="14"/>
      <c r="I21" s="5"/>
    </row>
    <row r="22" spans="1:9" ht="14.25">
      <c r="A22" s="34" t="s">
        <v>0</v>
      </c>
      <c r="B22" s="7" t="s">
        <v>495</v>
      </c>
      <c r="C22" s="4"/>
      <c r="D22" s="4"/>
      <c r="E22" s="4"/>
      <c r="F22" s="5"/>
      <c r="G22" s="5"/>
      <c r="H22" s="5"/>
      <c r="I22" s="5"/>
    </row>
    <row r="23" spans="1:9" ht="14.25">
      <c r="A23" s="17" t="s">
        <v>19</v>
      </c>
      <c r="B23" s="7" t="s">
        <v>157</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O525"/>
  <sheetViews>
    <sheetView zoomScale="75" zoomScaleNormal="75" workbookViewId="0" topLeftCell="D26">
      <selection activeCell="K70" sqref="K70"/>
    </sheetView>
  </sheetViews>
  <sheetFormatPr defaultColWidth="9.140625" defaultRowHeight="12.75"/>
  <cols>
    <col min="1" max="1" width="44.140625" style="99" customWidth="1"/>
    <col min="2" max="2" width="33.28125" style="99" customWidth="1"/>
    <col min="3" max="3" width="9.00390625" style="99" customWidth="1"/>
    <col min="4" max="4" width="8.8515625" style="99" customWidth="1"/>
    <col min="5" max="5" width="8.00390625" style="99" customWidth="1"/>
    <col min="6" max="6" width="8.8515625" style="99" customWidth="1"/>
    <col min="7" max="7" width="12.421875" style="99" customWidth="1"/>
    <col min="8" max="8" width="14.28125" style="99" customWidth="1"/>
    <col min="9" max="9" width="8.421875" style="100" customWidth="1"/>
    <col min="10" max="10" width="10.421875" style="100" customWidth="1"/>
    <col min="11" max="11" width="9.8515625" style="100" customWidth="1"/>
    <col min="12" max="13" width="8.421875" style="100" customWidth="1"/>
    <col min="14" max="18" width="8.421875" style="101" customWidth="1"/>
    <col min="19" max="21" width="8.421875" style="99" customWidth="1"/>
    <col min="22" max="22" width="8.421875" style="101" customWidth="1"/>
    <col min="23" max="25" width="10.57421875" style="99" customWidth="1"/>
    <col min="26" max="26" width="9.57421875" style="99" customWidth="1"/>
    <col min="27" max="29" width="10.57421875" style="99" customWidth="1"/>
    <col min="30" max="30" width="10.8515625" style="99" customWidth="1"/>
    <col min="31" max="16384" width="10.57421875" style="99" customWidth="1"/>
  </cols>
  <sheetData>
    <row r="1" spans="1:7" ht="15">
      <c r="A1" s="97" t="s">
        <v>127</v>
      </c>
      <c r="B1" s="98"/>
      <c r="C1" s="98"/>
      <c r="D1" s="98"/>
      <c r="E1" s="98"/>
      <c r="F1" s="98"/>
      <c r="G1" s="98"/>
    </row>
    <row r="2" spans="1:7" ht="15">
      <c r="A2" s="102" t="s">
        <v>162</v>
      </c>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22" ht="15">
      <c r="A6" s="36" t="s">
        <v>32</v>
      </c>
      <c r="B6" s="37"/>
      <c r="C6" s="38"/>
      <c r="D6" s="38"/>
      <c r="E6" s="38"/>
      <c r="F6" s="38"/>
      <c r="G6" s="38"/>
      <c r="H6" s="39"/>
      <c r="I6" s="40" t="s">
        <v>33</v>
      </c>
      <c r="J6" s="41"/>
      <c r="K6" s="41"/>
      <c r="L6" s="41"/>
      <c r="M6" s="41"/>
      <c r="N6" s="41"/>
      <c r="O6" s="99"/>
      <c r="P6" s="99"/>
      <c r="Q6" s="99"/>
      <c r="R6" s="99"/>
      <c r="V6" s="99"/>
    </row>
    <row r="7" spans="1:22" ht="25.5">
      <c r="A7" s="42" t="s">
        <v>34</v>
      </c>
      <c r="B7" s="42" t="s">
        <v>35</v>
      </c>
      <c r="C7" s="42" t="s">
        <v>163</v>
      </c>
      <c r="D7" s="42" t="s">
        <v>164</v>
      </c>
      <c r="E7" s="42" t="s">
        <v>36</v>
      </c>
      <c r="F7" s="42" t="s">
        <v>37</v>
      </c>
      <c r="G7" s="103" t="s">
        <v>38</v>
      </c>
      <c r="H7" s="43" t="s">
        <v>165</v>
      </c>
      <c r="I7" s="43" t="s">
        <v>39</v>
      </c>
      <c r="J7" s="43" t="s">
        <v>40</v>
      </c>
      <c r="K7" s="43" t="s">
        <v>41</v>
      </c>
      <c r="L7" s="43" t="s">
        <v>42</v>
      </c>
      <c r="M7" s="43" t="s">
        <v>43</v>
      </c>
      <c r="N7" s="43" t="s">
        <v>44</v>
      </c>
      <c r="O7" s="99"/>
      <c r="P7" s="99"/>
      <c r="Q7" s="99"/>
      <c r="R7" s="99"/>
      <c r="V7" s="99"/>
    </row>
    <row r="8" spans="1:22" ht="15">
      <c r="A8" s="104" t="str">
        <f>"Energy Star "&amp;B8</f>
        <v>Energy Star CFL Vanity Fixture</v>
      </c>
      <c r="B8" s="104" t="str">
        <f>'Fixture Assumptions'!B6</f>
        <v>CFL Vanity Fixture</v>
      </c>
      <c r="C8" s="105">
        <f>'Fixture Assumptions'!B21</f>
        <v>24.110170979063295</v>
      </c>
      <c r="D8" s="106">
        <f>'Fixture Assumptions'!B10</f>
        <v>15</v>
      </c>
      <c r="E8" s="107">
        <f>'Fixture Assumptions'!B13</f>
        <v>25</v>
      </c>
      <c r="F8" s="108">
        <f>-'Fixture Assumptions'!B35</f>
        <v>-0.4866666666666667</v>
      </c>
      <c r="G8" s="4" t="s">
        <v>166</v>
      </c>
      <c r="H8" s="109">
        <v>0</v>
      </c>
      <c r="I8" s="107">
        <f>'Fixture Assumptions'!B33</f>
        <v>4</v>
      </c>
      <c r="J8" s="45">
        <f>'Fixture Assumptions'!B30</f>
        <v>10.95890410958904</v>
      </c>
      <c r="K8"/>
      <c r="L8"/>
      <c r="M8"/>
      <c r="N8"/>
      <c r="O8" s="99"/>
      <c r="P8" s="99"/>
      <c r="Q8" s="99"/>
      <c r="R8" s="99"/>
      <c r="V8" s="99"/>
    </row>
    <row r="9" spans="1:22" ht="15">
      <c r="A9" s="104" t="str">
        <f aca="true" t="shared" si="0" ref="A9:A20">"Energy Star "&amp;B9</f>
        <v>Energy Star CFL Pendant Fixture</v>
      </c>
      <c r="B9" s="104" t="str">
        <f>'Fixture Assumptions'!C6</f>
        <v>CFL Pendant Fixture</v>
      </c>
      <c r="C9" s="105">
        <f>'Fixture Assumptions'!C21</f>
        <v>113.3178036015975</v>
      </c>
      <c r="D9" s="106">
        <f>'Fixture Assumptions'!C10</f>
        <v>15</v>
      </c>
      <c r="E9" s="107">
        <f>'Fixture Assumptions'!C13</f>
        <v>10</v>
      </c>
      <c r="F9" s="108">
        <f>-'Fixture Assumptions'!C35</f>
        <v>-0.4866666666666667</v>
      </c>
      <c r="G9" s="4" t="s">
        <v>166</v>
      </c>
      <c r="H9" s="109">
        <v>0</v>
      </c>
      <c r="I9" s="107">
        <f>'Fixture Assumptions'!C33</f>
        <v>4</v>
      </c>
      <c r="J9" s="45">
        <f>'Fixture Assumptions'!C30</f>
        <v>10.95890410958904</v>
      </c>
      <c r="K9"/>
      <c r="L9"/>
      <c r="M9"/>
      <c r="N9"/>
      <c r="O9" s="99"/>
      <c r="P9" s="99"/>
      <c r="Q9" s="99"/>
      <c r="R9" s="99"/>
      <c r="V9" s="99"/>
    </row>
    <row r="10" spans="1:22" ht="15">
      <c r="A10" s="104" t="str">
        <f t="shared" si="0"/>
        <v>Energy Star Fluorescent Strip Lighting (per foot) 4' avg.</v>
      </c>
      <c r="B10" s="104" t="str">
        <f>'Fixture Assumptions'!D6</f>
        <v>Fluorescent Strip Lighting (per foot) 4' avg.</v>
      </c>
      <c r="C10" s="105">
        <f>'Fixture Assumptions'!D21</f>
        <v>99.4544552886361</v>
      </c>
      <c r="D10" s="106">
        <f>'Fixture Assumptions'!D10</f>
        <v>15</v>
      </c>
      <c r="E10" s="107">
        <f>'Fixture Assumptions'!D13</f>
        <v>30.01</v>
      </c>
      <c r="F10" s="108">
        <f>-'Fixture Assumptions'!D35</f>
        <v>-0.73</v>
      </c>
      <c r="G10" s="4" t="s">
        <v>166</v>
      </c>
      <c r="H10" s="109">
        <v>0</v>
      </c>
      <c r="I10" s="107">
        <f>'Fixture Assumptions'!D33</f>
        <v>4</v>
      </c>
      <c r="J10" s="45">
        <f>'Fixture Assumptions'!D30</f>
        <v>7.30593607305936</v>
      </c>
      <c r="K10"/>
      <c r="L10"/>
      <c r="M10"/>
      <c r="N10"/>
      <c r="O10" s="99"/>
      <c r="P10" s="99"/>
      <c r="Q10" s="99"/>
      <c r="R10" s="99"/>
      <c r="V10" s="99"/>
    </row>
    <row r="11" spans="1:22" ht="15">
      <c r="A11" s="104" t="str">
        <f t="shared" si="0"/>
        <v>Energy Star Fluorescent Torchieres</v>
      </c>
      <c r="B11" s="104" t="str">
        <f>'Fixture Assumptions'!E6</f>
        <v>Fluorescent Torchieres</v>
      </c>
      <c r="C11" s="105">
        <f>'Fixture Assumptions'!E21</f>
        <v>206.1419618709912</v>
      </c>
      <c r="D11" s="106">
        <f>'Fixture Assumptions'!E10</f>
        <v>15</v>
      </c>
      <c r="E11" s="107">
        <f>'Fixture Assumptions'!E13</f>
        <v>29</v>
      </c>
      <c r="F11" s="108">
        <f>-'Fixture Assumptions'!E35</f>
        <v>-0.73</v>
      </c>
      <c r="G11" s="4" t="s">
        <v>166</v>
      </c>
      <c r="H11" s="109">
        <v>0</v>
      </c>
      <c r="I11" s="107">
        <f>'Fixture Assumptions'!E33</f>
        <v>4</v>
      </c>
      <c r="J11" s="45">
        <f>'Fixture Assumptions'!E30</f>
        <v>7.30593607305936</v>
      </c>
      <c r="K11"/>
      <c r="L11"/>
      <c r="M11"/>
      <c r="N11"/>
      <c r="O11" s="99"/>
      <c r="P11" s="99"/>
      <c r="Q11" s="99"/>
      <c r="R11" s="99"/>
      <c r="V11" s="99"/>
    </row>
    <row r="12" spans="1:22" ht="15">
      <c r="A12" s="104" t="str">
        <f t="shared" si="0"/>
        <v>Energy Star CFL Wall Sconce Fixture</v>
      </c>
      <c r="B12" s="104" t="str">
        <f>'Fixture Assumptions'!G6</f>
        <v>CFL Wall Sconce Fixture</v>
      </c>
      <c r="C12" s="105">
        <f>'Fixture Assumptions'!G21</f>
        <v>149.48306007019244</v>
      </c>
      <c r="D12" s="106">
        <f>'Fixture Assumptions'!G10</f>
        <v>15</v>
      </c>
      <c r="E12" s="107">
        <f>'Fixture Assumptions'!G13</f>
        <v>15</v>
      </c>
      <c r="F12" s="108">
        <f>-'Fixture Assumptions'!G35</f>
        <v>-0.9733333333333334</v>
      </c>
      <c r="G12" s="4" t="s">
        <v>166</v>
      </c>
      <c r="H12" s="109">
        <v>0</v>
      </c>
      <c r="I12" s="107">
        <f>'Fixture Assumptions'!G33</f>
        <v>4</v>
      </c>
      <c r="J12" s="45">
        <f>'Fixture Assumptions'!G30</f>
        <v>5.47945205479452</v>
      </c>
      <c r="K12"/>
      <c r="L12"/>
      <c r="M12"/>
      <c r="N12"/>
      <c r="O12" s="99"/>
      <c r="P12" s="99"/>
      <c r="Q12" s="99"/>
      <c r="R12" s="99"/>
      <c r="V12" s="99"/>
    </row>
    <row r="13" spans="1:30" ht="15" customHeight="1">
      <c r="A13" s="104" t="str">
        <f t="shared" si="0"/>
        <v>Energy Star CFL Ceiling Flush Mount Fixture</v>
      </c>
      <c r="B13" t="str">
        <f>'Fixture Assumptions'!H6</f>
        <v>CFL Ceiling Flush Mount Fixture</v>
      </c>
      <c r="C13" s="110">
        <f>'Fixture Assumptions'!H21</f>
        <v>157.318865638388</v>
      </c>
      <c r="D13" s="111">
        <f>'Fixture Assumptions'!H10</f>
        <v>15</v>
      </c>
      <c r="E13" s="107">
        <f>'Fixture Assumptions'!H13</f>
        <v>12.99666666666667</v>
      </c>
      <c r="F13" s="112">
        <f>-'Fixture Assumptions'!H35</f>
        <v>-0.73</v>
      </c>
      <c r="G13" s="4" t="s">
        <v>166</v>
      </c>
      <c r="H13" s="109">
        <v>0</v>
      </c>
      <c r="I13" s="107">
        <f>'Fixture Assumptions'!H33</f>
        <v>4</v>
      </c>
      <c r="J13" s="45">
        <f>'Fixture Assumptions'!H30</f>
        <v>7.30593607305936</v>
      </c>
      <c r="K13"/>
      <c r="L13"/>
      <c r="M13"/>
      <c r="N13"/>
      <c r="O13"/>
      <c r="P13"/>
      <c r="Q13"/>
      <c r="R13"/>
      <c r="S13"/>
      <c r="T13"/>
      <c r="U13"/>
      <c r="V13"/>
      <c r="W13"/>
      <c r="X13"/>
      <c r="Y13"/>
      <c r="Z13"/>
      <c r="AA13"/>
      <c r="AB13"/>
      <c r="AC13"/>
      <c r="AD13"/>
    </row>
    <row r="14" spans="1:30" ht="15" customHeight="1">
      <c r="A14" s="104" t="str">
        <f t="shared" si="0"/>
        <v>Energy Star CFL Coach &amp; Lantern Fixtures</v>
      </c>
      <c r="B14" t="str">
        <f>'Fixture Assumptions'!I6</f>
        <v>CFL Coach &amp; Lantern Fixtures</v>
      </c>
      <c r="C14" s="110">
        <f>'Fixture Assumptions'!I21</f>
        <v>81.55560000000001</v>
      </c>
      <c r="D14" s="111">
        <f>'Fixture Assumptions'!I10</f>
        <v>15</v>
      </c>
      <c r="E14" s="107">
        <f>'Fixture Assumptions'!I13</f>
        <v>25</v>
      </c>
      <c r="F14" s="112">
        <f>-'Fixture Assumptions'!I35</f>
        <v>-1.2166666666666666</v>
      </c>
      <c r="G14" s="4" t="s">
        <v>166</v>
      </c>
      <c r="H14" s="109">
        <v>0</v>
      </c>
      <c r="I14" s="107">
        <f>'Fixture Assumptions'!I33</f>
        <v>4</v>
      </c>
      <c r="J14" s="45">
        <f>'Fixture Assumptions'!I30</f>
        <v>5.47945205479452</v>
      </c>
      <c r="K14"/>
      <c r="L14"/>
      <c r="M14"/>
      <c r="N14"/>
      <c r="O14"/>
      <c r="P14"/>
      <c r="Q14"/>
      <c r="R14"/>
      <c r="S14"/>
      <c r="T14"/>
      <c r="U14"/>
      <c r="V14"/>
      <c r="W14"/>
      <c r="X14"/>
      <c r="Y14"/>
      <c r="Z14"/>
      <c r="AA14"/>
      <c r="AB14"/>
      <c r="AC14"/>
      <c r="AD14"/>
    </row>
    <row r="15" spans="1:30" ht="15" customHeight="1">
      <c r="A15" s="104" t="str">
        <f t="shared" si="0"/>
        <v>Energy Star CFL Porch Light Fixture</v>
      </c>
      <c r="B15" t="str">
        <f>'Fixture Assumptions'!J6</f>
        <v>CFL Porch Light Fixture</v>
      </c>
      <c r="C15" s="110">
        <f>'Fixture Assumptions'!J21</f>
        <v>88.70960000000001</v>
      </c>
      <c r="D15" s="111">
        <f>'Fixture Assumptions'!J10</f>
        <v>15</v>
      </c>
      <c r="E15" s="107">
        <f>'Fixture Assumptions'!J13</f>
        <v>12</v>
      </c>
      <c r="F15" s="112">
        <f>-'Fixture Assumptions'!J35</f>
        <v>-1.2166666666666666</v>
      </c>
      <c r="G15" s="4" t="s">
        <v>166</v>
      </c>
      <c r="H15" s="109">
        <v>0</v>
      </c>
      <c r="I15" s="107">
        <f>'Fixture Assumptions'!J33</f>
        <v>4</v>
      </c>
      <c r="J15" s="45">
        <f>'Fixture Assumptions'!J30</f>
        <v>5.47945205479452</v>
      </c>
      <c r="K15"/>
      <c r="L15"/>
      <c r="M15"/>
      <c r="N15"/>
      <c r="O15"/>
      <c r="P15"/>
      <c r="Q15"/>
      <c r="R15"/>
      <c r="S15"/>
      <c r="T15"/>
      <c r="U15"/>
      <c r="V15"/>
      <c r="W15"/>
      <c r="X15"/>
      <c r="Y15"/>
      <c r="Z15"/>
      <c r="AA15"/>
      <c r="AB15"/>
      <c r="AC15"/>
      <c r="AD15"/>
    </row>
    <row r="16" spans="1:30" ht="15" customHeight="1">
      <c r="A16" s="104" t="str">
        <f t="shared" si="0"/>
        <v>Energy Star CFL Flood Light Fixture </v>
      </c>
      <c r="B16" t="str">
        <f>'Fixture Assumptions'!K6</f>
        <v>CFL Flood Light Fixture </v>
      </c>
      <c r="C16" s="110">
        <f>'Fixture Assumptions'!K21</f>
        <v>148.8032</v>
      </c>
      <c r="D16" s="111">
        <f>'Fixture Assumptions'!K10</f>
        <v>15</v>
      </c>
      <c r="E16" s="107">
        <f>'Fixture Assumptions'!K13</f>
        <v>11</v>
      </c>
      <c r="F16" s="112">
        <f>-'Fixture Assumptions'!K35</f>
        <v>-1.2166666666666666</v>
      </c>
      <c r="G16" s="4" t="s">
        <v>166</v>
      </c>
      <c r="H16" s="109">
        <v>0</v>
      </c>
      <c r="I16" s="107">
        <f>'Fixture Assumptions'!K33</f>
        <v>4</v>
      </c>
      <c r="J16" s="45">
        <f>'Fixture Assumptions'!K30</f>
        <v>5.47945205479452</v>
      </c>
      <c r="K16"/>
      <c r="L16"/>
      <c r="M16"/>
      <c r="N16"/>
      <c r="O16"/>
      <c r="P16"/>
      <c r="Q16"/>
      <c r="R16"/>
      <c r="S16"/>
      <c r="T16"/>
      <c r="U16"/>
      <c r="V16"/>
      <c r="W16"/>
      <c r="X16"/>
      <c r="Y16"/>
      <c r="Z16"/>
      <c r="AA16"/>
      <c r="AB16"/>
      <c r="AC16"/>
      <c r="AD16"/>
    </row>
    <row r="17" spans="1:30" ht="15" customHeight="1">
      <c r="A17" s="104" t="str">
        <f t="shared" si="0"/>
        <v>Energy Star CFL Ceiling Fan Fixture</v>
      </c>
      <c r="B17" t="str">
        <f>'Fixture Assumptions'!F29</f>
        <v>CFL Ceiling Fan Fixture</v>
      </c>
      <c r="C17" s="110">
        <f>'Fixture Assumptions'!F21</f>
        <v>103.97511234721047</v>
      </c>
      <c r="D17" s="111">
        <f>'Fixture Assumptions'!E10</f>
        <v>15</v>
      </c>
      <c r="E17" s="107">
        <f>'Fixture Assumptions'!F13</f>
        <v>35</v>
      </c>
      <c r="F17" s="112">
        <f>-'Fixture Assumptions'!F35</f>
        <v>-0.73</v>
      </c>
      <c r="G17" s="4" t="s">
        <v>166</v>
      </c>
      <c r="H17" s="109">
        <v>0</v>
      </c>
      <c r="I17" s="107">
        <f>'Fixture Assumptions'!F33</f>
        <v>4</v>
      </c>
      <c r="J17" s="45">
        <f>'Fixture Assumptions'!F30</f>
        <v>7.30593607305936</v>
      </c>
      <c r="K17"/>
      <c r="L17"/>
      <c r="M17"/>
      <c r="N17"/>
      <c r="O17"/>
      <c r="P17"/>
      <c r="Q17"/>
      <c r="R17"/>
      <c r="S17"/>
      <c r="T17"/>
      <c r="U17"/>
      <c r="V17"/>
      <c r="W17"/>
      <c r="X17"/>
      <c r="Y17"/>
      <c r="Z17"/>
      <c r="AA17"/>
      <c r="AB17"/>
      <c r="AC17"/>
      <c r="AD17"/>
    </row>
    <row r="18" spans="1:30" ht="15" customHeight="1">
      <c r="A18" s="104" t="str">
        <f t="shared" si="0"/>
        <v>Energy Star Average - CFL Interior Fixture</v>
      </c>
      <c r="B18" t="str">
        <f>'Fixture Assumptions'!L6</f>
        <v>Average - CFL Interior Fixture</v>
      </c>
      <c r="C18" s="110">
        <f>'Fixture Assumptions'!L21</f>
        <v>139.1414821986921</v>
      </c>
      <c r="D18" s="111">
        <f>'Fixture Assumptions'!L10</f>
        <v>15</v>
      </c>
      <c r="E18" s="107">
        <f>'Fixture Assumptions'!L13</f>
        <v>15.102583102512394</v>
      </c>
      <c r="F18" s="112">
        <f>-'Fixture Assumptions'!L35</f>
        <v>-0.7257612163171113</v>
      </c>
      <c r="G18" s="4" t="s">
        <v>166</v>
      </c>
      <c r="H18" s="109">
        <v>0</v>
      </c>
      <c r="I18" s="107">
        <f>'Fixture Assumptions'!L33</f>
        <v>4</v>
      </c>
      <c r="J18" s="45">
        <f>'Fixture Assumptions'!L30</f>
        <v>7.620231348375768</v>
      </c>
      <c r="K18"/>
      <c r="L18"/>
      <c r="M18"/>
      <c r="N18"/>
      <c r="O18"/>
      <c r="P18"/>
      <c r="Q18"/>
      <c r="R18"/>
      <c r="S18"/>
      <c r="T18"/>
      <c r="U18"/>
      <c r="V18"/>
      <c r="W18"/>
      <c r="X18"/>
      <c r="Y18"/>
      <c r="Z18"/>
      <c r="AA18"/>
      <c r="AB18"/>
      <c r="AC18"/>
      <c r="AD18"/>
    </row>
    <row r="19" spans="1:30" ht="15" customHeight="1">
      <c r="A19" s="104" t="str">
        <f t="shared" si="0"/>
        <v>Energy Star Average - CFL Exterior Fixture</v>
      </c>
      <c r="B19" t="str">
        <f>'Fixture Assumptions'!M6</f>
        <v>Average - CFL Exterior Fixture</v>
      </c>
      <c r="C19" s="110">
        <f>'Fixture Assumptions'!M21</f>
        <v>111.92412887283561</v>
      </c>
      <c r="D19" s="111">
        <f>'Fixture Assumptions'!M10</f>
        <v>15</v>
      </c>
      <c r="E19" s="107">
        <f>'Fixture Assumptions'!M13</f>
        <v>17.139720722398067</v>
      </c>
      <c r="F19" s="112">
        <f>-'Fixture Assumptions'!M35</f>
        <v>-1.2166666666666668</v>
      </c>
      <c r="G19" s="4" t="s">
        <v>166</v>
      </c>
      <c r="H19" s="109">
        <v>0</v>
      </c>
      <c r="I19" s="107">
        <f>'Fixture Assumptions'!M33</f>
        <v>4</v>
      </c>
      <c r="J19" s="45">
        <f>'Fixture Assumptions'!M30</f>
        <v>5.47945205479452</v>
      </c>
      <c r="K19"/>
      <c r="L19"/>
      <c r="M19"/>
      <c r="N19"/>
      <c r="O19"/>
      <c r="P19"/>
      <c r="Q19"/>
      <c r="R19"/>
      <c r="S19"/>
      <c r="T19"/>
      <c r="U19"/>
      <c r="V19"/>
      <c r="W19"/>
      <c r="X19"/>
      <c r="Y19"/>
      <c r="Z19"/>
      <c r="AA19"/>
      <c r="AB19"/>
      <c r="AC19"/>
      <c r="AD19"/>
    </row>
    <row r="20" spans="1:41" ht="15" customHeight="1">
      <c r="A20" s="104" t="str">
        <f t="shared" si="0"/>
        <v>Energy Star Average - All CFL Fixtures</v>
      </c>
      <c r="B20" t="str">
        <f>'Fixture Assumptions'!N6</f>
        <v>Average - All CFL Fixtures</v>
      </c>
      <c r="C20" s="110">
        <f>'Fixture Assumptions'!N21</f>
        <v>133.88117525294393</v>
      </c>
      <c r="D20" s="111">
        <f>'Fixture Assumptions'!N10</f>
        <v>15</v>
      </c>
      <c r="E20" s="107">
        <f>'Fixture Assumptions'!N13</f>
        <v>15.49630136905484</v>
      </c>
      <c r="F20" s="112">
        <f>-'Fixture Assumptions'!N35</f>
        <v>-1.1306119856132864</v>
      </c>
      <c r="G20" s="4" t="s">
        <v>166</v>
      </c>
      <c r="H20" s="109">
        <v>0</v>
      </c>
      <c r="I20" s="107">
        <f>'Fixture Assumptions'!N33</f>
        <v>4</v>
      </c>
      <c r="J20" s="45">
        <f>'Fixture Assumptions'!N30</f>
        <v>7.206482221026152</v>
      </c>
      <c r="K20"/>
      <c r="L20"/>
      <c r="M20"/>
      <c r="N20"/>
      <c r="O20"/>
      <c r="P20"/>
      <c r="Q20"/>
      <c r="R20"/>
      <c r="S20"/>
      <c r="T20"/>
      <c r="U20"/>
      <c r="V20"/>
      <c r="W20"/>
      <c r="X20"/>
      <c r="Y20"/>
      <c r="Z20"/>
      <c r="AA20"/>
      <c r="AB20"/>
      <c r="AC20"/>
      <c r="AD20"/>
      <c r="AE20"/>
      <c r="AF20"/>
      <c r="AG20"/>
      <c r="AH20"/>
      <c r="AI20"/>
      <c r="AJ20"/>
      <c r="AK20"/>
      <c r="AL20"/>
      <c r="AM20"/>
      <c r="AN20"/>
      <c r="AO20"/>
    </row>
    <row r="21" spans="1:41" ht="1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5" customHeight="1" thickBo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ht="15" customHeight="1" thickBot="1">
      <c r="A23" s="82" t="s">
        <v>496</v>
      </c>
      <c r="B23" s="46"/>
      <c r="C23" s="46"/>
      <c r="D23" s="47"/>
      <c r="E23"/>
      <c r="F23"/>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ht="15" customHeight="1" thickBot="1">
      <c r="A24" s="48" t="s">
        <v>129</v>
      </c>
      <c r="B24" s="49"/>
      <c r="C24" s="50" t="s">
        <v>78</v>
      </c>
      <c r="D24" s="52"/>
      <c r="E24" s="52"/>
      <c r="F24" s="52"/>
      <c r="G24" s="52"/>
      <c r="H24" s="52"/>
      <c r="I24" s="52"/>
      <c r="J24" s="51"/>
      <c r="K24" s="50" t="s">
        <v>45</v>
      </c>
      <c r="L24" s="52"/>
      <c r="M24" s="51"/>
      <c r="N24" s="50" t="s">
        <v>46</v>
      </c>
      <c r="O24" s="52"/>
      <c r="P24" s="52"/>
      <c r="Q24" s="51"/>
      <c r="R24" s="50" t="s">
        <v>47</v>
      </c>
      <c r="S24" s="51"/>
      <c r="T24" s="50" t="s">
        <v>48</v>
      </c>
      <c r="U24" s="52"/>
      <c r="V24" s="52"/>
      <c r="W24" s="52"/>
      <c r="X24" s="51"/>
      <c r="Y24" s="50" t="s">
        <v>49</v>
      </c>
      <c r="Z24" s="52"/>
      <c r="AA24" s="52"/>
      <c r="AB24" s="52"/>
      <c r="AC24" s="51"/>
      <c r="AD24" s="50" t="s">
        <v>79</v>
      </c>
      <c r="AE24" s="52"/>
      <c r="AF24" s="52"/>
      <c r="AG24" s="52"/>
      <c r="AH24" s="52"/>
      <c r="AI24" s="51"/>
      <c r="AJ24" s="50" t="s">
        <v>80</v>
      </c>
      <c r="AK24" s="52"/>
      <c r="AL24" s="52"/>
      <c r="AM24" s="52"/>
      <c r="AN24" s="52"/>
      <c r="AO24" s="51"/>
    </row>
    <row r="25" spans="1:41" ht="51">
      <c r="A25" s="53" t="s">
        <v>51</v>
      </c>
      <c r="B25" s="54" t="s">
        <v>52</v>
      </c>
      <c r="C25" s="55" t="s">
        <v>81</v>
      </c>
      <c r="D25" s="55" t="s">
        <v>82</v>
      </c>
      <c r="E25" s="55" t="s">
        <v>83</v>
      </c>
      <c r="F25" s="55" t="s">
        <v>84</v>
      </c>
      <c r="G25" s="55" t="s">
        <v>148</v>
      </c>
      <c r="H25" s="55" t="s">
        <v>86</v>
      </c>
      <c r="I25" s="55" t="s">
        <v>87</v>
      </c>
      <c r="J25" s="55" t="s">
        <v>88</v>
      </c>
      <c r="K25" s="55" t="s">
        <v>89</v>
      </c>
      <c r="L25" s="55" t="s">
        <v>90</v>
      </c>
      <c r="M25" s="55" t="s">
        <v>91</v>
      </c>
      <c r="N25" s="55" t="s">
        <v>20</v>
      </c>
      <c r="O25" s="55" t="s">
        <v>21</v>
      </c>
      <c r="P25" s="55" t="s">
        <v>22</v>
      </c>
      <c r="Q25" s="55" t="s">
        <v>4</v>
      </c>
      <c r="R25" s="55" t="s">
        <v>53</v>
      </c>
      <c r="S25" s="55" t="s">
        <v>4</v>
      </c>
      <c r="T25" s="55" t="s">
        <v>20</v>
      </c>
      <c r="U25" s="55" t="s">
        <v>21</v>
      </c>
      <c r="V25" s="55" t="s">
        <v>22</v>
      </c>
      <c r="W25" s="55" t="s">
        <v>4</v>
      </c>
      <c r="X25" s="55" t="s">
        <v>57</v>
      </c>
      <c r="Y25" s="55" t="s">
        <v>20</v>
      </c>
      <c r="Z25" s="55" t="s">
        <v>21</v>
      </c>
      <c r="AA25" s="55" t="s">
        <v>22</v>
      </c>
      <c r="AB25" s="55" t="s">
        <v>4</v>
      </c>
      <c r="AC25" s="55" t="s">
        <v>57</v>
      </c>
      <c r="AD25" s="55" t="s">
        <v>92</v>
      </c>
      <c r="AE25" s="55" t="s">
        <v>93</v>
      </c>
      <c r="AF25" s="55" t="s">
        <v>56</v>
      </c>
      <c r="AG25" s="55" t="s">
        <v>94</v>
      </c>
      <c r="AH25" s="55" t="s">
        <v>95</v>
      </c>
      <c r="AI25" s="55" t="s">
        <v>96</v>
      </c>
      <c r="AJ25" s="55" t="s">
        <v>97</v>
      </c>
      <c r="AK25" s="55" t="s">
        <v>54</v>
      </c>
      <c r="AL25" s="55" t="s">
        <v>55</v>
      </c>
      <c r="AM25" s="55" t="s">
        <v>98</v>
      </c>
      <c r="AN25" s="55" t="s">
        <v>99</v>
      </c>
      <c r="AO25" s="55" t="s">
        <v>100</v>
      </c>
    </row>
    <row r="26" spans="1:41" ht="15" customHeight="1">
      <c r="A26" t="s">
        <v>455</v>
      </c>
      <c r="B26" t="s">
        <v>167</v>
      </c>
      <c r="C26" s="45">
        <v>15</v>
      </c>
      <c r="D26" s="45">
        <v>23.924436786190007</v>
      </c>
      <c r="E26" s="45">
        <v>25</v>
      </c>
      <c r="F26" s="45">
        <v>-0.49</v>
      </c>
      <c r="G26" s="45">
        <v>2.2919840812683105</v>
      </c>
      <c r="H26" s="45" t="s">
        <v>166</v>
      </c>
      <c r="I26" s="45">
        <v>0.4</v>
      </c>
      <c r="J26" s="45">
        <v>0.27799999713897705</v>
      </c>
      <c r="K26" s="45">
        <v>25.748675091136995</v>
      </c>
      <c r="L26" s="56">
        <v>0.0020428457767318877</v>
      </c>
      <c r="M26" s="45">
        <v>0.007348366178977453</v>
      </c>
      <c r="N26" s="45"/>
      <c r="O26" s="45"/>
      <c r="P26" s="45">
        <v>25.00000533454511</v>
      </c>
      <c r="Q26" s="45">
        <v>0</v>
      </c>
      <c r="R26" s="45">
        <v>0</v>
      </c>
      <c r="S26" s="45">
        <v>-5.138240337371826</v>
      </c>
      <c r="T26" s="45">
        <v>0</v>
      </c>
      <c r="U26" s="45">
        <v>0</v>
      </c>
      <c r="V26" s="45">
        <v>25.00000533454511</v>
      </c>
      <c r="W26" s="45">
        <v>-2.8462561471804197</v>
      </c>
      <c r="X26" s="45">
        <v>22.153749187364692</v>
      </c>
      <c r="Y26" s="45">
        <v>0</v>
      </c>
      <c r="Z26" s="45">
        <v>0</v>
      </c>
      <c r="AA26" s="45">
        <v>91.9670181274414</v>
      </c>
      <c r="AB26" s="45">
        <v>-10.470465660095215</v>
      </c>
      <c r="AC26" s="45">
        <v>81.49655228967738</v>
      </c>
      <c r="AD26" s="45">
        <v>8.593644372146349</v>
      </c>
      <c r="AE26" s="45">
        <v>0.06470084476929958</v>
      </c>
      <c r="AF26" s="45">
        <v>1.0136632919311523</v>
      </c>
      <c r="AG26" s="45">
        <v>9.669074579481526</v>
      </c>
      <c r="AH26" s="45">
        <v>25.00000533454511</v>
      </c>
      <c r="AI26" s="65">
        <v>0.3867629006510954</v>
      </c>
      <c r="AJ26" s="45">
        <v>1.551579236984253</v>
      </c>
      <c r="AK26" s="45">
        <v>0</v>
      </c>
      <c r="AL26" s="45">
        <v>0</v>
      </c>
      <c r="AM26" s="45">
        <v>11.220653533935547</v>
      </c>
      <c r="AN26" s="45">
        <v>22.153749187364692</v>
      </c>
      <c r="AO26" s="65">
        <v>0.5064900517463684</v>
      </c>
    </row>
    <row r="27" spans="1:41" ht="15" customHeight="1">
      <c r="A27" t="s">
        <v>456</v>
      </c>
      <c r="B27" t="s">
        <v>168</v>
      </c>
      <c r="C27" s="45">
        <v>15</v>
      </c>
      <c r="D27" s="45">
        <v>112.44485289509305</v>
      </c>
      <c r="E27" s="45">
        <v>10</v>
      </c>
      <c r="F27" s="45">
        <v>-0.49</v>
      </c>
      <c r="G27" s="45">
        <v>2.2919840812683105</v>
      </c>
      <c r="H27" s="45" t="s">
        <v>166</v>
      </c>
      <c r="I27" s="45">
        <v>0.4</v>
      </c>
      <c r="J27" s="45">
        <v>0.27799999713897705</v>
      </c>
      <c r="K27" s="45">
        <v>121.01877292834389</v>
      </c>
      <c r="L27" s="56">
        <v>0.009601375150639873</v>
      </c>
      <c r="M27" s="45">
        <v>0.03453732104119403</v>
      </c>
      <c r="N27" s="45"/>
      <c r="O27" s="45"/>
      <c r="P27" s="45">
        <v>10.000002133818045</v>
      </c>
      <c r="Q27" s="45">
        <v>0</v>
      </c>
      <c r="R27" s="45">
        <v>0</v>
      </c>
      <c r="S27" s="45">
        <v>-5.138240337371826</v>
      </c>
      <c r="T27" s="45">
        <v>0</v>
      </c>
      <c r="U27" s="45">
        <v>0</v>
      </c>
      <c r="V27" s="45">
        <v>10.000002133818045</v>
      </c>
      <c r="W27" s="45">
        <v>-2.8462561471804197</v>
      </c>
      <c r="X27" s="45">
        <v>7.153745986637626</v>
      </c>
      <c r="Y27" s="45">
        <v>0</v>
      </c>
      <c r="Z27" s="45">
        <v>0</v>
      </c>
      <c r="AA27" s="45">
        <v>7.826980113983154</v>
      </c>
      <c r="AB27" s="45">
        <v>-2.2277586460113525</v>
      </c>
      <c r="AC27" s="45">
        <v>5.599221641335602</v>
      </c>
      <c r="AD27" s="45">
        <v>40.390128549087855</v>
      </c>
      <c r="AE27" s="45">
        <v>0.3040939704157081</v>
      </c>
      <c r="AF27" s="45">
        <v>4.764217376708984</v>
      </c>
      <c r="AG27" s="45">
        <v>45.44465042819576</v>
      </c>
      <c r="AH27" s="45">
        <v>10.000002133818045</v>
      </c>
      <c r="AI27" s="44">
        <v>4.544464073113631</v>
      </c>
      <c r="AJ27" s="45">
        <v>7.292421340942383</v>
      </c>
      <c r="AK27" s="45">
        <v>0</v>
      </c>
      <c r="AL27" s="45">
        <v>0</v>
      </c>
      <c r="AM27" s="45">
        <v>52.7370719909668</v>
      </c>
      <c r="AN27" s="45">
        <v>7.153745986637626</v>
      </c>
      <c r="AO27" s="44">
        <v>7.371952056884766</v>
      </c>
    </row>
    <row r="28" spans="1:41" ht="15" customHeight="1">
      <c r="A28" t="s">
        <v>457</v>
      </c>
      <c r="B28" t="s">
        <v>169</v>
      </c>
      <c r="C28" s="45">
        <v>15</v>
      </c>
      <c r="D28" s="45">
        <v>98.68830174303378</v>
      </c>
      <c r="E28" s="45">
        <v>30.01</v>
      </c>
      <c r="F28" s="45">
        <v>-0.73</v>
      </c>
      <c r="G28" s="45">
        <v>2.7594830989837646</v>
      </c>
      <c r="H28" s="45" t="s">
        <v>166</v>
      </c>
      <c r="I28" s="45">
        <v>0.4</v>
      </c>
      <c r="J28" s="45">
        <v>0.27799999713897705</v>
      </c>
      <c r="K28" s="45">
        <v>106.21328475094009</v>
      </c>
      <c r="L28" s="56">
        <v>0.008426738829019034</v>
      </c>
      <c r="M28" s="45">
        <v>0.030312010488281985</v>
      </c>
      <c r="N28" s="45"/>
      <c r="O28" s="45"/>
      <c r="P28" s="45">
        <v>30.010006403587955</v>
      </c>
      <c r="Q28" s="45">
        <v>0</v>
      </c>
      <c r="R28" s="45">
        <v>0</v>
      </c>
      <c r="S28" s="45">
        <v>-7.706834316253662</v>
      </c>
      <c r="T28" s="45">
        <v>0</v>
      </c>
      <c r="U28" s="45">
        <v>0</v>
      </c>
      <c r="V28" s="45">
        <v>30.010006403587955</v>
      </c>
      <c r="W28" s="45">
        <v>-4.9473511812570905</v>
      </c>
      <c r="X28" s="45">
        <v>25.062655222330864</v>
      </c>
      <c r="Y28" s="45">
        <v>0</v>
      </c>
      <c r="Z28" s="45">
        <v>0</v>
      </c>
      <c r="AA28" s="45">
        <v>26.76296043395996</v>
      </c>
      <c r="AB28" s="45">
        <v>-4.41205358505249</v>
      </c>
      <c r="AC28" s="45">
        <v>22.350905820571743</v>
      </c>
      <c r="AD28" s="45">
        <v>35.44878303510371</v>
      </c>
      <c r="AE28" s="45">
        <v>0.2668909846733607</v>
      </c>
      <c r="AF28" s="45">
        <v>4.181360721588135</v>
      </c>
      <c r="AG28" s="45">
        <v>39.88493228273345</v>
      </c>
      <c r="AH28" s="45">
        <v>30.010006403587955</v>
      </c>
      <c r="AI28" s="44">
        <v>1.3290544409202414</v>
      </c>
      <c r="AJ28" s="45">
        <v>6.40026330947876</v>
      </c>
      <c r="AK28" s="45">
        <v>0</v>
      </c>
      <c r="AL28" s="45">
        <v>0</v>
      </c>
      <c r="AM28" s="45">
        <v>46.285194396972656</v>
      </c>
      <c r="AN28" s="45">
        <v>25.062655222330864</v>
      </c>
      <c r="AO28" s="44">
        <v>1.8467793464660645</v>
      </c>
    </row>
    <row r="29" spans="1:41" ht="15" customHeight="1">
      <c r="A29" t="s">
        <v>458</v>
      </c>
      <c r="B29" t="s">
        <v>170</v>
      </c>
      <c r="C29" s="45">
        <v>15</v>
      </c>
      <c r="D29" s="45">
        <v>204.55393452192456</v>
      </c>
      <c r="E29" s="45">
        <v>29</v>
      </c>
      <c r="F29" s="45">
        <v>-0.73</v>
      </c>
      <c r="G29" s="45">
        <v>2.7594830989837646</v>
      </c>
      <c r="H29" s="45" t="s">
        <v>166</v>
      </c>
      <c r="I29" s="45">
        <v>0.4</v>
      </c>
      <c r="J29" s="45">
        <v>0.27799999713897705</v>
      </c>
      <c r="K29" s="45">
        <v>220.1511720292213</v>
      </c>
      <c r="L29" s="56">
        <v>0.01746633139105764</v>
      </c>
      <c r="M29" s="45">
        <v>0.06282853083025722</v>
      </c>
      <c r="N29" s="45"/>
      <c r="O29" s="45"/>
      <c r="P29" s="45">
        <v>29.000006188072327</v>
      </c>
      <c r="Q29" s="45">
        <v>0</v>
      </c>
      <c r="R29" s="45">
        <v>0</v>
      </c>
      <c r="S29" s="45">
        <v>-7.706834316253662</v>
      </c>
      <c r="T29" s="45">
        <v>0</v>
      </c>
      <c r="U29" s="45">
        <v>0</v>
      </c>
      <c r="V29" s="45">
        <v>29.000006188072327</v>
      </c>
      <c r="W29" s="45">
        <v>-4.9473511812570905</v>
      </c>
      <c r="X29" s="45">
        <v>24.052655006815236</v>
      </c>
      <c r="Y29" s="45">
        <v>0</v>
      </c>
      <c r="Z29" s="45">
        <v>0</v>
      </c>
      <c r="AA29" s="45">
        <v>12.477396965026855</v>
      </c>
      <c r="AB29" s="45">
        <v>-2.12862229347229</v>
      </c>
      <c r="AC29" s="45">
        <v>10.348774151787307</v>
      </c>
      <c r="AD29" s="45">
        <v>73.4756593818514</v>
      </c>
      <c r="AE29" s="45">
        <v>0.5531922227775115</v>
      </c>
      <c r="AF29" s="45">
        <v>8.666820526123047</v>
      </c>
      <c r="AG29" s="45">
        <v>82.67058703467886</v>
      </c>
      <c r="AH29" s="45">
        <v>29.000006188072327</v>
      </c>
      <c r="AI29" s="44">
        <v>2.850709289458055</v>
      </c>
      <c r="AJ29" s="45">
        <v>13.265999794006348</v>
      </c>
      <c r="AK29" s="45">
        <v>0</v>
      </c>
      <c r="AL29" s="45">
        <v>0</v>
      </c>
      <c r="AM29" s="45">
        <v>95.93658447265625</v>
      </c>
      <c r="AN29" s="45">
        <v>24.052655006815236</v>
      </c>
      <c r="AO29" s="44">
        <v>3.9886069297790527</v>
      </c>
    </row>
    <row r="30" spans="1:41" ht="15" customHeight="1">
      <c r="A30" t="s">
        <v>459</v>
      </c>
      <c r="B30" t="s">
        <v>171</v>
      </c>
      <c r="C30" s="45">
        <v>15</v>
      </c>
      <c r="D30" s="45">
        <v>148.33150807437804</v>
      </c>
      <c r="E30" s="45">
        <v>15</v>
      </c>
      <c r="F30" s="45">
        <v>-0.97</v>
      </c>
      <c r="G30" s="45">
        <v>5.3198442459106445</v>
      </c>
      <c r="H30" s="45" t="s">
        <v>166</v>
      </c>
      <c r="I30" s="45">
        <v>0.4</v>
      </c>
      <c r="J30" s="45">
        <v>0.27799999713897705</v>
      </c>
      <c r="K30" s="45">
        <v>159.64178556504933</v>
      </c>
      <c r="L30" s="56">
        <v>0.0126656438157377</v>
      </c>
      <c r="M30" s="45">
        <v>0.045559870309660196</v>
      </c>
      <c r="N30" s="45"/>
      <c r="O30" s="45"/>
      <c r="P30" s="45">
        <v>15.000003200727066</v>
      </c>
      <c r="Q30" s="45">
        <v>0</v>
      </c>
      <c r="R30" s="45">
        <v>0</v>
      </c>
      <c r="S30" s="45">
        <v>-10.275425910949707</v>
      </c>
      <c r="T30" s="45">
        <v>0</v>
      </c>
      <c r="U30" s="45">
        <v>0</v>
      </c>
      <c r="V30" s="45">
        <v>15.000003200727066</v>
      </c>
      <c r="W30" s="45">
        <v>-4.955581604113718</v>
      </c>
      <c r="X30" s="45">
        <v>10.044421596613349</v>
      </c>
      <c r="Y30" s="45">
        <v>0</v>
      </c>
      <c r="Z30" s="45">
        <v>0</v>
      </c>
      <c r="AA30" s="45">
        <v>8.900033950805664</v>
      </c>
      <c r="AB30" s="45">
        <v>-2.9403223991394043</v>
      </c>
      <c r="AC30" s="45">
        <v>5.9597116187277095</v>
      </c>
      <c r="AD30" s="45">
        <v>53.28059510730735</v>
      </c>
      <c r="AE30" s="45">
        <v>0.4011452375696573</v>
      </c>
      <c r="AF30" s="45">
        <v>6.284711837768555</v>
      </c>
      <c r="AG30" s="45">
        <v>59.94826182058086</v>
      </c>
      <c r="AH30" s="45">
        <v>15.000003200727066</v>
      </c>
      <c r="AI30" s="44">
        <v>3.996549935247687</v>
      </c>
      <c r="AJ30" s="45">
        <v>9.61978816986084</v>
      </c>
      <c r="AK30" s="45">
        <v>0</v>
      </c>
      <c r="AL30" s="45">
        <v>0</v>
      </c>
      <c r="AM30" s="45">
        <v>69.56804656982422</v>
      </c>
      <c r="AN30" s="45">
        <v>10.044421596613349</v>
      </c>
      <c r="AO30" s="44">
        <v>6.9260382652282715</v>
      </c>
    </row>
    <row r="31" spans="1:41" ht="15" customHeight="1">
      <c r="A31" t="s">
        <v>460</v>
      </c>
      <c r="B31" t="s">
        <v>172</v>
      </c>
      <c r="C31" s="45">
        <v>15</v>
      </c>
      <c r="D31" s="45">
        <v>156.1069500298898</v>
      </c>
      <c r="E31" s="45">
        <v>13</v>
      </c>
      <c r="F31" s="45">
        <v>-0.73</v>
      </c>
      <c r="G31" s="45">
        <v>2.7594830989837646</v>
      </c>
      <c r="H31" s="45" t="s">
        <v>166</v>
      </c>
      <c r="I31" s="45">
        <v>0.4</v>
      </c>
      <c r="J31" s="45">
        <v>0.27799999713897705</v>
      </c>
      <c r="K31" s="45">
        <v>168.0101049696689</v>
      </c>
      <c r="L31" s="56">
        <v>0.013329568693175567</v>
      </c>
      <c r="M31" s="45">
        <v>0.04794808931782788</v>
      </c>
      <c r="N31" s="45"/>
      <c r="O31" s="45"/>
      <c r="P31" s="45">
        <v>12.996702773259301</v>
      </c>
      <c r="Q31" s="45">
        <v>0</v>
      </c>
      <c r="R31" s="45">
        <v>0</v>
      </c>
      <c r="S31" s="45">
        <v>-7.706834316253662</v>
      </c>
      <c r="T31" s="45">
        <v>0</v>
      </c>
      <c r="U31" s="45">
        <v>0</v>
      </c>
      <c r="V31" s="45">
        <v>12.996702773259301</v>
      </c>
      <c r="W31" s="45">
        <v>-4.9473511812570905</v>
      </c>
      <c r="X31" s="45">
        <v>8.04935159200221</v>
      </c>
      <c r="Y31" s="45">
        <v>0</v>
      </c>
      <c r="Z31" s="45">
        <v>0</v>
      </c>
      <c r="AA31" s="45">
        <v>7.327311992645264</v>
      </c>
      <c r="AB31" s="45">
        <v>-2.789229393005371</v>
      </c>
      <c r="AC31" s="45">
        <v>4.538082462992825</v>
      </c>
      <c r="AD31" s="45">
        <v>56.07352952825494</v>
      </c>
      <c r="AE31" s="45">
        <v>0.4221730121196799</v>
      </c>
      <c r="AF31" s="45">
        <v>6.614152431488037</v>
      </c>
      <c r="AG31" s="45">
        <v>63.09071108275424</v>
      </c>
      <c r="AH31" s="45">
        <v>12.996702773259301</v>
      </c>
      <c r="AI31" s="44">
        <v>4.85436284751878</v>
      </c>
      <c r="AJ31" s="45">
        <v>10.124053001403809</v>
      </c>
      <c r="AK31" s="45">
        <v>0</v>
      </c>
      <c r="AL31" s="45">
        <v>0</v>
      </c>
      <c r="AM31" s="45">
        <v>73.21476745605469</v>
      </c>
      <c r="AN31" s="45">
        <v>8.04935159200221</v>
      </c>
      <c r="AO31" s="44">
        <v>9.095734596252441</v>
      </c>
    </row>
    <row r="32" spans="1:41" ht="15" customHeight="1">
      <c r="A32" t="s">
        <v>461</v>
      </c>
      <c r="B32" t="s">
        <v>173</v>
      </c>
      <c r="C32" s="45">
        <v>15</v>
      </c>
      <c r="D32" s="45">
        <v>81.55560000000001</v>
      </c>
      <c r="E32" s="45">
        <v>25</v>
      </c>
      <c r="F32" s="45">
        <v>-1.22</v>
      </c>
      <c r="G32" s="45">
        <v>5.3198442459106445</v>
      </c>
      <c r="H32" s="45" t="s">
        <v>166</v>
      </c>
      <c r="I32" s="45">
        <v>0.4</v>
      </c>
      <c r="J32" s="45">
        <v>0.27799999713897705</v>
      </c>
      <c r="K32" s="45">
        <v>87.77421450000001</v>
      </c>
      <c r="L32" s="56">
        <v>0.006963821740832181</v>
      </c>
      <c r="M32" s="45">
        <v>0.02504971875</v>
      </c>
      <c r="N32" s="45"/>
      <c r="O32" s="45"/>
      <c r="P32" s="45">
        <v>25.00000533454511</v>
      </c>
      <c r="Q32" s="45">
        <v>0</v>
      </c>
      <c r="R32" s="45">
        <v>0</v>
      </c>
      <c r="S32" s="45">
        <v>-12.845074653625488</v>
      </c>
      <c r="T32" s="45">
        <v>0</v>
      </c>
      <c r="U32" s="45">
        <v>0</v>
      </c>
      <c r="V32" s="45">
        <v>25.00000533454511</v>
      </c>
      <c r="W32" s="45">
        <v>-7.525230346789499</v>
      </c>
      <c r="X32" s="45">
        <v>17.474774987755612</v>
      </c>
      <c r="Y32" s="45">
        <v>0</v>
      </c>
      <c r="Z32" s="45">
        <v>0</v>
      </c>
      <c r="AA32" s="45">
        <v>26.978639602661133</v>
      </c>
      <c r="AB32" s="45">
        <v>-8.120817184448242</v>
      </c>
      <c r="AC32" s="45">
        <v>18.857821891295785</v>
      </c>
      <c r="AD32" s="45">
        <v>29.294726108728263</v>
      </c>
      <c r="AE32" s="45">
        <v>0.22055759401253652</v>
      </c>
      <c r="AF32" s="45">
        <v>3.4554591178894043</v>
      </c>
      <c r="AG32" s="45">
        <v>32.96074139941051</v>
      </c>
      <c r="AH32" s="45">
        <v>25.00000533454511</v>
      </c>
      <c r="AI32" s="44">
        <v>1.3184293746475813</v>
      </c>
      <c r="AJ32" s="45">
        <v>5.289151191711426</v>
      </c>
      <c r="AK32" s="45">
        <v>0</v>
      </c>
      <c r="AL32" s="45">
        <v>0</v>
      </c>
      <c r="AM32" s="45">
        <v>38.24989318847656</v>
      </c>
      <c r="AN32" s="45">
        <v>17.474774987755612</v>
      </c>
      <c r="AO32" s="44">
        <v>2.1888632774353027</v>
      </c>
    </row>
    <row r="33" spans="1:41" ht="15" customHeight="1">
      <c r="A33" t="s">
        <v>462</v>
      </c>
      <c r="B33" t="s">
        <v>174</v>
      </c>
      <c r="C33" s="45">
        <v>15</v>
      </c>
      <c r="D33" s="45">
        <v>88.70960000000001</v>
      </c>
      <c r="E33" s="45">
        <v>12</v>
      </c>
      <c r="F33" s="45">
        <v>-1.22</v>
      </c>
      <c r="G33" s="45">
        <v>5.3198442459106445</v>
      </c>
      <c r="H33" s="45" t="s">
        <v>166</v>
      </c>
      <c r="I33" s="45">
        <v>0.4</v>
      </c>
      <c r="J33" s="45">
        <v>0.27799999713897705</v>
      </c>
      <c r="K33" s="45">
        <v>95.473707</v>
      </c>
      <c r="L33" s="56">
        <v>0.007574683297045529</v>
      </c>
      <c r="M33" s="45">
        <v>0.027247062500000002</v>
      </c>
      <c r="N33" s="45"/>
      <c r="O33" s="45"/>
      <c r="P33" s="45">
        <v>12.000002560581652</v>
      </c>
      <c r="Q33" s="45">
        <v>0</v>
      </c>
      <c r="R33" s="45">
        <v>0</v>
      </c>
      <c r="S33" s="45">
        <v>-12.845074653625488</v>
      </c>
      <c r="T33" s="45">
        <v>0</v>
      </c>
      <c r="U33" s="45">
        <v>0</v>
      </c>
      <c r="V33" s="45">
        <v>12.000002560581652</v>
      </c>
      <c r="W33" s="45">
        <v>-7.525230346789499</v>
      </c>
      <c r="X33" s="45">
        <v>4.4747722137921535</v>
      </c>
      <c r="Y33" s="45">
        <v>0</v>
      </c>
      <c r="Z33" s="45">
        <v>0</v>
      </c>
      <c r="AA33" s="45">
        <v>11.905412673950195</v>
      </c>
      <c r="AB33" s="45">
        <v>-7.465912818908691</v>
      </c>
      <c r="AC33" s="45">
        <v>4.43949975251749</v>
      </c>
      <c r="AD33" s="45">
        <v>31.864438925283338</v>
      </c>
      <c r="AE33" s="45">
        <v>0.23990475138205727</v>
      </c>
      <c r="AF33" s="45">
        <v>3.7585694789886475</v>
      </c>
      <c r="AG33" s="45">
        <v>35.8520344167835</v>
      </c>
      <c r="AH33" s="45">
        <v>12.000002560581652</v>
      </c>
      <c r="AI33" s="44">
        <v>2.9876688972177785</v>
      </c>
      <c r="AJ33" s="45">
        <v>5.753111839294434</v>
      </c>
      <c r="AK33" s="45">
        <v>0</v>
      </c>
      <c r="AL33" s="45">
        <v>0</v>
      </c>
      <c r="AM33" s="45">
        <v>41.60514450073242</v>
      </c>
      <c r="AN33" s="45">
        <v>4.4747722137921535</v>
      </c>
      <c r="AO33" s="44">
        <v>9.297712326049805</v>
      </c>
    </row>
    <row r="34" spans="1:41" ht="15" customHeight="1">
      <c r="A34" t="s">
        <v>463</v>
      </c>
      <c r="B34" t="s">
        <v>175</v>
      </c>
      <c r="C34" s="45">
        <v>15</v>
      </c>
      <c r="D34" s="45">
        <v>148.8032</v>
      </c>
      <c r="E34" s="45">
        <v>11</v>
      </c>
      <c r="F34" s="45">
        <v>-1.22</v>
      </c>
      <c r="G34" s="45">
        <v>5.3198442459106445</v>
      </c>
      <c r="H34" s="45" t="s">
        <v>166</v>
      </c>
      <c r="I34" s="45">
        <v>0.4</v>
      </c>
      <c r="J34" s="45">
        <v>0.27799999713897705</v>
      </c>
      <c r="K34" s="45">
        <v>160.14944400000002</v>
      </c>
      <c r="L34" s="56">
        <v>0.01270592036923766</v>
      </c>
      <c r="M34" s="45">
        <v>0.045704749999999995</v>
      </c>
      <c r="N34" s="45"/>
      <c r="O34" s="45"/>
      <c r="P34" s="45">
        <v>11.00000234719985</v>
      </c>
      <c r="Q34" s="45">
        <v>0</v>
      </c>
      <c r="R34" s="45">
        <v>0</v>
      </c>
      <c r="S34" s="45">
        <v>-12.845074653625488</v>
      </c>
      <c r="T34" s="45">
        <v>0</v>
      </c>
      <c r="U34" s="45">
        <v>0</v>
      </c>
      <c r="V34" s="45">
        <v>11.00000234719985</v>
      </c>
      <c r="W34" s="45">
        <v>-7.525230346789499</v>
      </c>
      <c r="X34" s="45">
        <v>3.4747720004103506</v>
      </c>
      <c r="Y34" s="45">
        <v>0</v>
      </c>
      <c r="Z34" s="45">
        <v>0</v>
      </c>
      <c r="AA34" s="45">
        <v>6.506002426147461</v>
      </c>
      <c r="AB34" s="45">
        <v>-4.450832366943359</v>
      </c>
      <c r="AC34" s="45">
        <v>2.0551700720276056</v>
      </c>
      <c r="AD34" s="45">
        <v>53.450026584346354</v>
      </c>
      <c r="AE34" s="45">
        <v>0.40242087328603143</v>
      </c>
      <c r="AF34" s="45">
        <v>6.304697036743164</v>
      </c>
      <c r="AG34" s="45">
        <v>60.13889628723787</v>
      </c>
      <c r="AH34" s="45">
        <v>11.00000234719985</v>
      </c>
      <c r="AI34" s="44">
        <v>5.467171223154036</v>
      </c>
      <c r="AJ34" s="45">
        <v>9.65038013458252</v>
      </c>
      <c r="AK34" s="45">
        <v>0</v>
      </c>
      <c r="AL34" s="45">
        <v>0</v>
      </c>
      <c r="AM34" s="45">
        <v>69.78927612304688</v>
      </c>
      <c r="AN34" s="45">
        <v>3.4747720004103506</v>
      </c>
      <c r="AO34" s="44">
        <v>20.084562301635742</v>
      </c>
    </row>
    <row r="35" spans="1:41" ht="15" customHeight="1">
      <c r="A35" t="s">
        <v>468</v>
      </c>
      <c r="B35" t="s">
        <v>467</v>
      </c>
      <c r="C35" s="45">
        <v>15</v>
      </c>
      <c r="D35" s="45">
        <v>103.17413364044441</v>
      </c>
      <c r="E35" s="45">
        <v>35</v>
      </c>
      <c r="F35" s="45">
        <v>-0.73</v>
      </c>
      <c r="G35" s="45">
        <v>2.7594830989837646</v>
      </c>
      <c r="H35" s="45" t="s">
        <v>166</v>
      </c>
      <c r="I35" s="45">
        <v>0.4</v>
      </c>
      <c r="J35" s="45">
        <v>0.27799999713897705</v>
      </c>
      <c r="K35" s="45">
        <v>111.0411613305283</v>
      </c>
      <c r="L35" s="56">
        <v>0.008809772412156264</v>
      </c>
      <c r="M35" s="45">
        <v>0.031689829146840265</v>
      </c>
      <c r="N35" s="45"/>
      <c r="O35" s="45"/>
      <c r="P35" s="45">
        <v>35.00000746836316</v>
      </c>
      <c r="Q35" s="45">
        <v>0</v>
      </c>
      <c r="R35" s="45">
        <v>0</v>
      </c>
      <c r="S35" s="45">
        <v>-7.706834316253662</v>
      </c>
      <c r="T35" s="45">
        <v>0</v>
      </c>
      <c r="U35" s="45">
        <v>0</v>
      </c>
      <c r="V35" s="45">
        <v>35.00000746836316</v>
      </c>
      <c r="W35" s="45">
        <v>-4.9473511812570905</v>
      </c>
      <c r="X35" s="45">
        <v>30.052656287106068</v>
      </c>
      <c r="Y35" s="45">
        <v>0</v>
      </c>
      <c r="Z35" s="45">
        <v>0</v>
      </c>
      <c r="AA35" s="45">
        <v>29.855958938598633</v>
      </c>
      <c r="AB35" s="45">
        <v>-4.2202253341674805</v>
      </c>
      <c r="AC35" s="45">
        <v>25.63573408184151</v>
      </c>
      <c r="AD35" s="45">
        <v>37.06009135488117</v>
      </c>
      <c r="AE35" s="45">
        <v>0.2790223930676044</v>
      </c>
      <c r="AF35" s="45">
        <v>4.37142276763916</v>
      </c>
      <c r="AG35" s="45">
        <v>41.697883945200196</v>
      </c>
      <c r="AH35" s="45">
        <v>35.00000746836316</v>
      </c>
      <c r="AI35" s="44">
        <v>1.1913678585037821</v>
      </c>
      <c r="AJ35" s="45">
        <v>6.6911845207214355</v>
      </c>
      <c r="AK35" s="45">
        <v>0</v>
      </c>
      <c r="AL35" s="45">
        <v>0</v>
      </c>
      <c r="AM35" s="45">
        <v>48.389068603515625</v>
      </c>
      <c r="AN35" s="45">
        <v>30.052656287106068</v>
      </c>
      <c r="AO35" s="44">
        <v>1.6101428270339966</v>
      </c>
    </row>
    <row r="36" spans="1:41" ht="15" customHeight="1">
      <c r="A36" t="s">
        <v>464</v>
      </c>
      <c r="B36" t="s">
        <v>176</v>
      </c>
      <c r="C36" s="45">
        <v>15</v>
      </c>
      <c r="D36" s="45">
        <v>138.06959718743238</v>
      </c>
      <c r="E36" s="45">
        <v>15.1</v>
      </c>
      <c r="F36" s="45">
        <v>-0.73</v>
      </c>
      <c r="G36" s="45">
        <v>2.6343514919281006</v>
      </c>
      <c r="H36" s="45" t="s">
        <v>166</v>
      </c>
      <c r="I36" s="45">
        <v>0.4</v>
      </c>
      <c r="J36" s="45">
        <v>0.27799999713897705</v>
      </c>
      <c r="K36" s="45">
        <v>148.5974039729741</v>
      </c>
      <c r="L36" s="56">
        <v>0.01178940578748465</v>
      </c>
      <c r="M36" s="45">
        <v>0.04240793492379397</v>
      </c>
      <c r="N36" s="45"/>
      <c r="O36" s="45"/>
      <c r="P36" s="45">
        <v>15.10260322262004</v>
      </c>
      <c r="Q36" s="45">
        <v>0</v>
      </c>
      <c r="R36" s="45">
        <v>0</v>
      </c>
      <c r="S36" s="45">
        <v>-7.662492752075195</v>
      </c>
      <c r="T36" s="45">
        <v>0</v>
      </c>
      <c r="U36" s="45">
        <v>0</v>
      </c>
      <c r="V36" s="45">
        <v>15.10260322262004</v>
      </c>
      <c r="W36" s="45">
        <v>-5.028141310551021</v>
      </c>
      <c r="X36" s="45">
        <v>10.074461912069019</v>
      </c>
      <c r="Y36" s="45">
        <v>0</v>
      </c>
      <c r="Z36" s="45">
        <v>0</v>
      </c>
      <c r="AA36" s="45">
        <v>9.626922607421875</v>
      </c>
      <c r="AB36" s="45">
        <v>-3.205111503601074</v>
      </c>
      <c r="AC36" s="45">
        <v>6.421811091575173</v>
      </c>
      <c r="AD36" s="45">
        <v>49.594522430688585</v>
      </c>
      <c r="AE36" s="45">
        <v>0.37339309822918537</v>
      </c>
      <c r="AF36" s="45">
        <v>5.849921226501465</v>
      </c>
      <c r="AG36" s="45">
        <v>55.80090484394897</v>
      </c>
      <c r="AH36" s="45">
        <v>15.10260322262004</v>
      </c>
      <c r="AI36" s="44">
        <v>3.6947871847929328</v>
      </c>
      <c r="AJ36" s="45">
        <v>8.95427131652832</v>
      </c>
      <c r="AK36" s="45">
        <v>0</v>
      </c>
      <c r="AL36" s="45">
        <v>0</v>
      </c>
      <c r="AM36" s="45">
        <v>64.75517272949219</v>
      </c>
      <c r="AN36" s="45">
        <v>10.074461912069019</v>
      </c>
      <c r="AO36" s="44">
        <v>6.4276556968688965</v>
      </c>
    </row>
    <row r="37" spans="1:41" ht="15" customHeight="1">
      <c r="A37" t="s">
        <v>465</v>
      </c>
      <c r="B37" t="s">
        <v>177</v>
      </c>
      <c r="C37" s="45">
        <v>15</v>
      </c>
      <c r="D37" s="45">
        <v>111.92412887283561</v>
      </c>
      <c r="E37" s="45">
        <v>17.14</v>
      </c>
      <c r="F37" s="45">
        <v>-1.22</v>
      </c>
      <c r="G37" s="45">
        <v>5.3198442459106445</v>
      </c>
      <c r="H37" s="45" t="s">
        <v>166</v>
      </c>
      <c r="I37" s="45">
        <v>0.4</v>
      </c>
      <c r="J37" s="45">
        <v>0.27799999713897705</v>
      </c>
      <c r="K37" s="45">
        <v>120.45834369938933</v>
      </c>
      <c r="L37" s="56">
        <v>0.009556911873229493</v>
      </c>
      <c r="M37" s="45">
        <v>0.034377381192748094</v>
      </c>
      <c r="N37" s="45"/>
      <c r="O37" s="45"/>
      <c r="P37" s="45">
        <v>17.139703657300114</v>
      </c>
      <c r="Q37" s="45">
        <v>0</v>
      </c>
      <c r="R37" s="45">
        <v>0</v>
      </c>
      <c r="S37" s="45">
        <v>-12.845074653625488</v>
      </c>
      <c r="T37" s="45">
        <v>0</v>
      </c>
      <c r="U37" s="45">
        <v>0</v>
      </c>
      <c r="V37" s="45">
        <v>17.139703657300114</v>
      </c>
      <c r="W37" s="45">
        <v>-7.525230346789499</v>
      </c>
      <c r="X37" s="45">
        <v>9.614473310510615</v>
      </c>
      <c r="Y37" s="45">
        <v>0</v>
      </c>
      <c r="Z37" s="45">
        <v>0</v>
      </c>
      <c r="AA37" s="45">
        <v>13.477622985839844</v>
      </c>
      <c r="AB37" s="45">
        <v>-5.917384624481201</v>
      </c>
      <c r="AC37" s="45">
        <v>7.560238561032886</v>
      </c>
      <c r="AD37" s="45">
        <v>40.20308477023918</v>
      </c>
      <c r="AE37" s="45">
        <v>0.3026857331212288</v>
      </c>
      <c r="AF37" s="45">
        <v>4.742154121398926</v>
      </c>
      <c r="AG37" s="45">
        <v>45.23419901477664</v>
      </c>
      <c r="AH37" s="45">
        <v>17.139703657300114</v>
      </c>
      <c r="AI37" s="44">
        <v>2.6391470890752866</v>
      </c>
      <c r="AJ37" s="45">
        <v>7.258649826049805</v>
      </c>
      <c r="AK37" s="45">
        <v>0</v>
      </c>
      <c r="AL37" s="45">
        <v>0</v>
      </c>
      <c r="AM37" s="45">
        <v>52.49284744262695</v>
      </c>
      <c r="AN37" s="45">
        <v>9.614473310510615</v>
      </c>
      <c r="AO37" s="44">
        <v>5.459773540496826</v>
      </c>
    </row>
    <row r="38" spans="1:41" ht="15" customHeight="1">
      <c r="A38" t="s">
        <v>466</v>
      </c>
      <c r="B38" t="s">
        <v>178</v>
      </c>
      <c r="C38" s="45">
        <v>15</v>
      </c>
      <c r="D38" s="45">
        <v>133.0164538149482</v>
      </c>
      <c r="E38" s="45">
        <v>15.5</v>
      </c>
      <c r="F38" s="45">
        <v>-1.13</v>
      </c>
      <c r="G38" s="45">
        <v>2.7594830989837646</v>
      </c>
      <c r="H38" s="45" t="s">
        <v>166</v>
      </c>
      <c r="I38" s="45">
        <v>0.4</v>
      </c>
      <c r="J38" s="45">
        <v>0.27799999713897705</v>
      </c>
      <c r="K38" s="45">
        <v>143.158958418338</v>
      </c>
      <c r="L38" s="56">
        <v>0.011357930944839296</v>
      </c>
      <c r="M38" s="45">
        <v>0.040855867128521114</v>
      </c>
      <c r="N38" s="45"/>
      <c r="O38" s="45"/>
      <c r="P38" s="45">
        <v>15.496303306628455</v>
      </c>
      <c r="Q38" s="45">
        <v>0</v>
      </c>
      <c r="R38" s="45">
        <v>0</v>
      </c>
      <c r="S38" s="45">
        <v>-11.936090469360352</v>
      </c>
      <c r="T38" s="45">
        <v>0</v>
      </c>
      <c r="U38" s="45">
        <v>0</v>
      </c>
      <c r="V38" s="45">
        <v>15.496303306628455</v>
      </c>
      <c r="W38" s="45">
        <v>-9.17660733436378</v>
      </c>
      <c r="X38" s="45">
        <v>6.319695972264675</v>
      </c>
      <c r="Y38" s="45">
        <v>0</v>
      </c>
      <c r="Z38" s="45">
        <v>0</v>
      </c>
      <c r="AA38" s="45">
        <v>10.253129959106445</v>
      </c>
      <c r="AB38" s="45">
        <v>-6.07170295715332</v>
      </c>
      <c r="AC38" s="45">
        <v>4.181427245671939</v>
      </c>
      <c r="AD38" s="45">
        <v>47.77943614495148</v>
      </c>
      <c r="AE38" s="45">
        <v>0.35972746221601776</v>
      </c>
      <c r="AF38" s="45">
        <v>5.635822772979736</v>
      </c>
      <c r="AG38" s="45">
        <v>53.75867415163377</v>
      </c>
      <c r="AH38" s="45">
        <v>15.496303306628455</v>
      </c>
      <c r="AI38" s="44">
        <v>3.469128932746096</v>
      </c>
      <c r="AJ38" s="45">
        <v>8.626558303833008</v>
      </c>
      <c r="AK38" s="45">
        <v>0</v>
      </c>
      <c r="AL38" s="45">
        <v>0</v>
      </c>
      <c r="AM38" s="45">
        <v>62.385231018066406</v>
      </c>
      <c r="AN38" s="45">
        <v>6.319695972264675</v>
      </c>
      <c r="AO38" s="44">
        <v>9.87155532836914</v>
      </c>
    </row>
    <row r="39" spans="1:41" ht="15" customHeight="1">
      <c r="A39"/>
      <c r="B39"/>
      <c r="C39" s="45"/>
      <c r="D39" s="45"/>
      <c r="E39" s="45"/>
      <c r="F39" s="45"/>
      <c r="G39" s="45"/>
      <c r="H39" s="45"/>
      <c r="I39" s="45"/>
      <c r="J39" s="45"/>
      <c r="K39" s="45"/>
      <c r="L39" s="56"/>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57"/>
    </row>
    <row r="40" spans="1:41" ht="15" customHeight="1" thickBot="1">
      <c r="A40"/>
      <c r="B40"/>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row>
    <row r="41" spans="1:41" ht="15" customHeight="1" thickBot="1">
      <c r="A41" s="58" t="s">
        <v>130</v>
      </c>
      <c r="B41" s="67"/>
      <c r="C41" s="68" t="s">
        <v>101</v>
      </c>
      <c r="D41" s="59"/>
      <c r="E41" s="59"/>
      <c r="F41" s="59"/>
      <c r="G41" s="59"/>
      <c r="H41" s="59"/>
      <c r="I41" s="59"/>
      <c r="J41" s="60"/>
      <c r="K41" s="68" t="s">
        <v>45</v>
      </c>
      <c r="L41" s="59"/>
      <c r="M41" s="60"/>
      <c r="N41" s="68" t="s">
        <v>102</v>
      </c>
      <c r="O41" s="59"/>
      <c r="P41" s="59"/>
      <c r="Q41" s="59"/>
      <c r="R41" s="69" t="s">
        <v>103</v>
      </c>
      <c r="S41" s="68" t="s">
        <v>79</v>
      </c>
      <c r="T41" s="59"/>
      <c r="U41" s="59"/>
      <c r="V41" s="59"/>
      <c r="W41" s="59"/>
      <c r="X41" s="60"/>
      <c r="Y41" s="68" t="s">
        <v>80</v>
      </c>
      <c r="Z41" s="59"/>
      <c r="AA41" s="59"/>
      <c r="AB41" s="59"/>
      <c r="AC41" s="59"/>
      <c r="AD41" s="60"/>
      <c r="AE41" s="45"/>
      <c r="AF41" s="45"/>
      <c r="AG41" s="45"/>
      <c r="AH41" s="45"/>
      <c r="AI41" s="45"/>
      <c r="AJ41" s="45"/>
      <c r="AK41" s="45"/>
      <c r="AL41" s="45"/>
      <c r="AM41" s="45"/>
      <c r="AN41" s="45"/>
      <c r="AO41" s="45"/>
    </row>
    <row r="42" spans="1:41" ht="51">
      <c r="A42" s="53"/>
      <c r="B42" s="54" t="s">
        <v>51</v>
      </c>
      <c r="C42" s="55" t="s">
        <v>104</v>
      </c>
      <c r="D42" s="55" t="s">
        <v>82</v>
      </c>
      <c r="E42" s="55" t="s">
        <v>83</v>
      </c>
      <c r="F42" s="55" t="s">
        <v>84</v>
      </c>
      <c r="G42" s="55" t="s">
        <v>85</v>
      </c>
      <c r="H42" s="55" t="s">
        <v>86</v>
      </c>
      <c r="I42" s="55" t="s">
        <v>105</v>
      </c>
      <c r="J42" s="55" t="s">
        <v>106</v>
      </c>
      <c r="K42" s="55" t="s">
        <v>89</v>
      </c>
      <c r="L42" s="55" t="s">
        <v>90</v>
      </c>
      <c r="M42" s="55" t="s">
        <v>91</v>
      </c>
      <c r="N42" s="55" t="s">
        <v>46</v>
      </c>
      <c r="O42" s="55" t="s">
        <v>107</v>
      </c>
      <c r="P42" s="55" t="s">
        <v>108</v>
      </c>
      <c r="Q42" s="55" t="s">
        <v>109</v>
      </c>
      <c r="R42" s="55" t="s">
        <v>110</v>
      </c>
      <c r="S42" s="55" t="s">
        <v>92</v>
      </c>
      <c r="T42" s="55" t="s">
        <v>93</v>
      </c>
      <c r="U42" s="55" t="s">
        <v>56</v>
      </c>
      <c r="V42" s="55" t="s">
        <v>94</v>
      </c>
      <c r="W42" s="55" t="s">
        <v>95</v>
      </c>
      <c r="X42" s="55" t="s">
        <v>96</v>
      </c>
      <c r="Y42" s="55" t="s">
        <v>97</v>
      </c>
      <c r="Z42" s="55" t="s">
        <v>54</v>
      </c>
      <c r="AA42" s="55" t="s">
        <v>55</v>
      </c>
      <c r="AB42" s="55" t="s">
        <v>98</v>
      </c>
      <c r="AC42" s="55" t="s">
        <v>99</v>
      </c>
      <c r="AD42" s="55" t="s">
        <v>100</v>
      </c>
      <c r="AE42" s="45"/>
      <c r="AF42" s="45"/>
      <c r="AG42" s="45"/>
      <c r="AH42" s="45"/>
      <c r="AI42" s="45"/>
      <c r="AJ42" s="45"/>
      <c r="AK42" s="45"/>
      <c r="AL42" s="45"/>
      <c r="AM42" s="45"/>
      <c r="AN42" s="45"/>
      <c r="AO42" s="45"/>
    </row>
    <row r="43" spans="1:41" ht="15" customHeight="1">
      <c r="A43"/>
      <c r="B43" t="s">
        <v>463</v>
      </c>
      <c r="C43" s="45">
        <v>15</v>
      </c>
      <c r="D43" s="45">
        <v>148.8032</v>
      </c>
      <c r="E43" s="45">
        <v>11</v>
      </c>
      <c r="F43" s="45">
        <v>-1.22</v>
      </c>
      <c r="G43" s="45">
        <v>5.3198442459106445</v>
      </c>
      <c r="H43" s="45"/>
      <c r="I43" s="45">
        <v>0.4</v>
      </c>
      <c r="J43" s="45">
        <v>0.27799999713897705</v>
      </c>
      <c r="K43" s="45">
        <v>160.14944400000002</v>
      </c>
      <c r="L43" s="45">
        <v>0.01270592036923766</v>
      </c>
      <c r="M43" s="45">
        <v>0.04570474848151207</v>
      </c>
      <c r="N43" s="45">
        <v>11.00000234719985</v>
      </c>
      <c r="O43" s="45">
        <v>-12.845074653625488</v>
      </c>
      <c r="P43" s="45">
        <v>5.3198442459106445</v>
      </c>
      <c r="Q43" s="45">
        <v>3.4747719764709473</v>
      </c>
      <c r="R43" s="45">
        <v>2.0551700556123134</v>
      </c>
      <c r="S43" s="45">
        <v>53.450026584346354</v>
      </c>
      <c r="T43" s="45">
        <v>0.40242087841033936</v>
      </c>
      <c r="U43" s="45">
        <v>6.304697036743164</v>
      </c>
      <c r="V43" s="45">
        <v>60.13889628723787</v>
      </c>
      <c r="W43" s="45">
        <v>11.00000234719985</v>
      </c>
      <c r="X43" s="44">
        <v>5.467171223154036</v>
      </c>
      <c r="Y43" s="56">
        <v>9.65038013458252</v>
      </c>
      <c r="Z43" s="56">
        <v>0</v>
      </c>
      <c r="AA43" s="56">
        <v>0</v>
      </c>
      <c r="AB43" s="56">
        <v>77.31450653076172</v>
      </c>
      <c r="AC43" s="56">
        <v>3.4747719764709473</v>
      </c>
      <c r="AD43" s="44">
        <v>22.2502384185791</v>
      </c>
      <c r="AE43" s="56"/>
      <c r="AF43" s="56"/>
      <c r="AG43" s="56"/>
      <c r="AH43" s="56"/>
      <c r="AI43" s="56"/>
      <c r="AJ43" s="56"/>
      <c r="AK43" s="56"/>
      <c r="AL43" s="45"/>
      <c r="AM43" s="45"/>
      <c r="AN43" s="45"/>
      <c r="AO43" s="45"/>
    </row>
    <row r="44" spans="1:41" ht="15" customHeight="1">
      <c r="A44"/>
      <c r="B44" t="s">
        <v>466</v>
      </c>
      <c r="C44" s="45">
        <v>15</v>
      </c>
      <c r="D44" s="45">
        <v>133.0164538149482</v>
      </c>
      <c r="E44" s="45">
        <v>15.5</v>
      </c>
      <c r="F44" s="45">
        <v>-1.13</v>
      </c>
      <c r="G44" s="45">
        <v>2.7594830989837646</v>
      </c>
      <c r="H44" s="45"/>
      <c r="I44" s="45">
        <v>0.4</v>
      </c>
      <c r="J44" s="45">
        <v>0.27799999713897705</v>
      </c>
      <c r="K44" s="45">
        <v>143.158958418338</v>
      </c>
      <c r="L44" s="45">
        <v>0.011357930944839296</v>
      </c>
      <c r="M44" s="45">
        <v>0.04085586592555046</v>
      </c>
      <c r="N44" s="45">
        <v>15.496303306628455</v>
      </c>
      <c r="O44" s="45">
        <v>-11.936090469360352</v>
      </c>
      <c r="P44" s="45">
        <v>2.7594830989837646</v>
      </c>
      <c r="Q44" s="45">
        <v>6.319695949554443</v>
      </c>
      <c r="R44" s="45">
        <v>4.181427132209921</v>
      </c>
      <c r="S44" s="45">
        <v>47.77943614495148</v>
      </c>
      <c r="T44" s="45">
        <v>0.3597274720668793</v>
      </c>
      <c r="U44" s="45">
        <v>5.635822772979736</v>
      </c>
      <c r="V44" s="45">
        <v>53.75867415163377</v>
      </c>
      <c r="W44" s="45">
        <v>15.496303306628455</v>
      </c>
      <c r="X44" s="44">
        <v>3.469128932746096</v>
      </c>
      <c r="Y44" s="56">
        <v>8.626558303833008</v>
      </c>
      <c r="Z44" s="56">
        <v>0</v>
      </c>
      <c r="AA44" s="56">
        <v>0</v>
      </c>
      <c r="AB44" s="56">
        <v>71.56183624267578</v>
      </c>
      <c r="AC44" s="56">
        <v>6.319695949554443</v>
      </c>
      <c r="AD44" s="44">
        <v>11.323619842529297</v>
      </c>
      <c r="AE44" s="56"/>
      <c r="AF44" s="56"/>
      <c r="AG44" s="56"/>
      <c r="AH44" s="56"/>
      <c r="AI44" s="56"/>
      <c r="AJ44" s="56"/>
      <c r="AK44" s="56"/>
      <c r="AL44" s="45"/>
      <c r="AM44" s="45"/>
      <c r="AN44" s="45"/>
      <c r="AO44" s="45"/>
    </row>
    <row r="45" spans="1:41" ht="15" customHeight="1">
      <c r="A45"/>
      <c r="B45" t="s">
        <v>462</v>
      </c>
      <c r="C45" s="45">
        <v>15</v>
      </c>
      <c r="D45" s="45">
        <v>88.70960000000001</v>
      </c>
      <c r="E45" s="45">
        <v>12</v>
      </c>
      <c r="F45" s="45">
        <v>-1.22</v>
      </c>
      <c r="G45" s="45">
        <v>5.3198442459106445</v>
      </c>
      <c r="H45" s="45"/>
      <c r="I45" s="45">
        <v>0.4</v>
      </c>
      <c r="J45" s="45">
        <v>0.27799999713897705</v>
      </c>
      <c r="K45" s="45">
        <v>95.473707</v>
      </c>
      <c r="L45" s="45">
        <v>0.007574683297045529</v>
      </c>
      <c r="M45" s="45">
        <v>0.02724706195294857</v>
      </c>
      <c r="N45" s="45">
        <v>12.000002560581652</v>
      </c>
      <c r="O45" s="45">
        <v>-12.845074653625488</v>
      </c>
      <c r="P45" s="45">
        <v>5.3198442459106445</v>
      </c>
      <c r="Q45" s="45">
        <v>4.474771976470947</v>
      </c>
      <c r="R45" s="45">
        <v>4.439499513282343</v>
      </c>
      <c r="S45" s="45">
        <v>31.864438925283338</v>
      </c>
      <c r="T45" s="45">
        <v>0.2399047464132309</v>
      </c>
      <c r="U45" s="45">
        <v>3.7585694789886475</v>
      </c>
      <c r="V45" s="45">
        <v>35.8520344167835</v>
      </c>
      <c r="W45" s="45">
        <v>12.000002560581652</v>
      </c>
      <c r="X45" s="44">
        <v>2.9876688972177785</v>
      </c>
      <c r="Y45" s="56">
        <v>5.753111839294434</v>
      </c>
      <c r="Z45" s="56">
        <v>0</v>
      </c>
      <c r="AA45" s="56">
        <v>0</v>
      </c>
      <c r="AB45" s="56">
        <v>49.130374908447266</v>
      </c>
      <c r="AC45" s="56">
        <v>4.474771976470947</v>
      </c>
      <c r="AD45" s="44">
        <v>10.979413986206055</v>
      </c>
      <c r="AE45" s="56"/>
      <c r="AF45" s="56"/>
      <c r="AG45" s="56"/>
      <c r="AH45" s="56"/>
      <c r="AI45" s="56"/>
      <c r="AJ45" s="56"/>
      <c r="AK45" s="56"/>
      <c r="AL45" s="45"/>
      <c r="AM45" s="45"/>
      <c r="AN45" s="45"/>
      <c r="AO45" s="45"/>
    </row>
    <row r="46" spans="1:41" ht="15" customHeight="1">
      <c r="A46"/>
      <c r="B46" t="s">
        <v>460</v>
      </c>
      <c r="C46" s="45">
        <v>15</v>
      </c>
      <c r="D46" s="45">
        <v>156.1069500298898</v>
      </c>
      <c r="E46" s="45">
        <v>13</v>
      </c>
      <c r="F46" s="45">
        <v>-0.73</v>
      </c>
      <c r="G46" s="45">
        <v>2.7594830989837646</v>
      </c>
      <c r="H46" s="45"/>
      <c r="I46" s="45">
        <v>0.4</v>
      </c>
      <c r="J46" s="45">
        <v>0.27799999713897705</v>
      </c>
      <c r="K46" s="45">
        <v>168.0101049696689</v>
      </c>
      <c r="L46" s="45">
        <v>0.013329568693175567</v>
      </c>
      <c r="M46" s="45">
        <v>0.04794808849692345</v>
      </c>
      <c r="N46" s="45">
        <v>12.996702773259301</v>
      </c>
      <c r="O46" s="45">
        <v>-7.706834316253662</v>
      </c>
      <c r="P46" s="45">
        <v>2.7594830989837646</v>
      </c>
      <c r="Q46" s="45">
        <v>8.049351692199707</v>
      </c>
      <c r="R46" s="45">
        <v>4.538082446359998</v>
      </c>
      <c r="S46" s="45">
        <v>56.07352952825494</v>
      </c>
      <c r="T46" s="45">
        <v>0.42217302322387695</v>
      </c>
      <c r="U46" s="45">
        <v>6.614152431488037</v>
      </c>
      <c r="V46" s="45">
        <v>63.09071108275424</v>
      </c>
      <c r="W46" s="45">
        <v>12.996702773259301</v>
      </c>
      <c r="X46" s="44">
        <v>4.85436284751878</v>
      </c>
      <c r="Y46" s="56">
        <v>10.124053001403809</v>
      </c>
      <c r="Z46" s="56">
        <v>0</v>
      </c>
      <c r="AA46" s="56">
        <v>0</v>
      </c>
      <c r="AB46" s="56">
        <v>78.16211700439453</v>
      </c>
      <c r="AC46" s="56">
        <v>8.049351692199707</v>
      </c>
      <c r="AD46" s="44">
        <v>9.71036148071289</v>
      </c>
      <c r="AE46" s="56"/>
      <c r="AF46" s="56"/>
      <c r="AG46" s="56"/>
      <c r="AH46" s="56"/>
      <c r="AI46" s="56"/>
      <c r="AJ46" s="56"/>
      <c r="AK46" s="56"/>
      <c r="AL46" s="45"/>
      <c r="AM46" s="45"/>
      <c r="AN46" s="45"/>
      <c r="AO46" s="45"/>
    </row>
    <row r="47" spans="1:41" ht="15" customHeight="1">
      <c r="A47"/>
      <c r="B47" t="s">
        <v>456</v>
      </c>
      <c r="C47" s="45">
        <v>15</v>
      </c>
      <c r="D47" s="45">
        <v>112.44485289509305</v>
      </c>
      <c r="E47" s="45">
        <v>10</v>
      </c>
      <c r="F47" s="45">
        <v>-0.49</v>
      </c>
      <c r="G47" s="45">
        <v>2.2919840812683105</v>
      </c>
      <c r="H47" s="45"/>
      <c r="I47" s="45">
        <v>0.4</v>
      </c>
      <c r="J47" s="45">
        <v>0.27799999713897705</v>
      </c>
      <c r="K47" s="45">
        <v>121.01877292834389</v>
      </c>
      <c r="L47" s="45">
        <v>0.009601375150639873</v>
      </c>
      <c r="M47" s="45">
        <v>0.03453732281923294</v>
      </c>
      <c r="N47" s="45">
        <v>10.000002133818045</v>
      </c>
      <c r="O47" s="45">
        <v>-5.138240337371826</v>
      </c>
      <c r="P47" s="45">
        <v>2.2919840812683105</v>
      </c>
      <c r="Q47" s="45">
        <v>7.153746128082275</v>
      </c>
      <c r="R47" s="45">
        <v>5.599221725172228</v>
      </c>
      <c r="S47" s="45">
        <v>40.390128549087855</v>
      </c>
      <c r="T47" s="45">
        <v>0.30409395694732666</v>
      </c>
      <c r="U47" s="45">
        <v>4.764217376708984</v>
      </c>
      <c r="V47" s="45">
        <v>45.44465042819576</v>
      </c>
      <c r="W47" s="45">
        <v>10.000002133818045</v>
      </c>
      <c r="X47" s="44">
        <v>4.544464073113631</v>
      </c>
      <c r="Y47" s="56">
        <v>7.292421340942383</v>
      </c>
      <c r="Z47" s="56">
        <v>0</v>
      </c>
      <c r="AA47" s="56">
        <v>0</v>
      </c>
      <c r="AB47" s="56">
        <v>55.58332824707031</v>
      </c>
      <c r="AC47" s="56">
        <v>7.153746128082275</v>
      </c>
      <c r="AD47" s="44">
        <v>7.7698211669921875</v>
      </c>
      <c r="AE47" s="56"/>
      <c r="AF47" s="56"/>
      <c r="AG47" s="56"/>
      <c r="AH47" s="56"/>
      <c r="AI47" s="56"/>
      <c r="AJ47" s="56"/>
      <c r="AK47" s="56"/>
      <c r="AL47" s="45"/>
      <c r="AM47" s="45"/>
      <c r="AN47" s="45"/>
      <c r="AO47" s="45"/>
    </row>
    <row r="48" spans="1:41" ht="15" customHeight="1">
      <c r="A48"/>
      <c r="B48" t="s">
        <v>459</v>
      </c>
      <c r="C48" s="45">
        <v>15</v>
      </c>
      <c r="D48" s="45">
        <v>148.33150807437804</v>
      </c>
      <c r="E48" s="45">
        <v>15</v>
      </c>
      <c r="F48" s="45">
        <v>-0.97</v>
      </c>
      <c r="G48" s="45">
        <v>5.3198442459106445</v>
      </c>
      <c r="H48" s="45"/>
      <c r="I48" s="45">
        <v>0.4</v>
      </c>
      <c r="J48" s="45">
        <v>0.27799999713897705</v>
      </c>
      <c r="K48" s="45">
        <v>159.64178556504933</v>
      </c>
      <c r="L48" s="45">
        <v>0.0126656438157377</v>
      </c>
      <c r="M48" s="45">
        <v>0.045559871941804886</v>
      </c>
      <c r="N48" s="45">
        <v>15.000003200727066</v>
      </c>
      <c r="O48" s="45">
        <v>-10.275425910949707</v>
      </c>
      <c r="P48" s="45">
        <v>5.3198442459106445</v>
      </c>
      <c r="Q48" s="45">
        <v>10.044421195983887</v>
      </c>
      <c r="R48" s="45">
        <v>5.959711204475213</v>
      </c>
      <c r="S48" s="45">
        <v>53.28059510730735</v>
      </c>
      <c r="T48" s="45">
        <v>0.40114524960517883</v>
      </c>
      <c r="U48" s="45">
        <v>6.284711837768555</v>
      </c>
      <c r="V48" s="45">
        <v>59.94826182058086</v>
      </c>
      <c r="W48" s="45">
        <v>15.000003200727066</v>
      </c>
      <c r="X48" s="44">
        <v>3.996549935247687</v>
      </c>
      <c r="Y48" s="56">
        <v>9.61978816986084</v>
      </c>
      <c r="Z48" s="56">
        <v>0</v>
      </c>
      <c r="AA48" s="56">
        <v>0</v>
      </c>
      <c r="AB48" s="56">
        <v>74.52363586425781</v>
      </c>
      <c r="AC48" s="56">
        <v>10.044421195983887</v>
      </c>
      <c r="AD48" s="44">
        <v>7.419405937194824</v>
      </c>
      <c r="AE48" s="56"/>
      <c r="AF48" s="56"/>
      <c r="AG48" s="56"/>
      <c r="AH48" s="56"/>
      <c r="AI48" s="56"/>
      <c r="AJ48" s="56"/>
      <c r="AK48" s="56"/>
      <c r="AL48" s="45"/>
      <c r="AM48" s="45"/>
      <c r="AN48" s="45"/>
      <c r="AO48" s="45"/>
    </row>
    <row r="49" spans="1:41" ht="15" customHeight="1">
      <c r="A49"/>
      <c r="B49" t="s">
        <v>464</v>
      </c>
      <c r="C49" s="45">
        <v>15</v>
      </c>
      <c r="D49" s="45">
        <v>138.06959718743238</v>
      </c>
      <c r="E49" s="45">
        <v>15.1</v>
      </c>
      <c r="F49" s="45">
        <v>-0.73</v>
      </c>
      <c r="G49" s="45">
        <v>2.6343514919281006</v>
      </c>
      <c r="H49" s="45"/>
      <c r="I49" s="45">
        <v>0.4</v>
      </c>
      <c r="J49" s="45">
        <v>0.27799999713897705</v>
      </c>
      <c r="K49" s="45">
        <v>148.5974039729741</v>
      </c>
      <c r="L49" s="45">
        <v>0.01178940578748465</v>
      </c>
      <c r="M49" s="45">
        <v>0.04240793362259865</v>
      </c>
      <c r="N49" s="45">
        <v>15.10260322262004</v>
      </c>
      <c r="O49" s="45">
        <v>-7.662492752075195</v>
      </c>
      <c r="P49" s="45">
        <v>2.6343514919281006</v>
      </c>
      <c r="Q49" s="45">
        <v>10.074461936950684</v>
      </c>
      <c r="R49" s="45">
        <v>6.421811092845887</v>
      </c>
      <c r="S49" s="45">
        <v>49.594522430688585</v>
      </c>
      <c r="T49" s="45">
        <v>0.37339308857917786</v>
      </c>
      <c r="U49" s="45">
        <v>5.849921226501465</v>
      </c>
      <c r="V49" s="45">
        <v>55.80090484394897</v>
      </c>
      <c r="W49" s="45">
        <v>15.10260322262004</v>
      </c>
      <c r="X49" s="44">
        <v>3.6947871847929328</v>
      </c>
      <c r="Y49" s="56">
        <v>8.95427131652832</v>
      </c>
      <c r="Z49" s="56">
        <v>0</v>
      </c>
      <c r="AA49" s="56">
        <v>0</v>
      </c>
      <c r="AB49" s="56">
        <v>69.78331756591797</v>
      </c>
      <c r="AC49" s="56">
        <v>10.074461936950684</v>
      </c>
      <c r="AD49" s="44">
        <v>6.926753997802734</v>
      </c>
      <c r="AE49" s="56"/>
      <c r="AF49" s="56"/>
      <c r="AG49" s="56"/>
      <c r="AH49" s="56"/>
      <c r="AI49" s="56"/>
      <c r="AJ49" s="56"/>
      <c r="AK49" s="56"/>
      <c r="AL49" s="45"/>
      <c r="AM49" s="45"/>
      <c r="AN49" s="45"/>
      <c r="AO49" s="45"/>
    </row>
    <row r="50" spans="1:41" ht="15" customHeight="1">
      <c r="A50"/>
      <c r="B50" t="s">
        <v>465</v>
      </c>
      <c r="C50" s="45">
        <v>15</v>
      </c>
      <c r="D50" s="45">
        <v>111.92412887283561</v>
      </c>
      <c r="E50" s="45">
        <v>17.14</v>
      </c>
      <c r="F50" s="45">
        <v>-1.22</v>
      </c>
      <c r="G50" s="45">
        <v>5.3198442459106445</v>
      </c>
      <c r="H50" s="45"/>
      <c r="I50" s="45">
        <v>0.4</v>
      </c>
      <c r="J50" s="45">
        <v>0.27799999713897705</v>
      </c>
      <c r="K50" s="45">
        <v>120.45834369938933</v>
      </c>
      <c r="L50" s="45">
        <v>0.009556911873229493</v>
      </c>
      <c r="M50" s="45">
        <v>0.03437738120555878</v>
      </c>
      <c r="N50" s="45">
        <v>17.139703657300114</v>
      </c>
      <c r="O50" s="45">
        <v>-12.845074653625488</v>
      </c>
      <c r="P50" s="45">
        <v>5.3198442459106445</v>
      </c>
      <c r="Q50" s="45">
        <v>9.614473342895508</v>
      </c>
      <c r="R50" s="45">
        <v>7.5602388144715365</v>
      </c>
      <c r="S50" s="45">
        <v>40.20308477023918</v>
      </c>
      <c r="T50" s="45">
        <v>0.3026857376098633</v>
      </c>
      <c r="U50" s="45">
        <v>4.742154121398926</v>
      </c>
      <c r="V50" s="45">
        <v>45.23419901477664</v>
      </c>
      <c r="W50" s="45">
        <v>17.139703657300114</v>
      </c>
      <c r="X50" s="44">
        <v>2.6391470890752866</v>
      </c>
      <c r="Y50" s="56">
        <v>7.258649826049805</v>
      </c>
      <c r="Z50" s="56">
        <v>0</v>
      </c>
      <c r="AA50" s="56">
        <v>0</v>
      </c>
      <c r="AB50" s="56">
        <v>60.0180778503418</v>
      </c>
      <c r="AC50" s="56">
        <v>9.614473342895508</v>
      </c>
      <c r="AD50" s="44">
        <v>6.242471694946289</v>
      </c>
      <c r="AE50" s="56"/>
      <c r="AF50" s="56"/>
      <c r="AG50" s="56"/>
      <c r="AH50" s="56"/>
      <c r="AI50" s="56"/>
      <c r="AJ50" s="56"/>
      <c r="AK50" s="56"/>
      <c r="AL50" s="45"/>
      <c r="AM50" s="45"/>
      <c r="AN50" s="45"/>
      <c r="AO50" s="45"/>
    </row>
    <row r="51" spans="1:41" ht="15" customHeight="1">
      <c r="A51"/>
      <c r="B51" t="s">
        <v>458</v>
      </c>
      <c r="C51" s="45">
        <v>15</v>
      </c>
      <c r="D51" s="45">
        <v>204.55393452192456</v>
      </c>
      <c r="E51" s="45">
        <v>29</v>
      </c>
      <c r="F51" s="45">
        <v>-0.73</v>
      </c>
      <c r="G51" s="45">
        <v>2.7594830989837646</v>
      </c>
      <c r="H51" s="45"/>
      <c r="I51" s="45">
        <v>0.4</v>
      </c>
      <c r="J51" s="45">
        <v>0.27799999713897705</v>
      </c>
      <c r="K51" s="45">
        <v>220.1511720292213</v>
      </c>
      <c r="L51" s="45">
        <v>0.01746633139105764</v>
      </c>
      <c r="M51" s="45">
        <v>0.06282853335142136</v>
      </c>
      <c r="N51" s="45">
        <v>29.000006188072327</v>
      </c>
      <c r="O51" s="45">
        <v>-7.706834316253662</v>
      </c>
      <c r="P51" s="45">
        <v>2.7594830989837646</v>
      </c>
      <c r="Q51" s="45">
        <v>24.052654266357422</v>
      </c>
      <c r="R51" s="45">
        <v>10.348773846332</v>
      </c>
      <c r="S51" s="45">
        <v>73.4756593818514</v>
      </c>
      <c r="T51" s="45">
        <v>0.5531921982765198</v>
      </c>
      <c r="U51" s="45">
        <v>8.666820526123047</v>
      </c>
      <c r="V51" s="45">
        <v>82.67058703467886</v>
      </c>
      <c r="W51" s="45">
        <v>29.000006188072327</v>
      </c>
      <c r="X51" s="44">
        <v>2.850709289458055</v>
      </c>
      <c r="Y51" s="56">
        <v>13.265999794006348</v>
      </c>
      <c r="Z51" s="56">
        <v>0</v>
      </c>
      <c r="AA51" s="56">
        <v>0</v>
      </c>
      <c r="AB51" s="56">
        <v>100.88394165039062</v>
      </c>
      <c r="AC51" s="56">
        <v>24.052654266357422</v>
      </c>
      <c r="AD51" s="44">
        <v>4.194295406341553</v>
      </c>
      <c r="AE51" s="56"/>
      <c r="AF51" s="56"/>
      <c r="AG51" s="56"/>
      <c r="AH51" s="56"/>
      <c r="AI51" s="56"/>
      <c r="AJ51" s="56"/>
      <c r="AK51" s="56"/>
      <c r="AL51" s="45"/>
      <c r="AM51" s="45"/>
      <c r="AN51" s="45"/>
      <c r="AO51" s="45"/>
    </row>
    <row r="52" spans="1:41" ht="15" customHeight="1">
      <c r="A52"/>
      <c r="B52" t="s">
        <v>461</v>
      </c>
      <c r="C52" s="45">
        <v>15</v>
      </c>
      <c r="D52" s="45">
        <v>81.55560000000001</v>
      </c>
      <c r="E52" s="45">
        <v>25</v>
      </c>
      <c r="F52" s="45">
        <v>-1.22</v>
      </c>
      <c r="G52" s="45">
        <v>5.3198442459106445</v>
      </c>
      <c r="H52" s="45"/>
      <c r="I52" s="45">
        <v>0.4</v>
      </c>
      <c r="J52" s="45">
        <v>0.27799999713897705</v>
      </c>
      <c r="K52" s="45">
        <v>87.77421450000001</v>
      </c>
      <c r="L52" s="45">
        <v>0.006963821740832181</v>
      </c>
      <c r="M52" s="45">
        <v>0.025049718096852303</v>
      </c>
      <c r="N52" s="45">
        <v>25.00000533454511</v>
      </c>
      <c r="O52" s="45">
        <v>-12.845074653625488</v>
      </c>
      <c r="P52" s="45">
        <v>5.3198442459106445</v>
      </c>
      <c r="Q52" s="45">
        <v>17.474775314331055</v>
      </c>
      <c r="R52" s="45">
        <v>18.857822326050403</v>
      </c>
      <c r="S52" s="45">
        <v>29.294726108728263</v>
      </c>
      <c r="T52" s="45">
        <v>0.22055760025978088</v>
      </c>
      <c r="U52" s="45">
        <v>3.4554591178894043</v>
      </c>
      <c r="V52" s="45">
        <v>32.96074139941051</v>
      </c>
      <c r="W52" s="45">
        <v>25.00000533454511</v>
      </c>
      <c r="X52" s="44">
        <v>1.3184293746475813</v>
      </c>
      <c r="Y52" s="56">
        <v>5.289151191711426</v>
      </c>
      <c r="Z52" s="56">
        <v>0</v>
      </c>
      <c r="AA52" s="56">
        <v>0</v>
      </c>
      <c r="AB52" s="56">
        <v>45.775123596191406</v>
      </c>
      <c r="AC52" s="56">
        <v>17.474775314331055</v>
      </c>
      <c r="AD52" s="44">
        <v>2.619497060775757</v>
      </c>
      <c r="AE52" s="56"/>
      <c r="AF52" s="56"/>
      <c r="AG52" s="56"/>
      <c r="AH52" s="56"/>
      <c r="AI52" s="56"/>
      <c r="AJ52" s="56"/>
      <c r="AK52" s="56"/>
      <c r="AL52" s="45"/>
      <c r="AM52" s="45"/>
      <c r="AN52" s="45"/>
      <c r="AO52" s="45"/>
    </row>
    <row r="53" spans="1:41" ht="15" customHeight="1">
      <c r="A53"/>
      <c r="B53" t="s">
        <v>457</v>
      </c>
      <c r="C53" s="45">
        <v>15</v>
      </c>
      <c r="D53" s="45">
        <v>98.68830174303378</v>
      </c>
      <c r="E53" s="45">
        <v>30.01</v>
      </c>
      <c r="F53" s="45">
        <v>-0.73</v>
      </c>
      <c r="G53" s="45">
        <v>2.7594830989837646</v>
      </c>
      <c r="H53" s="45"/>
      <c r="I53" s="45">
        <v>0.4</v>
      </c>
      <c r="J53" s="45">
        <v>0.27799999713897705</v>
      </c>
      <c r="K53" s="45">
        <v>106.21328475094009</v>
      </c>
      <c r="L53" s="45">
        <v>0.008426738829019034</v>
      </c>
      <c r="M53" s="45">
        <v>0.030312011018395424</v>
      </c>
      <c r="N53" s="45">
        <v>30.010006403587955</v>
      </c>
      <c r="O53" s="45">
        <v>-7.706834316253662</v>
      </c>
      <c r="P53" s="45">
        <v>2.7594830989837646</v>
      </c>
      <c r="Q53" s="45">
        <v>25.062654495239258</v>
      </c>
      <c r="R53" s="45">
        <v>22.3509049952491</v>
      </c>
      <c r="S53" s="45">
        <v>35.44878303510371</v>
      </c>
      <c r="T53" s="45">
        <v>0.2668909728527069</v>
      </c>
      <c r="U53" s="45">
        <v>4.181360721588135</v>
      </c>
      <c r="V53" s="45">
        <v>39.88493228273345</v>
      </c>
      <c r="W53" s="45">
        <v>30.010006403587955</v>
      </c>
      <c r="X53" s="44">
        <v>1.3290544409202414</v>
      </c>
      <c r="Y53" s="56">
        <v>6.40026330947876</v>
      </c>
      <c r="Z53" s="56">
        <v>0</v>
      </c>
      <c r="AA53" s="56">
        <v>0</v>
      </c>
      <c r="AB53" s="56">
        <v>51.232547760009766</v>
      </c>
      <c r="AC53" s="56">
        <v>25.062654495239258</v>
      </c>
      <c r="AD53" s="44">
        <v>2.0441787242889404</v>
      </c>
      <c r="AE53" s="56"/>
      <c r="AF53" s="56"/>
      <c r="AG53" s="56"/>
      <c r="AH53" s="56"/>
      <c r="AI53" s="56"/>
      <c r="AJ53" s="56"/>
      <c r="AK53" s="56"/>
      <c r="AL53" s="45"/>
      <c r="AM53" s="45"/>
      <c r="AN53" s="45"/>
      <c r="AO53" s="45"/>
    </row>
    <row r="54" spans="1:41" ht="15" customHeight="1">
      <c r="A54"/>
      <c r="B54" t="s">
        <v>468</v>
      </c>
      <c r="C54" s="45">
        <v>15</v>
      </c>
      <c r="D54" s="45">
        <v>103.17413364044441</v>
      </c>
      <c r="E54" s="45">
        <v>35</v>
      </c>
      <c r="F54" s="45">
        <v>-0.73</v>
      </c>
      <c r="G54" s="45">
        <v>2.7594830989837646</v>
      </c>
      <c r="H54" s="45"/>
      <c r="I54" s="45">
        <v>0.4</v>
      </c>
      <c r="J54" s="45">
        <v>0.27799999713897705</v>
      </c>
      <c r="K54" s="45">
        <v>111.0411613305283</v>
      </c>
      <c r="L54" s="45">
        <v>0.008809772412156264</v>
      </c>
      <c r="M54" s="45">
        <v>0.031689830124378204</v>
      </c>
      <c r="N54" s="45">
        <v>35.00000746836316</v>
      </c>
      <c r="O54" s="45">
        <v>-7.706834316253662</v>
      </c>
      <c r="P54" s="45">
        <v>2.7594830989837646</v>
      </c>
      <c r="Q54" s="45">
        <v>30.052656173706055</v>
      </c>
      <c r="R54" s="45">
        <v>25.635734050189022</v>
      </c>
      <c r="S54" s="45">
        <v>37.06009135488117</v>
      </c>
      <c r="T54" s="45">
        <v>0.2790223956108093</v>
      </c>
      <c r="U54" s="45">
        <v>4.37142276763916</v>
      </c>
      <c r="V54" s="45">
        <v>41.697883945200196</v>
      </c>
      <c r="W54" s="45">
        <v>35.00000746836316</v>
      </c>
      <c r="X54" s="44">
        <v>1.1913678585037821</v>
      </c>
      <c r="Y54" s="56">
        <v>6.6911845207214355</v>
      </c>
      <c r="Z54" s="56">
        <v>0</v>
      </c>
      <c r="AA54" s="56">
        <v>0</v>
      </c>
      <c r="AB54" s="56">
        <v>53.33641815185547</v>
      </c>
      <c r="AC54" s="56">
        <v>30.052656173706055</v>
      </c>
      <c r="AD54" s="44">
        <v>1.7747654914855957</v>
      </c>
      <c r="AE54" s="56"/>
      <c r="AF54" s="56"/>
      <c r="AG54" s="56"/>
      <c r="AH54" s="56"/>
      <c r="AI54" s="56"/>
      <c r="AJ54" s="56"/>
      <c r="AK54" s="56"/>
      <c r="AL54" s="45"/>
      <c r="AM54" s="45"/>
      <c r="AN54" s="45"/>
      <c r="AO54" s="45"/>
    </row>
    <row r="55" spans="1:41" ht="15" customHeight="1">
      <c r="A55"/>
      <c r="B55" t="s">
        <v>455</v>
      </c>
      <c r="C55" s="45">
        <v>15</v>
      </c>
      <c r="D55" s="45">
        <v>23.924436786190007</v>
      </c>
      <c r="E55" s="45">
        <v>25</v>
      </c>
      <c r="F55" s="45">
        <v>-0.49</v>
      </c>
      <c r="G55" s="45">
        <v>2.2919840812683105</v>
      </c>
      <c r="H55" s="45"/>
      <c r="I55" s="45">
        <v>0.4</v>
      </c>
      <c r="J55" s="45">
        <v>0.27799999713897705</v>
      </c>
      <c r="K55" s="45">
        <v>25.748675091136995</v>
      </c>
      <c r="L55" s="45">
        <v>0.0020428457767318877</v>
      </c>
      <c r="M55" s="45">
        <v>0.00734836608171463</v>
      </c>
      <c r="N55" s="45">
        <v>25.00000533454511</v>
      </c>
      <c r="O55" s="45">
        <v>-5.138240337371826</v>
      </c>
      <c r="P55" s="45">
        <v>2.2919840812683105</v>
      </c>
      <c r="Q55" s="45">
        <v>22.153749465942383</v>
      </c>
      <c r="R55" s="45">
        <v>81.49655527910258</v>
      </c>
      <c r="S55" s="45">
        <v>8.593644372146349</v>
      </c>
      <c r="T55" s="45">
        <v>0.06470084190368652</v>
      </c>
      <c r="U55" s="45">
        <v>1.0136632919311523</v>
      </c>
      <c r="V55" s="45">
        <v>9.669074579481526</v>
      </c>
      <c r="W55" s="45">
        <v>25.00000533454511</v>
      </c>
      <c r="X55" s="65">
        <v>0.3867629006510954</v>
      </c>
      <c r="Y55" s="56">
        <v>1.551579236984253</v>
      </c>
      <c r="Z55" s="56">
        <v>0</v>
      </c>
      <c r="AA55" s="56">
        <v>0</v>
      </c>
      <c r="AB55" s="56">
        <v>14.066909790039062</v>
      </c>
      <c r="AC55" s="56">
        <v>22.153749465942383</v>
      </c>
      <c r="AD55" s="65">
        <v>0.6349674463272095</v>
      </c>
      <c r="AE55" s="56"/>
      <c r="AF55" s="56"/>
      <c r="AG55" s="56"/>
      <c r="AH55" s="56"/>
      <c r="AI55" s="56"/>
      <c r="AJ55" s="56"/>
      <c r="AK55" s="56"/>
      <c r="AL55" s="45"/>
      <c r="AM55" s="45"/>
      <c r="AN55" s="45"/>
      <c r="AO55" s="45"/>
    </row>
    <row r="56" spans="1:41" ht="15" customHeight="1">
      <c r="A56"/>
      <c r="B56"/>
      <c r="C56" s="45"/>
      <c r="D56" s="45"/>
      <c r="E56" s="45"/>
      <c r="F56" s="45"/>
      <c r="G56" s="45"/>
      <c r="H56" s="45"/>
      <c r="I56" s="45"/>
      <c r="J56" s="45"/>
      <c r="K56" s="45"/>
      <c r="L56" s="45"/>
      <c r="M56" s="45"/>
      <c r="N56" s="45"/>
      <c r="O56" s="45"/>
      <c r="P56" s="45"/>
      <c r="Q56" s="45"/>
      <c r="R56" s="45"/>
      <c r="S56" s="45"/>
      <c r="T56" s="45"/>
      <c r="U56" s="45"/>
      <c r="V56" s="45"/>
      <c r="W56" s="45"/>
      <c r="X56" s="56"/>
      <c r="Y56" s="56"/>
      <c r="Z56" s="56"/>
      <c r="AA56" s="56"/>
      <c r="AB56" s="56"/>
      <c r="AC56" s="56"/>
      <c r="AD56" s="56"/>
      <c r="AE56" s="56"/>
      <c r="AF56" s="56"/>
      <c r="AG56" s="56"/>
      <c r="AH56" s="56"/>
      <c r="AI56" s="56"/>
      <c r="AJ56" s="56"/>
      <c r="AK56" s="56"/>
      <c r="AL56" s="45"/>
      <c r="AM56" s="45"/>
      <c r="AN56" s="45"/>
      <c r="AO56" s="45"/>
    </row>
    <row r="57" spans="1:41" ht="15" customHeight="1" thickBot="1">
      <c r="A57"/>
      <c r="B57"/>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row>
    <row r="58" spans="1:41" ht="15" customHeight="1" thickBot="1">
      <c r="A58" s="61" t="s">
        <v>62</v>
      </c>
      <c r="B58" s="62"/>
      <c r="C58" s="63"/>
      <c r="D58" s="63"/>
      <c r="E58" s="63"/>
      <c r="F58" s="63"/>
      <c r="G58" s="63"/>
      <c r="H58" s="63"/>
      <c r="I58" s="63"/>
      <c r="J58" s="63"/>
      <c r="K58" s="64"/>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row>
    <row r="59" spans="1:41" ht="25.5">
      <c r="A59" s="53"/>
      <c r="B59" s="54" t="s">
        <v>63</v>
      </c>
      <c r="C59" s="55" t="s">
        <v>59</v>
      </c>
      <c r="D59" s="55" t="s">
        <v>60</v>
      </c>
      <c r="E59" s="55" t="s">
        <v>64</v>
      </c>
      <c r="F59" s="55" t="s">
        <v>65</v>
      </c>
      <c r="G59" s="55" t="s">
        <v>66</v>
      </c>
      <c r="H59" s="55" t="s">
        <v>67</v>
      </c>
      <c r="I59" s="55" t="s">
        <v>61</v>
      </c>
      <c r="J59" s="55" t="s">
        <v>50</v>
      </c>
      <c r="K59" s="55" t="s">
        <v>58</v>
      </c>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row>
    <row r="60" spans="1:41" ht="15" customHeight="1">
      <c r="A60"/>
      <c r="B60" t="s">
        <v>68</v>
      </c>
      <c r="C60" s="45">
        <v>1641.688353164453</v>
      </c>
      <c r="D60" s="45">
        <v>155.84843608830778</v>
      </c>
      <c r="E60" s="45">
        <v>227.75</v>
      </c>
      <c r="F60" s="45">
        <v>45.549060000000004</v>
      </c>
      <c r="G60" s="45">
        <v>201.39749608830778</v>
      </c>
      <c r="H60" s="45">
        <v>1074.6510009765625</v>
      </c>
      <c r="I60" s="45">
        <v>11.620109981721027</v>
      </c>
      <c r="J60" s="45">
        <v>547.9150219207236</v>
      </c>
      <c r="K60" s="44">
        <v>2.720565213385158</v>
      </c>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row>
    <row r="61" spans="1:41" ht="15" customHeight="1">
      <c r="A61"/>
      <c r="B61" t="s">
        <v>69</v>
      </c>
      <c r="C61" s="45">
        <v>0</v>
      </c>
      <c r="D61" s="45">
        <v>0</v>
      </c>
      <c r="E61" s="45">
        <v>0</v>
      </c>
      <c r="F61" s="45">
        <v>0</v>
      </c>
      <c r="G61" s="45">
        <v>0</v>
      </c>
      <c r="H61" s="45">
        <v>0</v>
      </c>
      <c r="I61" s="45">
        <v>0</v>
      </c>
      <c r="J61" s="45">
        <v>556.50866629287</v>
      </c>
      <c r="K61" s="65">
        <v>0</v>
      </c>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row>
    <row r="62" spans="1:41" ht="15" customHeight="1">
      <c r="A62"/>
      <c r="B62" t="s">
        <v>70</v>
      </c>
      <c r="C62" s="45">
        <v>1616.914986888987</v>
      </c>
      <c r="D62" s="45">
        <v>159.64881896972656</v>
      </c>
      <c r="E62" s="45">
        <v>232.0934961628534</v>
      </c>
      <c r="F62" s="45">
        <v>46.41869923257068</v>
      </c>
      <c r="G62" s="45">
        <v>206.06751820229724</v>
      </c>
      <c r="H62" s="45">
        <v>1116.4169921875</v>
      </c>
      <c r="I62" s="45">
        <v>12.07172248900994</v>
      </c>
      <c r="J62" s="45">
        <v>539.6468877771707</v>
      </c>
      <c r="K62" s="44">
        <v>2.6187867572966903</v>
      </c>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row>
    <row r="63" spans="1:41" ht="15" customHeight="1">
      <c r="A63"/>
      <c r="B63" t="s">
        <v>71</v>
      </c>
      <c r="C63" s="45">
        <v>996.0501768543743</v>
      </c>
      <c r="D63" s="45">
        <v>49.59122127378939</v>
      </c>
      <c r="E63" s="45">
        <v>91.6</v>
      </c>
      <c r="F63" s="45">
        <v>18.31912</v>
      </c>
      <c r="G63" s="45">
        <v>67.91034127378938</v>
      </c>
      <c r="H63" s="45">
        <v>597.253662109375</v>
      </c>
      <c r="I63" s="45">
        <v>6.458052703590316</v>
      </c>
      <c r="J63" s="45">
        <v>332.4326772699199</v>
      </c>
      <c r="K63" s="44">
        <v>4.895170176360538</v>
      </c>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row>
    <row r="64" spans="1:41" ht="15" customHeight="1">
      <c r="A64"/>
      <c r="B64" t="s">
        <v>72</v>
      </c>
      <c r="C64" s="45">
        <v>340.60951572861063</v>
      </c>
      <c r="D64" s="45">
        <v>33.66712831732585</v>
      </c>
      <c r="E64" s="45">
        <v>46.14</v>
      </c>
      <c r="F64" s="45">
        <v>9.22794</v>
      </c>
      <c r="G64" s="45">
        <v>42.89506831732585</v>
      </c>
      <c r="H64" s="45">
        <v>1103.201171875</v>
      </c>
      <c r="I64" s="45">
        <v>11.928819740835438</v>
      </c>
      <c r="J64" s="45">
        <v>113.67874415209059</v>
      </c>
      <c r="K64" s="113">
        <v>2.6501588320393075</v>
      </c>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row>
    <row r="65" spans="1:41" ht="15" customHeight="1">
      <c r="A65"/>
      <c r="B65" t="s">
        <v>73</v>
      </c>
      <c r="C65" s="45">
        <v>193.98749925094012</v>
      </c>
      <c r="D65" s="45">
        <v>42.53743021008648</v>
      </c>
      <c r="E65" s="45">
        <v>55.01</v>
      </c>
      <c r="F65" s="45">
        <v>11.002</v>
      </c>
      <c r="G65" s="45">
        <v>53.53943021008648</v>
      </c>
      <c r="H65" s="45">
        <v>2417.70947265625</v>
      </c>
      <c r="I65" s="45">
        <v>26.142486315806757</v>
      </c>
      <c r="J65" s="45">
        <v>64.74350914383197</v>
      </c>
      <c r="K65" s="113">
        <v>1.20926780299643</v>
      </c>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row>
    <row r="66" spans="1:41" ht="15" customHeight="1">
      <c r="A66"/>
      <c r="B66" t="s">
        <v>74</v>
      </c>
      <c r="C66" s="45">
        <v>111.0411613305283</v>
      </c>
      <c r="D66" s="45">
        <v>30.052656287106068</v>
      </c>
      <c r="E66" s="45">
        <v>35</v>
      </c>
      <c r="F66" s="45">
        <v>7</v>
      </c>
      <c r="G66" s="45">
        <v>37.05265628710607</v>
      </c>
      <c r="H66" s="45">
        <v>2923.071533203125</v>
      </c>
      <c r="I66" s="45">
        <v>31.606924676726884</v>
      </c>
      <c r="J66" s="45">
        <v>37.06009135488117</v>
      </c>
      <c r="K66" s="113">
        <v>1.0002006622067119</v>
      </c>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row>
    <row r="67" spans="1:41" ht="15" customHeight="1">
      <c r="A67"/>
      <c r="B67" t="s">
        <v>75</v>
      </c>
      <c r="C67" s="45">
        <v>0</v>
      </c>
      <c r="D67" s="45">
        <v>0</v>
      </c>
      <c r="E67" s="45">
        <v>0</v>
      </c>
      <c r="F67" s="45">
        <v>0</v>
      </c>
      <c r="G67" s="45">
        <v>0</v>
      </c>
      <c r="H67" s="45">
        <v>0</v>
      </c>
      <c r="I67" s="45">
        <v>0</v>
      </c>
      <c r="J67" s="45">
        <v>0</v>
      </c>
      <c r="K67" s="66">
        <v>0</v>
      </c>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row>
    <row r="68" spans="1:41" ht="15" customHeight="1">
      <c r="A68"/>
      <c r="B68" t="s">
        <v>76</v>
      </c>
      <c r="C68" s="45">
        <v>0</v>
      </c>
      <c r="D68" s="45">
        <v>0</v>
      </c>
      <c r="E68" s="45">
        <v>0</v>
      </c>
      <c r="F68" s="45">
        <v>0</v>
      </c>
      <c r="G68" s="45">
        <v>0</v>
      </c>
      <c r="H68" s="45">
        <v>0</v>
      </c>
      <c r="I68" s="45">
        <v>0</v>
      </c>
      <c r="J68" s="45">
        <v>0</v>
      </c>
      <c r="K68" s="66">
        <v>0</v>
      </c>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row>
    <row r="69" spans="1:41" ht="15" customHeight="1">
      <c r="A69"/>
      <c r="B69" t="s">
        <v>77</v>
      </c>
      <c r="C69" s="45">
        <v>25.748675091136995</v>
      </c>
      <c r="D69" s="45">
        <v>22.153749187364692</v>
      </c>
      <c r="E69" s="45">
        <v>25</v>
      </c>
      <c r="F69" s="45">
        <v>5</v>
      </c>
      <c r="G69" s="45">
        <v>27.153749187364692</v>
      </c>
      <c r="H69" s="45">
        <v>9238.0224609375</v>
      </c>
      <c r="I69" s="45">
        <v>99.88995188999394</v>
      </c>
      <c r="J69" s="45">
        <v>8.593644372146349</v>
      </c>
      <c r="K69" s="66">
        <v>0.316480951225151</v>
      </c>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row>
    <row r="70" spans="1:41" ht="15" customHeight="1">
      <c r="A70"/>
      <c r="B70"/>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row>
    <row r="71" spans="1:41" ht="15" customHeight="1">
      <c r="A71"/>
      <c r="B71"/>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row>
    <row r="72" spans="1:41" ht="15" customHeight="1">
      <c r="A72"/>
      <c r="B72"/>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row>
    <row r="73" spans="1:41" ht="15" customHeight="1">
      <c r="A73"/>
      <c r="B73"/>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row>
    <row r="74" spans="1:41" ht="15" customHeight="1">
      <c r="A74"/>
      <c r="B74"/>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row>
    <row r="75" spans="1:41" ht="15" customHeight="1">
      <c r="A75"/>
      <c r="B7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row>
    <row r="76" spans="1:41" ht="15" customHeight="1">
      <c r="A76"/>
      <c r="B76"/>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row>
    <row r="77" spans="1:41" ht="15" customHeight="1">
      <c r="A77"/>
      <c r="B77"/>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row>
    <row r="78" spans="1:41" ht="15" customHeight="1">
      <c r="A78"/>
      <c r="B78"/>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row>
    <row r="79" spans="1:41" ht="15" customHeight="1">
      <c r="A79"/>
      <c r="B79"/>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row>
    <row r="80" spans="1:41" ht="15" customHeight="1">
      <c r="A80"/>
      <c r="B80"/>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row>
    <row r="81" spans="1:41" ht="15" customHeight="1">
      <c r="A81"/>
      <c r="B81"/>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row>
    <row r="82" spans="1:41" ht="15" customHeight="1">
      <c r="A82"/>
      <c r="B82"/>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row>
    <row r="83" spans="1:41" ht="15" customHeight="1">
      <c r="A83"/>
      <c r="B83"/>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row>
    <row r="84" spans="1:41" ht="15" customHeight="1">
      <c r="A84"/>
      <c r="B84"/>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row>
    <row r="85" spans="1:41" ht="15" customHeight="1">
      <c r="A85"/>
      <c r="B8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row>
    <row r="86" spans="1:41" ht="15" customHeight="1">
      <c r="A86"/>
      <c r="B86"/>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row>
    <row r="87" spans="1:41" ht="15" customHeight="1">
      <c r="A87"/>
      <c r="B87"/>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row>
    <row r="88" spans="1:41" ht="15" customHeight="1">
      <c r="A88"/>
      <c r="B88"/>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row>
    <row r="89" spans="1:41" ht="15" customHeight="1">
      <c r="A89"/>
      <c r="B89"/>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row>
    <row r="90" spans="1:41" ht="15" customHeight="1">
      <c r="A90"/>
      <c r="B90"/>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row>
    <row r="91" spans="1:41" ht="15" customHeight="1">
      <c r="A91"/>
      <c r="B91"/>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row>
    <row r="92" spans="1:41" ht="15" customHeight="1">
      <c r="A92"/>
      <c r="B92"/>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row>
    <row r="93" spans="1:41" ht="15" customHeight="1">
      <c r="A93"/>
      <c r="B93"/>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row>
    <row r="94" spans="1:41" ht="15" customHeight="1">
      <c r="A94"/>
      <c r="B94"/>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row>
    <row r="95" spans="1:41" ht="15" customHeight="1">
      <c r="A95"/>
      <c r="B9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row>
    <row r="96" spans="1:41" ht="15" customHeight="1">
      <c r="A96"/>
      <c r="B96"/>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row>
    <row r="97" spans="1:41" ht="15" customHeight="1">
      <c r="A97"/>
      <c r="B97"/>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row>
    <row r="98" spans="1:41" ht="15" customHeight="1">
      <c r="A98"/>
      <c r="B98"/>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row>
    <row r="99" spans="1:41" ht="15" customHeight="1">
      <c r="A99"/>
      <c r="B99"/>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row>
    <row r="100" spans="1:41" ht="15" customHeight="1">
      <c r="A100"/>
      <c r="B100"/>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row>
    <row r="101" spans="1:41" ht="15" customHeight="1">
      <c r="A101"/>
      <c r="B101"/>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row>
    <row r="102" spans="1:41" ht="15" customHeight="1">
      <c r="A102"/>
      <c r="B102"/>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row>
    <row r="103" spans="1:41" ht="15" customHeight="1">
      <c r="A103"/>
      <c r="B103"/>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row>
    <row r="104" spans="1:41" ht="15" customHeight="1">
      <c r="A104"/>
      <c r="B104"/>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row>
    <row r="105" spans="1:41" ht="15" customHeight="1">
      <c r="A105"/>
      <c r="B10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row>
    <row r="106" spans="1:41" ht="15" customHeight="1">
      <c r="A106"/>
      <c r="B106"/>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row>
    <row r="107" spans="1:41" ht="15" customHeight="1">
      <c r="A107"/>
      <c r="B107"/>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row>
    <row r="108" spans="1:41" ht="15" customHeight="1">
      <c r="A108"/>
      <c r="B108"/>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row>
    <row r="109" spans="1:41" ht="15" customHeight="1">
      <c r="A109"/>
      <c r="B109"/>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row>
    <row r="110" spans="1:41" ht="15" customHeight="1">
      <c r="A110"/>
      <c r="B110"/>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row>
    <row r="111" spans="1:41" ht="15" customHeight="1">
      <c r="A111"/>
      <c r="B111"/>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row>
    <row r="112" spans="1:41" ht="15" customHeight="1">
      <c r="A112"/>
      <c r="B112"/>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row>
    <row r="113" spans="1:41" ht="15" customHeight="1">
      <c r="A113"/>
      <c r="B113"/>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row>
    <row r="114" spans="1:41" ht="15" customHeight="1">
      <c r="A114"/>
      <c r="B11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row>
    <row r="115" spans="1:41" ht="15" customHeight="1">
      <c r="A115"/>
      <c r="B11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row>
    <row r="116" spans="1:41" ht="15" customHeight="1">
      <c r="A116"/>
      <c r="B116"/>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row>
    <row r="117" spans="1:41" ht="15" customHeight="1">
      <c r="A117"/>
      <c r="B117"/>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row>
    <row r="118" spans="1:41" ht="15" customHeight="1">
      <c r="A118"/>
      <c r="B118"/>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row>
    <row r="119" spans="1:41" ht="15" customHeight="1">
      <c r="A119"/>
      <c r="B119"/>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row>
    <row r="120" spans="1:41" ht="15" customHeight="1">
      <c r="A120"/>
      <c r="B120"/>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row>
    <row r="121" spans="1:41" ht="15" customHeight="1">
      <c r="A121"/>
      <c r="B121"/>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row>
    <row r="122" spans="1:41" ht="15" customHeight="1">
      <c r="A122"/>
      <c r="B122"/>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row>
    <row r="123" spans="1:41" ht="15" customHeight="1">
      <c r="A123"/>
      <c r="B123"/>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row>
    <row r="124" spans="1:41" ht="15" customHeight="1">
      <c r="A124"/>
      <c r="B12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row>
    <row r="125" spans="1:41" ht="15" customHeight="1">
      <c r="A125"/>
      <c r="B12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row>
    <row r="126" spans="1:41" ht="15" customHeight="1">
      <c r="A126"/>
      <c r="B126"/>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row>
    <row r="127" spans="1:41" ht="15" customHeight="1">
      <c r="A127"/>
      <c r="B127"/>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row>
    <row r="128" spans="1:41" ht="15" customHeight="1">
      <c r="A128"/>
      <c r="B128"/>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row>
    <row r="129" spans="1:41" ht="15" customHeight="1">
      <c r="A129"/>
      <c r="B129"/>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row>
    <row r="130" spans="1:41" ht="15" customHeight="1">
      <c r="A130"/>
      <c r="B130"/>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row>
    <row r="131" spans="1:41" ht="15" customHeight="1">
      <c r="A131"/>
      <c r="B131"/>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row>
    <row r="132" spans="1:41" ht="15" customHeight="1">
      <c r="A132"/>
      <c r="B132"/>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row>
    <row r="133" spans="1:41" ht="15" customHeight="1">
      <c r="A133"/>
      <c r="B133"/>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row>
    <row r="134" spans="1:41" ht="15" customHeight="1">
      <c r="A134"/>
      <c r="B134"/>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row>
    <row r="135" spans="1:41" ht="15" customHeight="1">
      <c r="A135"/>
      <c r="B13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row>
    <row r="136" spans="1:41" ht="15" customHeight="1">
      <c r="A136"/>
      <c r="B136"/>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row>
    <row r="137" spans="1:41" ht="15" customHeight="1">
      <c r="A137"/>
      <c r="B137"/>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row>
    <row r="138" spans="1:41" ht="15" customHeight="1">
      <c r="A138"/>
      <c r="B138"/>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row>
    <row r="139" spans="1:41" ht="15" customHeight="1">
      <c r="A139"/>
      <c r="B139"/>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row>
    <row r="140" spans="1:41" ht="15" customHeight="1">
      <c r="A140"/>
      <c r="B140"/>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row>
    <row r="141" spans="1:41" ht="15" customHeight="1">
      <c r="A141"/>
      <c r="B141"/>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row>
    <row r="142" spans="1:41" ht="15" customHeight="1">
      <c r="A142"/>
      <c r="B142"/>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row>
    <row r="143" spans="1:41" ht="15" customHeight="1">
      <c r="A143"/>
      <c r="B143"/>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row>
    <row r="144" spans="1:41" ht="15" customHeight="1">
      <c r="A144"/>
      <c r="B144"/>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row>
    <row r="145" spans="1:41" ht="15" customHeight="1">
      <c r="A145"/>
      <c r="B1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row>
    <row r="146" spans="1:41" ht="15" customHeight="1">
      <c r="A146"/>
      <c r="B146"/>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row>
    <row r="147" spans="1:41" ht="15" customHeight="1">
      <c r="A147"/>
      <c r="B147"/>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row>
    <row r="148" spans="1:41" ht="15" customHeight="1">
      <c r="A148"/>
      <c r="B148"/>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row>
    <row r="149" spans="1:41" ht="15" customHeight="1">
      <c r="A149"/>
      <c r="B149"/>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row>
    <row r="150" spans="1:41" ht="15" customHeight="1">
      <c r="A150"/>
      <c r="B150"/>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row>
    <row r="151" spans="1:41" ht="15" customHeight="1">
      <c r="A151"/>
      <c r="B151"/>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row>
    <row r="152" spans="1:41" ht="15" customHeight="1">
      <c r="A152"/>
      <c r="B152"/>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row>
    <row r="153" spans="1:41" ht="15" customHeight="1">
      <c r="A153"/>
      <c r="B153"/>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row>
    <row r="154" spans="1:41" ht="15" customHeight="1">
      <c r="A154"/>
      <c r="B154"/>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row>
    <row r="155" spans="1:41" ht="15" customHeight="1">
      <c r="A155"/>
      <c r="B15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row>
    <row r="156" spans="1:41" ht="15" customHeight="1">
      <c r="A156"/>
      <c r="B156"/>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row>
    <row r="157" spans="1:41" ht="15" customHeight="1">
      <c r="A157"/>
      <c r="B15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row>
    <row r="158" spans="1:41" ht="15" customHeight="1">
      <c r="A158"/>
      <c r="B15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row>
    <row r="159" spans="1:41" ht="15" customHeight="1">
      <c r="A159"/>
      <c r="B159"/>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row>
    <row r="160" spans="1:41" ht="15" customHeight="1">
      <c r="A160"/>
      <c r="B160"/>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row>
    <row r="161" spans="1:41" ht="15" customHeight="1">
      <c r="A161"/>
      <c r="B161"/>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row>
    <row r="162" spans="1:41" ht="15" customHeight="1">
      <c r="A162"/>
      <c r="B162"/>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row>
    <row r="163" spans="1:41" ht="15" customHeight="1">
      <c r="A163"/>
      <c r="B163"/>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row>
    <row r="164" spans="1:41" ht="15" customHeight="1">
      <c r="A164"/>
      <c r="B164"/>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row>
    <row r="165" spans="1:41" ht="15" customHeight="1">
      <c r="A165"/>
      <c r="B16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row>
    <row r="166" spans="1:41" ht="15" customHeight="1">
      <c r="A166"/>
      <c r="B166"/>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row>
    <row r="167" spans="1:41" ht="15" customHeight="1">
      <c r="A167"/>
      <c r="B167"/>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row>
    <row r="168" spans="1:41" ht="15" customHeight="1">
      <c r="A168"/>
      <c r="B168"/>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row>
    <row r="169" spans="1:41" ht="15" customHeight="1">
      <c r="A169"/>
      <c r="B169"/>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row>
    <row r="170" spans="1:41" ht="15" customHeight="1">
      <c r="A170"/>
      <c r="B170"/>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row>
    <row r="171" spans="1:41" ht="15" customHeight="1">
      <c r="A171"/>
      <c r="B171"/>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row>
    <row r="172" spans="1:41" ht="15" customHeight="1">
      <c r="A172"/>
      <c r="B172"/>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row>
    <row r="173" spans="1:41" ht="15" customHeight="1">
      <c r="A173"/>
      <c r="B173"/>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row>
    <row r="174" spans="1:41" ht="15" customHeight="1">
      <c r="A174"/>
      <c r="B174"/>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row>
    <row r="175" spans="1:41" ht="15" customHeight="1">
      <c r="A175"/>
      <c r="B17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row>
    <row r="176" spans="1:41" ht="15" customHeight="1">
      <c r="A176"/>
      <c r="B176"/>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row>
    <row r="177" spans="1:41" ht="15" customHeight="1">
      <c r="A177"/>
      <c r="B177"/>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row>
    <row r="178" spans="1:41" ht="15" customHeight="1">
      <c r="A178"/>
      <c r="B178"/>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row>
    <row r="179" spans="1:41" ht="15" customHeight="1">
      <c r="A179"/>
      <c r="B179"/>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row>
    <row r="180" spans="1:41" ht="15" customHeight="1">
      <c r="A180"/>
      <c r="B180"/>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row>
    <row r="181" spans="1:41" ht="15" customHeight="1">
      <c r="A181"/>
      <c r="B181"/>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row>
    <row r="182" spans="1:41" ht="15" customHeight="1">
      <c r="A182"/>
      <c r="B182"/>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row>
    <row r="183" spans="1:41" ht="15" customHeight="1">
      <c r="A183"/>
      <c r="B183"/>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row>
    <row r="184" spans="1:41" ht="15" customHeight="1">
      <c r="A184"/>
      <c r="B184"/>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row>
    <row r="185" spans="1:41" ht="15" customHeight="1">
      <c r="A185"/>
      <c r="B18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row>
    <row r="186" spans="1:41" ht="15" customHeight="1">
      <c r="A186"/>
      <c r="B186"/>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row>
    <row r="187" spans="1:41" ht="15" customHeight="1">
      <c r="A187"/>
      <c r="B187"/>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row>
    <row r="188" spans="1:41" ht="15" customHeight="1">
      <c r="A188"/>
      <c r="B188"/>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row>
    <row r="189" spans="1:41" ht="15" customHeight="1">
      <c r="A189"/>
      <c r="B189"/>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row>
    <row r="190" spans="1:41" ht="15" customHeight="1">
      <c r="A190"/>
      <c r="B190"/>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row>
    <row r="191" spans="1:41" ht="15" customHeight="1">
      <c r="A191"/>
      <c r="B191"/>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row>
    <row r="192" spans="1:41" ht="15" customHeight="1">
      <c r="A192"/>
      <c r="B192"/>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row>
    <row r="193" spans="1:41" ht="15" customHeight="1">
      <c r="A193"/>
      <c r="B193"/>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row>
    <row r="194" spans="1:41" ht="15" customHeight="1">
      <c r="A194"/>
      <c r="B194"/>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row>
    <row r="195" spans="1:41" ht="15" customHeight="1">
      <c r="A195"/>
      <c r="B19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row>
    <row r="196" spans="1:41" ht="15" customHeight="1">
      <c r="A196"/>
      <c r="B196"/>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row>
    <row r="197" spans="1:41" ht="15" customHeight="1">
      <c r="A197"/>
      <c r="B197"/>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row>
    <row r="198" spans="1:41" ht="15" customHeight="1">
      <c r="A198"/>
      <c r="B198"/>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row>
    <row r="199" spans="1:41" ht="15" customHeight="1">
      <c r="A199"/>
      <c r="B199"/>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row>
    <row r="200" spans="1:41" ht="15" customHeight="1">
      <c r="A200"/>
      <c r="B200"/>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row>
    <row r="201" spans="1:41" ht="15" customHeight="1">
      <c r="A201"/>
      <c r="B201"/>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row>
    <row r="202" spans="1:41" ht="15" customHeight="1">
      <c r="A202"/>
      <c r="B202"/>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row>
    <row r="203" spans="1:41" ht="15" customHeight="1">
      <c r="A203"/>
      <c r="B203"/>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row>
    <row r="204" spans="1:41" ht="15" customHeight="1">
      <c r="A204"/>
      <c r="B204"/>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row>
    <row r="205" spans="1:41" ht="15" customHeight="1">
      <c r="A205"/>
      <c r="B20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row>
    <row r="206" spans="1:41" ht="15" customHeight="1">
      <c r="A206"/>
      <c r="B206"/>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row>
    <row r="207" spans="1:41" ht="15" customHeight="1">
      <c r="A207"/>
      <c r="B207"/>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row>
    <row r="208" spans="1:41" ht="15" customHeight="1">
      <c r="A208"/>
      <c r="B208"/>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row>
    <row r="209" spans="1:41" ht="15" customHeight="1">
      <c r="A209"/>
      <c r="B209"/>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row>
    <row r="210" spans="1:41" ht="15" customHeight="1">
      <c r="A210"/>
      <c r="B210"/>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row>
    <row r="211" spans="1:41" ht="15" customHeight="1">
      <c r="A211"/>
      <c r="B211"/>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row>
    <row r="212" spans="1:41" ht="15" customHeight="1">
      <c r="A212"/>
      <c r="B212"/>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row>
    <row r="213" spans="1:41" ht="15" customHeight="1">
      <c r="A213"/>
      <c r="B213"/>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row>
    <row r="214" spans="1:41" ht="15" customHeight="1">
      <c r="A214"/>
      <c r="B214"/>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row>
    <row r="215" spans="1:41" ht="15" customHeight="1">
      <c r="A215"/>
      <c r="B21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row>
    <row r="216" spans="1:41" ht="15" customHeight="1">
      <c r="A216"/>
      <c r="B216"/>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row>
    <row r="217" spans="1:41" ht="15" customHeight="1">
      <c r="A217"/>
      <c r="B217"/>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row>
    <row r="218" spans="1:41" ht="15" customHeight="1">
      <c r="A218"/>
      <c r="B218"/>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row>
    <row r="219" spans="1:41" ht="15" customHeight="1">
      <c r="A219"/>
      <c r="B219"/>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row>
    <row r="220" spans="1:41" ht="15" customHeight="1">
      <c r="A220"/>
      <c r="B220"/>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row>
    <row r="221" spans="1:41" ht="15" customHeight="1">
      <c r="A221"/>
      <c r="B221"/>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row>
    <row r="222" spans="1:41" ht="15" customHeight="1">
      <c r="A222"/>
      <c r="B222"/>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row>
    <row r="223" spans="1:41" ht="15" customHeight="1">
      <c r="A223"/>
      <c r="B223"/>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row>
    <row r="224" spans="1:41" ht="15" customHeight="1">
      <c r="A224"/>
      <c r="B224"/>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row>
    <row r="225" spans="1:41" ht="15" customHeight="1">
      <c r="A225"/>
      <c r="B22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row>
    <row r="226" spans="1:41" ht="15" customHeight="1">
      <c r="A226"/>
      <c r="B226"/>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row>
    <row r="227" spans="1:41" ht="15" customHeight="1">
      <c r="A227"/>
      <c r="B227"/>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row>
    <row r="228" spans="1:41" ht="15" customHeight="1">
      <c r="A228"/>
      <c r="B228"/>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row>
    <row r="229" spans="1:41" ht="15" customHeight="1">
      <c r="A229"/>
      <c r="B229"/>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row>
    <row r="230" spans="1:41" ht="15" customHeight="1">
      <c r="A230"/>
      <c r="B230"/>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row>
    <row r="231" spans="1:41" ht="15" customHeight="1">
      <c r="A231"/>
      <c r="B231"/>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row>
    <row r="232" spans="1:41" ht="15" customHeight="1">
      <c r="A232"/>
      <c r="B232"/>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row>
    <row r="233" spans="1:41" ht="15" customHeight="1">
      <c r="A233"/>
      <c r="B233"/>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row>
    <row r="234" spans="1:41" ht="15" customHeight="1">
      <c r="A234"/>
      <c r="B234"/>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row>
    <row r="235" spans="1:41" ht="15" customHeight="1">
      <c r="A235"/>
      <c r="B23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row>
    <row r="236" spans="1:41" ht="15" customHeight="1">
      <c r="A236"/>
      <c r="B236"/>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row>
    <row r="237" spans="1:41" ht="15" customHeight="1">
      <c r="A237"/>
      <c r="B237"/>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row>
    <row r="238" spans="1:41" ht="15" customHeight="1">
      <c r="A238"/>
      <c r="B238"/>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row>
    <row r="239" spans="1:41" ht="15" customHeight="1">
      <c r="A239"/>
      <c r="B239"/>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row>
    <row r="240" spans="1:41" ht="15" customHeight="1">
      <c r="A240"/>
      <c r="B240"/>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row>
    <row r="241" spans="1:41" ht="15" customHeight="1">
      <c r="A241"/>
      <c r="B241"/>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row>
    <row r="242" spans="1:41" ht="15" customHeight="1">
      <c r="A242"/>
      <c r="B242"/>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row>
    <row r="243" spans="1:41" ht="15" customHeight="1">
      <c r="A243"/>
      <c r="B243"/>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row>
    <row r="244" spans="1:41" ht="15" customHeight="1">
      <c r="A244"/>
      <c r="B244"/>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row>
    <row r="245" spans="1:41" ht="15" customHeight="1">
      <c r="A245"/>
      <c r="B2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row>
    <row r="246" spans="1:41" ht="15" customHeight="1">
      <c r="A246"/>
      <c r="B246"/>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row>
    <row r="247" spans="1:41" ht="15" customHeight="1">
      <c r="A247"/>
      <c r="B247"/>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row>
    <row r="248" spans="1:41" ht="15" customHeight="1">
      <c r="A248"/>
      <c r="B248"/>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row>
    <row r="249" spans="1:41" ht="15" customHeight="1">
      <c r="A249"/>
      <c r="B249"/>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row>
    <row r="250" spans="1:41" ht="15" customHeight="1">
      <c r="A250"/>
      <c r="B250"/>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row>
    <row r="251" spans="1:41" ht="15" customHeight="1">
      <c r="A251"/>
      <c r="B251"/>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row>
    <row r="252" spans="1:41" ht="15" customHeight="1">
      <c r="A252"/>
      <c r="B252"/>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row>
    <row r="253" spans="1:41" ht="15" customHeight="1">
      <c r="A253"/>
      <c r="B253"/>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row>
    <row r="254" spans="1:41" ht="15" customHeight="1">
      <c r="A254"/>
      <c r="B254"/>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row>
    <row r="255" spans="1:41" ht="15" customHeight="1">
      <c r="A255"/>
      <c r="B25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row>
    <row r="256" spans="1:41" ht="15" customHeight="1">
      <c r="A256"/>
      <c r="B256"/>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row>
    <row r="257" spans="1:41" ht="15" customHeight="1">
      <c r="A257"/>
      <c r="B257"/>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row>
    <row r="258" spans="1:41" ht="15" customHeight="1">
      <c r="A258"/>
      <c r="B258"/>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row>
    <row r="259" spans="1:41" ht="15" customHeight="1">
      <c r="A259"/>
      <c r="B259"/>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row>
    <row r="260" spans="1:41" ht="15" customHeight="1">
      <c r="A260"/>
      <c r="B260"/>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row>
    <row r="261" spans="1:41" ht="15" customHeight="1">
      <c r="A261"/>
      <c r="B261"/>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row>
    <row r="262" spans="1:41" ht="15" customHeight="1">
      <c r="A262"/>
      <c r="B262"/>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row>
    <row r="263" spans="1:41" ht="15" customHeight="1">
      <c r="A263"/>
      <c r="B263"/>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row>
    <row r="264" spans="1:41" ht="15" customHeight="1">
      <c r="A264"/>
      <c r="B264"/>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row>
    <row r="265" spans="1:41" ht="15" customHeight="1">
      <c r="A265"/>
      <c r="B26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row>
    <row r="266" spans="1:41" ht="15" customHeight="1">
      <c r="A266"/>
      <c r="B266"/>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row>
    <row r="267" spans="1:41" ht="15" customHeight="1">
      <c r="A267"/>
      <c r="B267"/>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row>
    <row r="268" spans="1:41" ht="15" customHeight="1">
      <c r="A268"/>
      <c r="B268"/>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row>
    <row r="269" spans="1:41" ht="15" customHeight="1">
      <c r="A269"/>
      <c r="B269"/>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row>
    <row r="270" spans="1:41" ht="15" customHeight="1">
      <c r="A270"/>
      <c r="B270"/>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row>
    <row r="271" spans="1:41" ht="15" customHeight="1">
      <c r="A271"/>
      <c r="B271"/>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row>
    <row r="272" spans="1:41" ht="15" customHeight="1">
      <c r="A272"/>
      <c r="B272"/>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row>
    <row r="273" spans="1:41" ht="15" customHeight="1">
      <c r="A273"/>
      <c r="B273"/>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row>
    <row r="274" spans="1:41" ht="15" customHeight="1">
      <c r="A274"/>
      <c r="B274"/>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row>
    <row r="275" spans="1:41" ht="15" customHeight="1">
      <c r="A275"/>
      <c r="B27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row>
    <row r="276" spans="1:41" ht="15" customHeight="1">
      <c r="A276"/>
      <c r="B276"/>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row>
    <row r="277" spans="1:41" ht="15" customHeight="1">
      <c r="A277"/>
      <c r="B277"/>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row>
    <row r="278" spans="1:41" ht="15" customHeight="1">
      <c r="A278"/>
      <c r="B278"/>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row>
    <row r="279" spans="1:41" ht="15" customHeight="1">
      <c r="A279"/>
      <c r="B279"/>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row>
    <row r="280" spans="1:41" ht="15" customHeight="1">
      <c r="A280"/>
      <c r="B280"/>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row>
    <row r="281" spans="1:41" ht="15" customHeight="1">
      <c r="A281"/>
      <c r="B281"/>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row>
    <row r="282" spans="1:41" ht="15" customHeight="1">
      <c r="A282"/>
      <c r="B282"/>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row>
    <row r="283" spans="1:41" ht="15" customHeight="1">
      <c r="A283"/>
      <c r="B283"/>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row>
    <row r="284" spans="1:41" ht="15" customHeight="1">
      <c r="A284"/>
      <c r="B284"/>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row>
    <row r="285" spans="1:41" ht="15" customHeight="1">
      <c r="A285"/>
      <c r="B28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row>
    <row r="286" spans="1:41" ht="15" customHeight="1">
      <c r="A286"/>
      <c r="B286"/>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row>
    <row r="287" spans="1:41" ht="15" customHeight="1">
      <c r="A287"/>
      <c r="B287"/>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row>
    <row r="288" spans="1:41" ht="15" customHeight="1">
      <c r="A288"/>
      <c r="B288"/>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row>
    <row r="289" spans="1:41" ht="15" customHeight="1">
      <c r="A289"/>
      <c r="B289"/>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row>
    <row r="290" spans="1:41" ht="15" customHeight="1">
      <c r="A290"/>
      <c r="B290"/>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row>
    <row r="291" spans="1:41" ht="15" customHeight="1">
      <c r="A291"/>
      <c r="B291"/>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row>
    <row r="292" spans="1:41" ht="15" customHeight="1">
      <c r="A292"/>
      <c r="B292"/>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row>
    <row r="293" spans="1:41" ht="15" customHeight="1">
      <c r="A293"/>
      <c r="B293"/>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row>
    <row r="294" spans="1:41" ht="15" customHeight="1">
      <c r="A294"/>
      <c r="B294"/>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row>
    <row r="295" spans="1:41" ht="15" customHeight="1">
      <c r="A295"/>
      <c r="B29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row>
    <row r="296" spans="1:41" ht="15" customHeight="1">
      <c r="A296"/>
      <c r="B296"/>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row>
    <row r="297" spans="1:41" ht="15" customHeight="1">
      <c r="A297"/>
      <c r="B297"/>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row>
    <row r="298" spans="1:41" ht="15" customHeight="1">
      <c r="A298"/>
      <c r="B298"/>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row>
    <row r="299" spans="1:41" ht="15" customHeight="1">
      <c r="A299"/>
      <c r="B299"/>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row>
    <row r="300" spans="1:41" ht="15" customHeight="1">
      <c r="A300"/>
      <c r="B300"/>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row>
    <row r="301" spans="1:41" ht="15" customHeight="1">
      <c r="A301"/>
      <c r="B301"/>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row>
    <row r="302" spans="1:41" ht="15" customHeight="1">
      <c r="A302"/>
      <c r="B302"/>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row>
    <row r="303" spans="1:41" ht="15" customHeight="1">
      <c r="A303"/>
      <c r="B303"/>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row>
    <row r="304" spans="1:41" ht="15" customHeight="1">
      <c r="A304"/>
      <c r="B304"/>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row>
    <row r="305" spans="1:41" ht="15" customHeight="1">
      <c r="A305"/>
      <c r="B30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row>
    <row r="306" spans="1:41" ht="15" customHeight="1">
      <c r="A306"/>
      <c r="B306"/>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row>
    <row r="307" spans="1:41" ht="15" customHeight="1">
      <c r="A307"/>
      <c r="B307"/>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row>
    <row r="308" spans="1:41" ht="15" customHeight="1">
      <c r="A308"/>
      <c r="B308"/>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row>
    <row r="309" spans="1:41" ht="15" customHeight="1">
      <c r="A309"/>
      <c r="B309"/>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row>
    <row r="310" spans="1:41" ht="15" customHeight="1">
      <c r="A310"/>
      <c r="B310"/>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row>
    <row r="311" spans="1:41" ht="15" customHeight="1">
      <c r="A311"/>
      <c r="B311"/>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row>
    <row r="312" spans="1:41" ht="15" customHeight="1">
      <c r="A312"/>
      <c r="B312"/>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row>
    <row r="313" spans="1:41" ht="15" customHeight="1">
      <c r="A313"/>
      <c r="B313"/>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row>
    <row r="314" spans="1:41" ht="15" customHeight="1">
      <c r="A314"/>
      <c r="B314"/>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row>
    <row r="315" spans="1:41" ht="15" customHeight="1">
      <c r="A315"/>
      <c r="B31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row>
    <row r="316" spans="1:41" ht="15" customHeight="1">
      <c r="A316"/>
      <c r="B316"/>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row>
    <row r="317" spans="1:41" ht="15" customHeight="1">
      <c r="A317"/>
      <c r="B317"/>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row>
    <row r="318" spans="1:41" ht="15" customHeight="1">
      <c r="A318"/>
      <c r="B318"/>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row>
    <row r="319" spans="1:41" ht="15" customHeight="1">
      <c r="A319"/>
      <c r="B319"/>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row>
    <row r="320" spans="1:41" ht="15" customHeight="1">
      <c r="A320"/>
      <c r="B320"/>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row>
    <row r="321" spans="1:41" ht="15" customHeight="1">
      <c r="A321"/>
      <c r="B321"/>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row>
    <row r="322" spans="1:41" ht="15" customHeight="1">
      <c r="A322"/>
      <c r="B322"/>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row>
    <row r="323" spans="1:41" ht="15" customHeight="1">
      <c r="A323"/>
      <c r="B323"/>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row>
    <row r="324" spans="1:41" ht="15" customHeight="1">
      <c r="A324"/>
      <c r="B324"/>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row>
    <row r="325" spans="1:41" ht="15" customHeight="1">
      <c r="A325"/>
      <c r="B32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row>
    <row r="326" spans="1:41" ht="15" customHeight="1">
      <c r="A326"/>
      <c r="B326"/>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row>
    <row r="327" spans="1:41" ht="15" customHeight="1">
      <c r="A327"/>
      <c r="B327"/>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row>
    <row r="328" spans="1:41" ht="15" customHeight="1">
      <c r="A328"/>
      <c r="B328"/>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row>
    <row r="329" spans="1:41" ht="15" customHeight="1">
      <c r="A329"/>
      <c r="B329"/>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row>
    <row r="330" spans="1:41" ht="15" customHeight="1">
      <c r="A330"/>
      <c r="B330"/>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row>
    <row r="331" spans="1:41" ht="15" customHeight="1">
      <c r="A331"/>
      <c r="B331"/>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row>
    <row r="332" spans="1:41" ht="15" customHeight="1">
      <c r="A332"/>
      <c r="B332"/>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row>
    <row r="333" spans="1:41" ht="15" customHeight="1">
      <c r="A333"/>
      <c r="B333"/>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row>
    <row r="334" spans="1:41" ht="15" customHeight="1">
      <c r="A334"/>
      <c r="B334"/>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row>
    <row r="335" spans="1:41" ht="15" customHeight="1">
      <c r="A335"/>
      <c r="B33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row>
    <row r="336" spans="1:41" ht="15" customHeight="1">
      <c r="A336"/>
      <c r="B336"/>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row>
    <row r="337" spans="1:41" ht="15" customHeight="1">
      <c r="A337"/>
      <c r="B337"/>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row>
    <row r="338" spans="1:41" ht="15" customHeight="1">
      <c r="A338"/>
      <c r="B338"/>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row>
    <row r="339" spans="1:41" ht="15" customHeight="1">
      <c r="A339"/>
      <c r="B339"/>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row>
    <row r="340" spans="1:41" ht="15" customHeight="1">
      <c r="A340"/>
      <c r="B340"/>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row>
    <row r="341" spans="1:41" ht="15" customHeight="1">
      <c r="A341"/>
      <c r="B341"/>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row>
    <row r="342" spans="1:41" ht="15" customHeight="1">
      <c r="A342"/>
      <c r="B342"/>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row>
    <row r="343" spans="1:41" ht="15" customHeight="1">
      <c r="A343"/>
      <c r="B343"/>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row>
    <row r="344" spans="1:41" ht="15" customHeight="1">
      <c r="A344"/>
      <c r="B344"/>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row>
    <row r="345" spans="1:41" ht="15" customHeight="1">
      <c r="A345"/>
      <c r="B3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row>
    <row r="346" spans="1:41" ht="15" customHeight="1">
      <c r="A346"/>
      <c r="B346"/>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row>
    <row r="347" spans="1:41" ht="15" customHeight="1">
      <c r="A347"/>
      <c r="B347"/>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row>
    <row r="348" spans="1:41" ht="15" customHeight="1">
      <c r="A348"/>
      <c r="B348"/>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row>
    <row r="349" spans="1:41" ht="15" customHeight="1">
      <c r="A349"/>
      <c r="B349"/>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row>
    <row r="350" spans="1:41" ht="15" customHeight="1">
      <c r="A350"/>
      <c r="B350"/>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row>
    <row r="351" spans="1:41" ht="15" customHeight="1">
      <c r="A351"/>
      <c r="B351"/>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row>
    <row r="352" spans="1:41" ht="15" customHeight="1">
      <c r="A352"/>
      <c r="B352"/>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row>
    <row r="353" spans="1:41" ht="15" customHeight="1">
      <c r="A353"/>
      <c r="B353"/>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row>
    <row r="354" spans="1:41" ht="15" customHeight="1">
      <c r="A354"/>
      <c r="B354"/>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row>
    <row r="355" spans="1:41" ht="15" customHeight="1">
      <c r="A355"/>
      <c r="B35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row>
    <row r="356" spans="1:41" ht="15" customHeight="1">
      <c r="A356"/>
      <c r="B356"/>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row>
    <row r="357" spans="1:41" ht="15" customHeight="1">
      <c r="A357"/>
      <c r="B357"/>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row>
    <row r="358" spans="1:41" ht="15" customHeight="1">
      <c r="A358"/>
      <c r="B358"/>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row>
    <row r="359" spans="1:41" ht="15" customHeight="1">
      <c r="A359"/>
      <c r="B359"/>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row>
    <row r="360" spans="1:41" ht="15" customHeight="1">
      <c r="A360"/>
      <c r="B360"/>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row>
    <row r="361" spans="1:41" ht="15" customHeight="1">
      <c r="A361"/>
      <c r="B361"/>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row>
    <row r="362" spans="1:41" ht="15" customHeight="1">
      <c r="A362"/>
      <c r="B362"/>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row>
    <row r="363" spans="1:41" ht="15" customHeight="1">
      <c r="A363"/>
      <c r="B363"/>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row>
    <row r="364" spans="1:41" ht="15" customHeight="1">
      <c r="A364"/>
      <c r="B364"/>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row>
    <row r="365" spans="1:41" ht="15" customHeight="1">
      <c r="A365"/>
      <c r="B36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row>
    <row r="366" spans="1:41" ht="15" customHeight="1">
      <c r="A366"/>
      <c r="B366"/>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row>
    <row r="367" spans="1:41" ht="15" customHeight="1">
      <c r="A367"/>
      <c r="B367"/>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row>
    <row r="368" spans="1:41" ht="15" customHeight="1">
      <c r="A368"/>
      <c r="B368"/>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row>
    <row r="369" spans="1:41" ht="15" customHeight="1">
      <c r="A369"/>
      <c r="B369"/>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row>
    <row r="370" spans="1:41" ht="15" customHeight="1">
      <c r="A370"/>
      <c r="B370"/>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row>
    <row r="371" spans="1:41" ht="15" customHeight="1">
      <c r="A371"/>
      <c r="B371"/>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row>
    <row r="372" spans="1:41" ht="15" customHeight="1">
      <c r="A372"/>
      <c r="B372"/>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row>
    <row r="373" spans="1:41" ht="15" customHeight="1">
      <c r="A373"/>
      <c r="B373"/>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row>
    <row r="374" spans="1:41" ht="15" customHeight="1">
      <c r="A374"/>
      <c r="B374"/>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row>
    <row r="375" spans="1:41" ht="15" customHeight="1">
      <c r="A375"/>
      <c r="B37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row>
    <row r="376" spans="1:41" ht="15" customHeight="1">
      <c r="A376"/>
      <c r="B376"/>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row>
    <row r="377" spans="1:41" ht="15" customHeight="1">
      <c r="A377"/>
      <c r="B377"/>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row>
    <row r="378" spans="1:41" ht="15" customHeight="1">
      <c r="A378"/>
      <c r="B378"/>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row>
    <row r="379" spans="1:41" ht="15" customHeight="1">
      <c r="A379"/>
      <c r="B379"/>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row>
    <row r="380" spans="1:41" ht="15" customHeight="1">
      <c r="A380"/>
      <c r="B380"/>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row>
    <row r="381" spans="1:41" ht="15" customHeight="1">
      <c r="A381"/>
      <c r="B381"/>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row>
    <row r="382" spans="1:41" ht="15" customHeight="1">
      <c r="A382"/>
      <c r="B382"/>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row>
    <row r="383" spans="1:41" ht="15" customHeight="1">
      <c r="A383"/>
      <c r="B383"/>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row>
    <row r="384" spans="1:41" ht="15" customHeight="1">
      <c r="A384"/>
      <c r="B384"/>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row>
    <row r="385" spans="1:41" ht="15" customHeight="1">
      <c r="A385"/>
      <c r="B38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row>
    <row r="386" spans="1:41" ht="15" customHeight="1">
      <c r="A386"/>
      <c r="B386"/>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row>
    <row r="387" spans="1:41" ht="15" customHeight="1">
      <c r="A387"/>
      <c r="B387"/>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row>
    <row r="388" spans="1:41" ht="15" customHeight="1">
      <c r="A388"/>
      <c r="B388"/>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row>
    <row r="389" spans="1:41" ht="15" customHeight="1">
      <c r="A389"/>
      <c r="B389"/>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row>
    <row r="390" spans="1:41" ht="15" customHeight="1">
      <c r="A390"/>
      <c r="B390"/>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row>
    <row r="391" spans="1:41" ht="15" customHeight="1">
      <c r="A391"/>
      <c r="B391"/>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row>
    <row r="392" spans="1:41" ht="15" customHeight="1">
      <c r="A392"/>
      <c r="B392"/>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row>
    <row r="393" spans="1:41" ht="15" customHeight="1">
      <c r="A393"/>
      <c r="B393"/>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row>
    <row r="394" spans="1:41" ht="15" customHeight="1">
      <c r="A394"/>
      <c r="B394"/>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row>
    <row r="395" spans="1:41" ht="15" customHeight="1">
      <c r="A395"/>
      <c r="B39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row>
    <row r="396" spans="1:41" ht="15" customHeight="1">
      <c r="A396"/>
      <c r="B396"/>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row>
    <row r="397" spans="1:41" ht="15" customHeight="1">
      <c r="A397"/>
      <c r="B397"/>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row>
    <row r="398" spans="1:41" ht="15" customHeight="1">
      <c r="A398"/>
      <c r="B398"/>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row>
    <row r="399" spans="1:41" ht="15" customHeight="1">
      <c r="A399"/>
      <c r="B399"/>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row>
    <row r="400" spans="1:41" ht="15" customHeight="1">
      <c r="A400"/>
      <c r="B400"/>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row>
    <row r="401" spans="1:41" ht="15" customHeight="1">
      <c r="A401"/>
      <c r="B401"/>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row>
    <row r="402" spans="1:41" ht="15" customHeight="1">
      <c r="A402"/>
      <c r="B402"/>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row>
    <row r="403" spans="1:41" ht="15" customHeight="1">
      <c r="A403"/>
      <c r="B403"/>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row>
    <row r="404" spans="1:41" ht="15" customHeight="1">
      <c r="A404"/>
      <c r="B404"/>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row>
    <row r="405" spans="1:41" ht="15" customHeight="1">
      <c r="A405"/>
      <c r="B40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row>
    <row r="406" spans="1:41" ht="15" customHeight="1">
      <c r="A406"/>
      <c r="B406"/>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row>
    <row r="407" spans="1:41" ht="15" customHeight="1">
      <c r="A407"/>
      <c r="B407"/>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row>
    <row r="408" spans="1:41" ht="15" customHeight="1">
      <c r="A408"/>
      <c r="B408"/>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row>
    <row r="409" spans="1:41" ht="15" customHeight="1">
      <c r="A409"/>
      <c r="B409"/>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row>
    <row r="410" spans="1:41" ht="15" customHeight="1">
      <c r="A410"/>
      <c r="B410"/>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row>
    <row r="411" spans="1:41" ht="15" customHeight="1">
      <c r="A411"/>
      <c r="B411"/>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row>
    <row r="412" spans="1:41" ht="15" customHeight="1">
      <c r="A412"/>
      <c r="B412"/>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row>
    <row r="413" spans="1:41" ht="15" customHeight="1">
      <c r="A413"/>
      <c r="B413"/>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row>
    <row r="414" spans="1:41" ht="15" customHeight="1">
      <c r="A414"/>
      <c r="B41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row>
    <row r="415" spans="1:41" ht="15" customHeight="1">
      <c r="A415"/>
      <c r="B41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row>
    <row r="416" spans="1:41" ht="15" customHeight="1">
      <c r="A416"/>
      <c r="B416"/>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row>
    <row r="417" spans="1:41" ht="15" customHeight="1">
      <c r="A417"/>
      <c r="B417"/>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row>
    <row r="418" spans="1:41" ht="15" customHeight="1">
      <c r="A418"/>
      <c r="B418"/>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row>
    <row r="419" spans="1:41" ht="15" customHeight="1">
      <c r="A419"/>
      <c r="B419"/>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row>
    <row r="420" spans="1:41" ht="15" customHeight="1">
      <c r="A420"/>
      <c r="B420"/>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row>
    <row r="421" spans="1:41" ht="15" customHeight="1">
      <c r="A421"/>
      <c r="B421"/>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row>
    <row r="422" spans="1:41" ht="15" customHeight="1">
      <c r="A422"/>
      <c r="B422"/>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row>
    <row r="423" spans="1:41" ht="15" customHeight="1">
      <c r="A423"/>
      <c r="B423"/>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row>
    <row r="424" spans="1:41" ht="15" customHeight="1">
      <c r="A424"/>
      <c r="B42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row>
    <row r="425" spans="1:41" ht="15" customHeight="1">
      <c r="A425"/>
      <c r="B42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row>
    <row r="426" spans="1:41" ht="15" customHeight="1">
      <c r="A426"/>
      <c r="B426"/>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row>
    <row r="427" spans="1:41" ht="15" customHeight="1">
      <c r="A427"/>
      <c r="B427"/>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row>
    <row r="428" spans="1:41" ht="15" customHeight="1">
      <c r="A428"/>
      <c r="B428"/>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row>
    <row r="429" spans="1:41" ht="15" customHeight="1">
      <c r="A429"/>
      <c r="B429"/>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row>
    <row r="430" spans="1:41" ht="15" customHeight="1">
      <c r="A430"/>
      <c r="B430"/>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row>
    <row r="431" spans="1:41" ht="15" customHeight="1">
      <c r="A431"/>
      <c r="B431"/>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row>
    <row r="432" spans="1:41" ht="15" customHeight="1">
      <c r="A432"/>
      <c r="B432"/>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row>
    <row r="433" spans="1:41" ht="15" customHeight="1">
      <c r="A433"/>
      <c r="B433"/>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row>
    <row r="434" spans="1:41" ht="15" customHeight="1">
      <c r="A434"/>
      <c r="B434"/>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row>
    <row r="435" spans="1:41" ht="15" customHeight="1">
      <c r="A435"/>
      <c r="B43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row>
    <row r="436" spans="1:41" ht="15" customHeight="1">
      <c r="A436"/>
      <c r="B436"/>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row>
    <row r="437" spans="1:41" ht="15" customHeight="1">
      <c r="A437"/>
      <c r="B437"/>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row>
    <row r="438" spans="1:41" ht="15" customHeight="1">
      <c r="A438"/>
      <c r="B438"/>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row>
    <row r="439" spans="1:41" ht="15" customHeight="1">
      <c r="A439"/>
      <c r="B439"/>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row>
    <row r="440" spans="1:41" ht="15" customHeight="1">
      <c r="A440"/>
      <c r="B440"/>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row>
    <row r="441" spans="1:41" ht="15" customHeight="1">
      <c r="A441"/>
      <c r="B441"/>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row>
    <row r="442" spans="1:41" ht="15" customHeight="1">
      <c r="A442"/>
      <c r="B442"/>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row>
    <row r="443" spans="1:41" ht="15" customHeight="1">
      <c r="A443"/>
      <c r="B443"/>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row>
    <row r="444" spans="1:41" ht="15" customHeight="1">
      <c r="A444"/>
      <c r="B444"/>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row>
    <row r="445" spans="1:41" ht="15" customHeight="1">
      <c r="A445"/>
      <c r="B4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row>
    <row r="446" spans="1:41" ht="15" customHeight="1">
      <c r="A446"/>
      <c r="B446"/>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row>
    <row r="447" spans="1:41" ht="15" customHeight="1">
      <c r="A447"/>
      <c r="B447"/>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row>
    <row r="448" spans="1:41" ht="15" customHeight="1">
      <c r="A448"/>
      <c r="B448"/>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row>
    <row r="449" spans="1:41" ht="15" customHeight="1">
      <c r="A449"/>
      <c r="B449"/>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row>
    <row r="450" spans="1:41" ht="15" customHeight="1">
      <c r="A450"/>
      <c r="B450"/>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row>
    <row r="451" spans="1:41" ht="15" customHeight="1">
      <c r="A451"/>
      <c r="B451"/>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row>
    <row r="452" spans="1:41" ht="15" customHeight="1">
      <c r="A452"/>
      <c r="B452"/>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row>
    <row r="453" spans="1:41" ht="15" customHeight="1">
      <c r="A453"/>
      <c r="B453"/>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row>
    <row r="454" spans="1:41" ht="15" customHeight="1">
      <c r="A454"/>
      <c r="B454"/>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row>
    <row r="455" spans="1:41" ht="15" customHeight="1">
      <c r="A455"/>
      <c r="B45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row>
    <row r="456" spans="1:41" ht="15" customHeight="1">
      <c r="A456"/>
      <c r="B456"/>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row>
    <row r="457" spans="1:41" ht="15" customHeight="1">
      <c r="A457"/>
      <c r="B457"/>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row>
    <row r="458" spans="1:41" ht="15" customHeight="1">
      <c r="A458"/>
      <c r="B458"/>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row>
    <row r="459" spans="1:41" ht="15" customHeight="1">
      <c r="A459"/>
      <c r="B459"/>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row>
    <row r="460" spans="1:41" ht="15" customHeight="1">
      <c r="A460"/>
      <c r="B460"/>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row>
    <row r="461" spans="1:41" ht="15" customHeight="1">
      <c r="A461"/>
      <c r="B461"/>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row>
    <row r="462" spans="1:41" ht="15" customHeight="1">
      <c r="A462"/>
      <c r="B462"/>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row>
    <row r="463" spans="1:41" ht="15" customHeight="1">
      <c r="A463"/>
      <c r="B463"/>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row>
    <row r="464" spans="1:41" ht="15" customHeight="1">
      <c r="A464"/>
      <c r="B464"/>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row>
    <row r="465" spans="1:41" ht="15" customHeight="1">
      <c r="A465"/>
      <c r="B46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row>
    <row r="466" spans="1:41" ht="15" customHeight="1">
      <c r="A466"/>
      <c r="B466"/>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row>
    <row r="467" spans="1:41" ht="15" customHeight="1">
      <c r="A467"/>
      <c r="B467"/>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row>
    <row r="468" spans="1:41" ht="15" customHeight="1">
      <c r="A468"/>
      <c r="B468"/>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row>
    <row r="469" spans="1:41" ht="15" customHeight="1">
      <c r="A469"/>
      <c r="B469"/>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row>
    <row r="470" spans="1:41" ht="15" customHeight="1">
      <c r="A470"/>
      <c r="B470"/>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row>
    <row r="471" spans="1:41" ht="15" customHeight="1">
      <c r="A471"/>
      <c r="B471"/>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row>
    <row r="472" spans="1:41" ht="15" customHeight="1">
      <c r="A472"/>
      <c r="B472"/>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row>
    <row r="473" spans="1:41" ht="15" customHeight="1">
      <c r="A473"/>
      <c r="B473"/>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row>
    <row r="474" spans="1:41" ht="15" customHeight="1">
      <c r="A474"/>
      <c r="B474"/>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row>
    <row r="475" spans="1:41" ht="15" customHeight="1">
      <c r="A475"/>
      <c r="B47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row>
    <row r="476" spans="1:41" ht="15" customHeight="1">
      <c r="A476"/>
      <c r="B476"/>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row>
    <row r="477" spans="1:41" ht="15" customHeight="1">
      <c r="A477"/>
      <c r="B477"/>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row>
    <row r="478" spans="1:41" ht="15" customHeight="1">
      <c r="A478"/>
      <c r="B478"/>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row>
    <row r="479" spans="1:41" ht="15" customHeight="1">
      <c r="A479"/>
      <c r="B479"/>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row>
    <row r="480" spans="1:41" ht="15" customHeight="1">
      <c r="A480"/>
      <c r="B480"/>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row>
    <row r="481" spans="1:41" ht="15" customHeight="1">
      <c r="A481"/>
      <c r="B481"/>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row>
    <row r="482" spans="1:41" ht="15" customHeight="1">
      <c r="A482"/>
      <c r="B482"/>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row>
    <row r="483" spans="1:41" ht="15" customHeight="1">
      <c r="A483"/>
      <c r="B483"/>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row>
    <row r="484" spans="1:41" ht="15" customHeight="1">
      <c r="A484"/>
      <c r="B484"/>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row>
    <row r="485" spans="1:41" ht="15" customHeight="1">
      <c r="A485"/>
      <c r="B48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row>
    <row r="486" spans="1:41" ht="15" customHeight="1">
      <c r="A486"/>
      <c r="B486"/>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row>
    <row r="487" spans="1:41" ht="15" customHeight="1">
      <c r="A487"/>
      <c r="B487"/>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row>
    <row r="488" spans="1:41" ht="15" customHeight="1">
      <c r="A488"/>
      <c r="B488"/>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row>
    <row r="489" spans="1:41" ht="15" customHeight="1">
      <c r="A489"/>
      <c r="B489"/>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row>
    <row r="490" spans="1:41" ht="15" customHeight="1">
      <c r="A490"/>
      <c r="B490"/>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row>
    <row r="491" spans="1:41" ht="15" customHeight="1">
      <c r="A491"/>
      <c r="B491"/>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row>
    <row r="492" spans="1:41" ht="15" customHeight="1">
      <c r="A492"/>
      <c r="B492"/>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row>
    <row r="493" spans="1:41" ht="15" customHeight="1">
      <c r="A493"/>
      <c r="B493"/>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row>
    <row r="494" spans="1:41" ht="15" customHeight="1">
      <c r="A494"/>
      <c r="B494"/>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row>
    <row r="495" spans="1:41" ht="15" customHeight="1">
      <c r="A495"/>
      <c r="B49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row>
    <row r="496" spans="1:41" ht="15" customHeight="1">
      <c r="A496"/>
      <c r="B496"/>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row>
    <row r="497" spans="1:41" ht="15" customHeight="1">
      <c r="A497"/>
      <c r="B497"/>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row>
    <row r="498" spans="1:41" ht="15" customHeight="1">
      <c r="A498"/>
      <c r="B498"/>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row>
    <row r="499" spans="1:41" ht="15" customHeight="1">
      <c r="A499"/>
      <c r="B499"/>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row>
    <row r="500" spans="1:41" ht="15" customHeight="1">
      <c r="A500"/>
      <c r="B500"/>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row>
    <row r="501" spans="1:41" ht="15" customHeight="1">
      <c r="A501"/>
      <c r="B501"/>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row>
    <row r="502" spans="1:41" ht="15" customHeight="1">
      <c r="A502"/>
      <c r="B502"/>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row>
    <row r="503" spans="1:41" ht="15" customHeight="1">
      <c r="A503"/>
      <c r="B503"/>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row>
    <row r="504" spans="1:41" ht="15" customHeight="1">
      <c r="A504"/>
      <c r="B504"/>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row>
    <row r="505" spans="1:41" ht="15" customHeight="1">
      <c r="A505"/>
      <c r="B50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row>
    <row r="506" spans="1:41" ht="15" customHeight="1">
      <c r="A506"/>
      <c r="B506"/>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row>
    <row r="507" spans="1:41" ht="15" customHeight="1">
      <c r="A507"/>
      <c r="B507"/>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row>
    <row r="508" spans="1:41" ht="15" customHeight="1">
      <c r="A508"/>
      <c r="B508"/>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row>
    <row r="509" spans="1:41" ht="15" customHeight="1">
      <c r="A509"/>
      <c r="B509"/>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row>
    <row r="510" spans="1:41" ht="15" customHeight="1">
      <c r="A510"/>
      <c r="B510"/>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row>
    <row r="511" spans="1:41" ht="15" customHeight="1">
      <c r="A511"/>
      <c r="B511"/>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row>
    <row r="512" spans="1:41" ht="15" customHeight="1">
      <c r="A512"/>
      <c r="B512"/>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row>
    <row r="513" spans="1:41" ht="15" customHeight="1">
      <c r="A513"/>
      <c r="B513"/>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row>
    <row r="514" spans="1:41" ht="15" customHeight="1">
      <c r="A514"/>
      <c r="B514"/>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row>
    <row r="515" spans="1:41" ht="15" customHeight="1">
      <c r="A515"/>
      <c r="B51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row>
    <row r="516" spans="1:41" ht="15" customHeight="1">
      <c r="A516"/>
      <c r="B516"/>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row>
    <row r="517" spans="1:41" ht="15" customHeight="1">
      <c r="A517"/>
      <c r="B517"/>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row>
    <row r="518" spans="1:41" ht="15" customHeight="1">
      <c r="A518"/>
      <c r="B518"/>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row>
    <row r="519" spans="1:41" ht="15" customHeight="1">
      <c r="A519"/>
      <c r="B519"/>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row>
    <row r="520" spans="1:41" ht="15" customHeight="1">
      <c r="A520"/>
      <c r="B520"/>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row>
    <row r="521" spans="1:41" ht="15" customHeight="1">
      <c r="A521"/>
      <c r="B521"/>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row>
    <row r="522" spans="3:41" ht="15">
      <c r="C522" s="101"/>
      <c r="D522" s="101"/>
      <c r="E522" s="101"/>
      <c r="F522" s="101"/>
      <c r="G522" s="101"/>
      <c r="H522" s="101"/>
      <c r="I522" s="101"/>
      <c r="J522" s="101"/>
      <c r="K522" s="101"/>
      <c r="L522" s="101"/>
      <c r="M522" s="101"/>
      <c r="S522" s="101"/>
      <c r="T522" s="101"/>
      <c r="U522" s="101"/>
      <c r="W522" s="101"/>
      <c r="X522" s="101"/>
      <c r="Y522" s="101"/>
      <c r="Z522" s="101"/>
      <c r="AA522" s="101"/>
      <c r="AB522" s="101"/>
      <c r="AC522" s="101"/>
      <c r="AD522" s="101"/>
      <c r="AE522" s="101"/>
      <c r="AF522" s="101"/>
      <c r="AG522" s="101"/>
      <c r="AH522" s="101"/>
      <c r="AI522" s="101"/>
      <c r="AJ522" s="101"/>
      <c r="AK522" s="101"/>
      <c r="AL522" s="101"/>
      <c r="AM522" s="101"/>
      <c r="AN522" s="101"/>
      <c r="AO522" s="101"/>
    </row>
    <row r="523" spans="3:41" ht="15">
      <c r="C523" s="101"/>
      <c r="D523" s="101"/>
      <c r="E523" s="101"/>
      <c r="F523" s="101"/>
      <c r="G523" s="101"/>
      <c r="H523" s="101"/>
      <c r="I523" s="101"/>
      <c r="J523" s="101"/>
      <c r="K523" s="101"/>
      <c r="L523" s="101"/>
      <c r="M523" s="101"/>
      <c r="S523" s="101"/>
      <c r="T523" s="101"/>
      <c r="U523" s="101"/>
      <c r="W523" s="101"/>
      <c r="X523" s="101"/>
      <c r="Y523" s="101"/>
      <c r="Z523" s="101"/>
      <c r="AA523" s="101"/>
      <c r="AB523" s="101"/>
      <c r="AC523" s="101"/>
      <c r="AD523" s="101"/>
      <c r="AE523" s="101"/>
      <c r="AF523" s="101"/>
      <c r="AG523" s="101"/>
      <c r="AH523" s="101"/>
      <c r="AI523" s="101"/>
      <c r="AJ523" s="101"/>
      <c r="AK523" s="101"/>
      <c r="AL523" s="101"/>
      <c r="AM523" s="101"/>
      <c r="AN523" s="101"/>
      <c r="AO523" s="101"/>
    </row>
    <row r="524" spans="3:41" ht="15">
      <c r="C524" s="101"/>
      <c r="D524" s="101"/>
      <c r="E524" s="101"/>
      <c r="F524" s="101"/>
      <c r="G524" s="101"/>
      <c r="H524" s="101"/>
      <c r="I524" s="101"/>
      <c r="J524" s="101"/>
      <c r="K524" s="101"/>
      <c r="L524" s="101"/>
      <c r="M524" s="101"/>
      <c r="S524" s="101"/>
      <c r="T524" s="101"/>
      <c r="U524" s="101"/>
      <c r="W524" s="101"/>
      <c r="X524" s="101"/>
      <c r="Y524" s="101"/>
      <c r="Z524" s="101"/>
      <c r="AA524" s="101"/>
      <c r="AB524" s="101"/>
      <c r="AC524" s="101"/>
      <c r="AD524" s="101"/>
      <c r="AE524" s="101"/>
      <c r="AF524" s="101"/>
      <c r="AG524" s="101"/>
      <c r="AH524" s="101"/>
      <c r="AI524" s="101"/>
      <c r="AJ524" s="101"/>
      <c r="AK524" s="101"/>
      <c r="AL524" s="101"/>
      <c r="AM524" s="101"/>
      <c r="AN524" s="101"/>
      <c r="AO524" s="101"/>
    </row>
    <row r="525" spans="3:41" ht="15">
      <c r="C525" s="101"/>
      <c r="D525" s="101"/>
      <c r="E525" s="101"/>
      <c r="F525" s="101"/>
      <c r="G525" s="101"/>
      <c r="H525" s="101"/>
      <c r="I525" s="101"/>
      <c r="J525" s="101"/>
      <c r="K525" s="101"/>
      <c r="L525" s="101"/>
      <c r="M525" s="101"/>
      <c r="S525" s="101"/>
      <c r="T525" s="101"/>
      <c r="U525" s="101"/>
      <c r="W525" s="101"/>
      <c r="X525" s="101"/>
      <c r="Y525" s="101"/>
      <c r="Z525" s="101"/>
      <c r="AA525" s="101"/>
      <c r="AB525" s="101"/>
      <c r="AC525" s="101"/>
      <c r="AD525" s="101"/>
      <c r="AE525" s="101"/>
      <c r="AF525" s="101"/>
      <c r="AG525" s="101"/>
      <c r="AH525" s="101"/>
      <c r="AI525" s="101"/>
      <c r="AJ525" s="101"/>
      <c r="AK525" s="101"/>
      <c r="AL525" s="101"/>
      <c r="AM525" s="101"/>
      <c r="AN525" s="101"/>
      <c r="AO525" s="101"/>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AU28"/>
  <sheetViews>
    <sheetView workbookViewId="0" topLeftCell="A1">
      <selection activeCell="A13" sqref="A13:IV13"/>
    </sheetView>
  </sheetViews>
  <sheetFormatPr defaultColWidth="9.140625" defaultRowHeight="12.75"/>
  <cols>
    <col min="1" max="1" width="41.421875" style="0" customWidth="1"/>
    <col min="2" max="2" width="9.421875" style="0" customWidth="1"/>
    <col min="3" max="3" width="9.8515625" style="0" customWidth="1"/>
    <col min="4" max="5" width="8.00390625" style="0" customWidth="1"/>
    <col min="6" max="6" width="8.28125" style="0" customWidth="1"/>
    <col min="7" max="8" width="8.57421875" style="0" customWidth="1"/>
    <col min="9" max="9" width="9.421875" style="0" customWidth="1"/>
    <col min="10" max="10" width="9.8515625" style="0" customWidth="1"/>
    <col min="11" max="11" width="12.8515625" style="0" customWidth="1"/>
    <col min="13" max="13" width="13.421875" style="0" customWidth="1"/>
    <col min="17" max="17" width="8.57421875" style="0" customWidth="1"/>
    <col min="31" max="31" width="38.140625" style="0" customWidth="1"/>
    <col min="32" max="32" width="38.8515625" style="0" customWidth="1"/>
  </cols>
  <sheetData>
    <row r="1" spans="1:4" ht="12.75">
      <c r="A1" s="114" t="s">
        <v>443</v>
      </c>
      <c r="C1" s="115"/>
      <c r="D1" t="s">
        <v>179</v>
      </c>
    </row>
    <row r="2" spans="1:4" ht="12.75">
      <c r="A2" t="s">
        <v>180</v>
      </c>
      <c r="C2" s="116"/>
      <c r="D2" t="s">
        <v>181</v>
      </c>
    </row>
    <row r="3" spans="3:4" ht="12.75">
      <c r="C3" s="117"/>
      <c r="D3" t="s">
        <v>182</v>
      </c>
    </row>
    <row r="4" ht="13.5" thickBot="1"/>
    <row r="5" spans="13:20" ht="13.5" thickBot="1">
      <c r="M5" s="118" t="s">
        <v>183</v>
      </c>
      <c r="N5" s="119"/>
      <c r="O5" s="119"/>
      <c r="P5" s="119"/>
      <c r="Q5" s="119"/>
      <c r="R5" s="119"/>
      <c r="S5" s="119"/>
      <c r="T5" s="120"/>
    </row>
    <row r="6" spans="2:46" s="5" customFormat="1" ht="51.75" thickBot="1">
      <c r="B6" s="121" t="s">
        <v>184</v>
      </c>
      <c r="C6" s="121" t="s">
        <v>185</v>
      </c>
      <c r="D6" s="122" t="s">
        <v>186</v>
      </c>
      <c r="E6" s="122" t="s">
        <v>187</v>
      </c>
      <c r="F6" s="123" t="s">
        <v>188</v>
      </c>
      <c r="G6" s="123" t="s">
        <v>189</v>
      </c>
      <c r="H6" s="123" t="s">
        <v>189</v>
      </c>
      <c r="I6" s="124" t="s">
        <v>190</v>
      </c>
      <c r="J6" s="123" t="s">
        <v>191</v>
      </c>
      <c r="K6" s="123" t="s">
        <v>192</v>
      </c>
      <c r="M6" s="125" t="s">
        <v>193</v>
      </c>
      <c r="N6" s="126" t="s">
        <v>194</v>
      </c>
      <c r="O6" s="126" t="s">
        <v>195</v>
      </c>
      <c r="P6" s="126" t="s">
        <v>196</v>
      </c>
      <c r="Q6" s="127" t="s">
        <v>197</v>
      </c>
      <c r="R6" s="420" t="s">
        <v>198</v>
      </c>
      <c r="S6" s="421"/>
      <c r="T6" s="422"/>
      <c r="AG6"/>
      <c r="AH6"/>
      <c r="AI6"/>
      <c r="AJ6"/>
      <c r="AK6"/>
      <c r="AL6"/>
      <c r="AM6"/>
      <c r="AN6"/>
      <c r="AO6"/>
      <c r="AP6"/>
      <c r="AQ6"/>
      <c r="AR6"/>
      <c r="AS6"/>
      <c r="AT6"/>
    </row>
    <row r="7" spans="1:46" s="5" customFormat="1" ht="13.5" thickBot="1">
      <c r="A7" s="5" t="s">
        <v>23</v>
      </c>
      <c r="B7" s="128">
        <f>Q7</f>
        <v>0.31618664318953593</v>
      </c>
      <c r="C7" s="128">
        <f>Q8</f>
        <v>0.12287762545591749</v>
      </c>
      <c r="D7" s="129">
        <f>Q9</f>
        <v>0.3310275437051943</v>
      </c>
      <c r="E7" s="129">
        <f>Q10</f>
        <v>0.22990818764935228</v>
      </c>
      <c r="F7" s="130">
        <v>0.05</v>
      </c>
      <c r="G7" s="130">
        <v>0.15</v>
      </c>
      <c r="H7" s="130">
        <v>0.8</v>
      </c>
      <c r="I7" s="130">
        <v>0.7</v>
      </c>
      <c r="J7" s="130">
        <v>0.3</v>
      </c>
      <c r="K7" s="130">
        <f>SUM(I7:J7)</f>
        <v>1</v>
      </c>
      <c r="M7" s="131">
        <v>60</v>
      </c>
      <c r="N7" s="132">
        <v>13</v>
      </c>
      <c r="O7" s="132">
        <f>M7-N7</f>
        <v>47</v>
      </c>
      <c r="P7" s="132">
        <v>15084</v>
      </c>
      <c r="Q7" s="133">
        <f>P7/P$11</f>
        <v>0.31618664318953593</v>
      </c>
      <c r="R7" s="16"/>
      <c r="S7" s="134" t="s">
        <v>199</v>
      </c>
      <c r="T7" s="135">
        <f>SUMPRODUCT(O7:O10,Q7:Q10)</f>
        <v>73.61879008929695</v>
      </c>
      <c r="AG7"/>
      <c r="AH7"/>
      <c r="AI7"/>
      <c r="AJ7"/>
      <c r="AK7"/>
      <c r="AL7"/>
      <c r="AM7"/>
      <c r="AN7"/>
      <c r="AO7"/>
      <c r="AP7"/>
      <c r="AQ7"/>
      <c r="AR7"/>
      <c r="AS7"/>
      <c r="AT7"/>
    </row>
    <row r="8" spans="1:46" s="5" customFormat="1" ht="12.75">
      <c r="A8" s="5" t="s">
        <v>200</v>
      </c>
      <c r="B8" s="136">
        <v>60</v>
      </c>
      <c r="C8" s="136">
        <v>75</v>
      </c>
      <c r="D8" s="137">
        <v>75</v>
      </c>
      <c r="E8" s="137">
        <v>100</v>
      </c>
      <c r="F8" s="138">
        <v>75</v>
      </c>
      <c r="G8" s="138">
        <v>100</v>
      </c>
      <c r="H8" s="138">
        <v>150</v>
      </c>
      <c r="I8" s="139">
        <f aca="true" t="shared" si="0" ref="I8:I23">SUMPRODUCT(B$7:E$7,B8:E8)</f>
        <v>76.00490504339078</v>
      </c>
      <c r="J8" s="139">
        <f aca="true" t="shared" si="1" ref="J8:J23">SUMPRODUCT(F$7:H$7,F8:H8)</f>
        <v>138.75</v>
      </c>
      <c r="K8" s="139">
        <f aca="true" t="shared" si="2" ref="K8:K23">SUMPRODUCT(I$7:J$7,I8:J8)</f>
        <v>94.82843353037354</v>
      </c>
      <c r="L8" s="140"/>
      <c r="M8" s="131">
        <v>75</v>
      </c>
      <c r="N8" s="132">
        <v>18</v>
      </c>
      <c r="O8" s="132">
        <f>M8-N8</f>
        <v>57</v>
      </c>
      <c r="P8" s="132">
        <v>5862</v>
      </c>
      <c r="Q8" s="133">
        <f>P8/P$11</f>
        <v>0.12287762545591749</v>
      </c>
      <c r="R8" s="16"/>
      <c r="S8" s="141"/>
      <c r="T8" s="142"/>
      <c r="AG8"/>
      <c r="AH8"/>
      <c r="AI8"/>
      <c r="AJ8"/>
      <c r="AK8"/>
      <c r="AL8"/>
      <c r="AM8"/>
      <c r="AN8"/>
      <c r="AO8"/>
      <c r="AP8"/>
      <c r="AQ8"/>
      <c r="AR8"/>
      <c r="AS8"/>
      <c r="AT8"/>
    </row>
    <row r="9" spans="1:46" s="5" customFormat="1" ht="12.75">
      <c r="A9" s="5" t="s">
        <v>201</v>
      </c>
      <c r="B9" s="136">
        <v>15</v>
      </c>
      <c r="C9" s="136">
        <v>20</v>
      </c>
      <c r="D9" s="137">
        <v>23</v>
      </c>
      <c r="E9" s="137">
        <v>26</v>
      </c>
      <c r="F9" s="138">
        <v>23</v>
      </c>
      <c r="G9" s="138">
        <v>26</v>
      </c>
      <c r="H9" s="138">
        <v>26</v>
      </c>
      <c r="I9" s="139">
        <f t="shared" si="0"/>
        <v>20.79159854106402</v>
      </c>
      <c r="J9" s="139">
        <f t="shared" si="1"/>
        <v>25.85</v>
      </c>
      <c r="K9" s="139">
        <f t="shared" si="2"/>
        <v>22.309118978744813</v>
      </c>
      <c r="L9" s="140"/>
      <c r="M9" s="131">
        <v>100</v>
      </c>
      <c r="N9" s="132">
        <v>27</v>
      </c>
      <c r="O9" s="132">
        <f>M9-N9</f>
        <v>73</v>
      </c>
      <c r="P9" s="132">
        <v>15792</v>
      </c>
      <c r="Q9" s="133">
        <f>P9/P$11</f>
        <v>0.3310275437051943</v>
      </c>
      <c r="R9" s="16"/>
      <c r="S9" s="143"/>
      <c r="T9" s="144"/>
      <c r="AG9"/>
      <c r="AH9"/>
      <c r="AI9"/>
      <c r="AJ9"/>
      <c r="AK9"/>
      <c r="AL9"/>
      <c r="AM9"/>
      <c r="AN9"/>
      <c r="AO9"/>
      <c r="AP9"/>
      <c r="AQ9"/>
      <c r="AR9"/>
      <c r="AS9"/>
      <c r="AT9"/>
    </row>
    <row r="10" spans="1:46" s="5" customFormat="1" ht="12.75">
      <c r="A10" s="5" t="s">
        <v>195</v>
      </c>
      <c r="B10" s="136">
        <f aca="true" t="shared" si="3" ref="B10:H10">B8-B9</f>
        <v>45</v>
      </c>
      <c r="C10" s="136">
        <f t="shared" si="3"/>
        <v>55</v>
      </c>
      <c r="D10" s="136">
        <f t="shared" si="3"/>
        <v>52</v>
      </c>
      <c r="E10" s="136">
        <f t="shared" si="3"/>
        <v>74</v>
      </c>
      <c r="F10" s="136">
        <f t="shared" si="3"/>
        <v>52</v>
      </c>
      <c r="G10" s="136">
        <f t="shared" si="3"/>
        <v>74</v>
      </c>
      <c r="H10" s="136">
        <f t="shared" si="3"/>
        <v>124</v>
      </c>
      <c r="I10" s="145">
        <f t="shared" si="0"/>
        <v>55.21330650232675</v>
      </c>
      <c r="J10" s="145">
        <f t="shared" si="1"/>
        <v>112.9</v>
      </c>
      <c r="K10" s="139">
        <f t="shared" si="2"/>
        <v>72.51931455162872</v>
      </c>
      <c r="L10" s="140"/>
      <c r="M10" s="131">
        <v>150</v>
      </c>
      <c r="N10" s="132">
        <v>30</v>
      </c>
      <c r="O10" s="132">
        <f>M10-N10</f>
        <v>120</v>
      </c>
      <c r="P10" s="132">
        <v>10968</v>
      </c>
      <c r="Q10" s="133">
        <f>P10/P$11</f>
        <v>0.22990818764935228</v>
      </c>
      <c r="R10" s="16"/>
      <c r="S10" s="4"/>
      <c r="T10" s="146"/>
      <c r="AG10"/>
      <c r="AH10"/>
      <c r="AI10"/>
      <c r="AJ10"/>
      <c r="AK10"/>
      <c r="AL10"/>
      <c r="AM10"/>
      <c r="AN10"/>
      <c r="AO10"/>
      <c r="AP10"/>
      <c r="AQ10"/>
      <c r="AR10"/>
      <c r="AS10"/>
      <c r="AT10"/>
    </row>
    <row r="11" spans="1:46" s="5" customFormat="1" ht="12.75">
      <c r="A11" s="5" t="s">
        <v>202</v>
      </c>
      <c r="B11" s="136">
        <v>3</v>
      </c>
      <c r="C11" s="136">
        <v>3</v>
      </c>
      <c r="D11" s="137">
        <v>3</v>
      </c>
      <c r="E11" s="137">
        <v>3</v>
      </c>
      <c r="F11" s="138">
        <v>5</v>
      </c>
      <c r="G11" s="138">
        <v>5</v>
      </c>
      <c r="H11" s="138">
        <v>5</v>
      </c>
      <c r="I11" s="138">
        <f t="shared" si="0"/>
        <v>3</v>
      </c>
      <c r="J11" s="138">
        <f t="shared" si="1"/>
        <v>5</v>
      </c>
      <c r="K11" s="147">
        <f t="shared" si="2"/>
        <v>3.5999999999999996</v>
      </c>
      <c r="L11" s="140"/>
      <c r="M11" s="148" t="s">
        <v>203</v>
      </c>
      <c r="N11" s="143"/>
      <c r="O11" s="143"/>
      <c r="P11" s="143">
        <f>SUM(P7:P10)</f>
        <v>47706</v>
      </c>
      <c r="Q11" s="149">
        <f>SUM(Q7:Q10)</f>
        <v>1</v>
      </c>
      <c r="R11" s="16"/>
      <c r="S11" s="16"/>
      <c r="T11" s="142"/>
      <c r="AG11"/>
      <c r="AH11"/>
      <c r="AI11"/>
      <c r="AJ11"/>
      <c r="AK11"/>
      <c r="AL11"/>
      <c r="AM11"/>
      <c r="AN11"/>
      <c r="AO11"/>
      <c r="AP11"/>
      <c r="AQ11"/>
      <c r="AR11"/>
      <c r="AS11"/>
      <c r="AT11"/>
    </row>
    <row r="12" spans="1:46" s="5" customFormat="1" ht="12.75">
      <c r="A12" s="5" t="s">
        <v>204</v>
      </c>
      <c r="B12" s="150">
        <v>8000</v>
      </c>
      <c r="C12" s="150">
        <v>8000</v>
      </c>
      <c r="D12" s="151">
        <v>8000</v>
      </c>
      <c r="E12" s="151">
        <v>8000</v>
      </c>
      <c r="F12" s="152">
        <v>10000</v>
      </c>
      <c r="G12" s="152">
        <v>10000</v>
      </c>
      <c r="H12" s="152">
        <v>10000</v>
      </c>
      <c r="I12" s="152">
        <f t="shared" si="0"/>
        <v>8000</v>
      </c>
      <c r="J12" s="152">
        <f t="shared" si="1"/>
        <v>10000</v>
      </c>
      <c r="K12" s="152">
        <f t="shared" si="2"/>
        <v>8600</v>
      </c>
      <c r="L12" s="140"/>
      <c r="M12" s="153" t="s">
        <v>205</v>
      </c>
      <c r="N12" s="4"/>
      <c r="O12" s="4"/>
      <c r="P12" s="4"/>
      <c r="Q12" s="4"/>
      <c r="R12" s="4"/>
      <c r="S12" s="4"/>
      <c r="T12" s="146"/>
      <c r="AG12"/>
      <c r="AH12"/>
      <c r="AI12"/>
      <c r="AJ12"/>
      <c r="AK12"/>
      <c r="AL12"/>
      <c r="AM12"/>
      <c r="AN12"/>
      <c r="AO12"/>
      <c r="AP12"/>
      <c r="AQ12"/>
      <c r="AR12"/>
      <c r="AS12"/>
      <c r="AT12"/>
    </row>
    <row r="13" spans="1:46" s="5" customFormat="1" ht="13.5" thickBot="1">
      <c r="A13" s="5" t="s">
        <v>206</v>
      </c>
      <c r="B13" s="157">
        <f>B12/(B11*365)</f>
        <v>7.30593607305936</v>
      </c>
      <c r="C13" s="157">
        <f aca="true" t="shared" si="4" ref="C13:K13">C12/(C11*365)</f>
        <v>7.30593607305936</v>
      </c>
      <c r="D13" s="157">
        <f t="shared" si="4"/>
        <v>7.30593607305936</v>
      </c>
      <c r="E13" s="157">
        <f t="shared" si="4"/>
        <v>7.30593607305936</v>
      </c>
      <c r="F13" s="157">
        <f t="shared" si="4"/>
        <v>5.47945205479452</v>
      </c>
      <c r="G13" s="157">
        <f t="shared" si="4"/>
        <v>5.47945205479452</v>
      </c>
      <c r="H13" s="157">
        <f t="shared" si="4"/>
        <v>5.47945205479452</v>
      </c>
      <c r="I13" s="157">
        <f t="shared" si="4"/>
        <v>7.30593607305936</v>
      </c>
      <c r="J13" s="157">
        <f t="shared" si="4"/>
        <v>5.47945205479452</v>
      </c>
      <c r="K13" s="157">
        <f t="shared" si="4"/>
        <v>6.544901065449012</v>
      </c>
      <c r="L13" s="140"/>
      <c r="M13" s="158" t="s">
        <v>207</v>
      </c>
      <c r="N13" s="159"/>
      <c r="O13" s="159"/>
      <c r="P13" s="159"/>
      <c r="Q13" s="159"/>
      <c r="R13" s="159"/>
      <c r="S13" s="159"/>
      <c r="T13" s="160"/>
      <c r="AG13"/>
      <c r="AH13"/>
      <c r="AI13"/>
      <c r="AJ13"/>
      <c r="AK13"/>
      <c r="AL13"/>
      <c r="AM13"/>
      <c r="AN13"/>
      <c r="AO13"/>
      <c r="AP13"/>
      <c r="AQ13"/>
      <c r="AR13"/>
      <c r="AS13"/>
      <c r="AT13"/>
    </row>
    <row r="14" spans="1:47" s="5" customFormat="1" ht="12.75">
      <c r="A14" s="5" t="s">
        <v>208</v>
      </c>
      <c r="B14" s="161">
        <f>'CFL Data'!C20</f>
        <v>5.75</v>
      </c>
      <c r="C14" s="162">
        <f>'CFL Data'!C21</f>
        <v>6</v>
      </c>
      <c r="D14" s="163">
        <f>'CFL Data'!C23</f>
        <v>6.5</v>
      </c>
      <c r="E14" s="163">
        <f>'[1]CFL Data'!C23</f>
        <v>6.5</v>
      </c>
      <c r="F14" s="164">
        <f>'[1]CFL Data'!C23</f>
        <v>6.5</v>
      </c>
      <c r="G14" s="164">
        <f>'[1]CFL Data'!C22</f>
        <v>6.3</v>
      </c>
      <c r="H14" s="164">
        <f>'[1]CFL Data'!C22</f>
        <v>6.3</v>
      </c>
      <c r="I14" s="164">
        <f t="shared" si="0"/>
        <v>6.201421204879889</v>
      </c>
      <c r="J14" s="164">
        <f t="shared" si="1"/>
        <v>6.3100000000000005</v>
      </c>
      <c r="K14" s="164">
        <f t="shared" si="2"/>
        <v>6.233994843415922</v>
      </c>
      <c r="L14"/>
      <c r="M14"/>
      <c r="N14"/>
      <c r="O14"/>
      <c r="P14"/>
      <c r="Q14"/>
      <c r="R14"/>
      <c r="S14"/>
      <c r="T14"/>
      <c r="U14"/>
      <c r="V14"/>
      <c r="W14"/>
      <c r="X14"/>
      <c r="Y14"/>
      <c r="Z14"/>
      <c r="AA14"/>
      <c r="AB14"/>
      <c r="AC14"/>
      <c r="AD14"/>
      <c r="AE14"/>
      <c r="AF14"/>
      <c r="AG14"/>
      <c r="AH14"/>
      <c r="AI14"/>
      <c r="AJ14"/>
      <c r="AK14"/>
      <c r="AL14"/>
      <c r="AM14"/>
      <c r="AN14"/>
      <c r="AO14"/>
      <c r="AP14"/>
      <c r="AQ14"/>
      <c r="AR14"/>
      <c r="AS14"/>
      <c r="AT14"/>
      <c r="AU14"/>
    </row>
    <row r="15" spans="1:47" s="5" customFormat="1" ht="12" customHeight="1">
      <c r="A15" s="5" t="s">
        <v>209</v>
      </c>
      <c r="B15" s="165">
        <f aca="true" t="shared" si="5" ref="B15:H15">+B14-B19</f>
        <v>5.25</v>
      </c>
      <c r="C15" s="165">
        <f t="shared" si="5"/>
        <v>5.5</v>
      </c>
      <c r="D15" s="166">
        <f t="shared" si="5"/>
        <v>6</v>
      </c>
      <c r="E15" s="166">
        <f t="shared" si="5"/>
        <v>6</v>
      </c>
      <c r="F15" s="167">
        <f t="shared" si="5"/>
        <v>6</v>
      </c>
      <c r="G15" s="167">
        <f t="shared" si="5"/>
        <v>5.8</v>
      </c>
      <c r="H15" s="167">
        <f t="shared" si="5"/>
        <v>5.8</v>
      </c>
      <c r="I15" s="167">
        <f t="shared" si="0"/>
        <v>5.701421204879889</v>
      </c>
      <c r="J15" s="167">
        <f t="shared" si="1"/>
        <v>5.81</v>
      </c>
      <c r="K15" s="167">
        <f t="shared" si="2"/>
        <v>5.733994843415922</v>
      </c>
      <c r="L15"/>
      <c r="M15"/>
      <c r="N15"/>
      <c r="O15"/>
      <c r="P15"/>
      <c r="Q15"/>
      <c r="R15"/>
      <c r="S15"/>
      <c r="T15"/>
      <c r="U15"/>
      <c r="V15"/>
      <c r="W15"/>
      <c r="X15"/>
      <c r="Y15"/>
      <c r="Z15"/>
      <c r="AA15"/>
      <c r="AB15"/>
      <c r="AC15"/>
      <c r="AD15"/>
      <c r="AE15"/>
      <c r="AF15"/>
      <c r="AG15"/>
      <c r="AH15"/>
      <c r="AI15"/>
      <c r="AJ15"/>
      <c r="AK15"/>
      <c r="AL15"/>
      <c r="AM15"/>
      <c r="AN15"/>
      <c r="AO15"/>
      <c r="AP15"/>
      <c r="AQ15"/>
      <c r="AR15"/>
      <c r="AS15"/>
      <c r="AT15"/>
      <c r="AU15"/>
    </row>
    <row r="16" spans="1:47" s="5" customFormat="1" ht="12.75">
      <c r="A16" s="5" t="s">
        <v>210</v>
      </c>
      <c r="B16" s="168">
        <v>0.12</v>
      </c>
      <c r="C16" s="168">
        <v>0.12</v>
      </c>
      <c r="D16" s="169">
        <v>0.12</v>
      </c>
      <c r="E16" s="169">
        <v>0.12</v>
      </c>
      <c r="F16" s="170">
        <v>0.12</v>
      </c>
      <c r="G16" s="170">
        <v>0.12</v>
      </c>
      <c r="H16" s="170">
        <v>0.12</v>
      </c>
      <c r="I16" s="170">
        <f t="shared" si="0"/>
        <v>0.12</v>
      </c>
      <c r="J16" s="170">
        <f t="shared" si="1"/>
        <v>0.12</v>
      </c>
      <c r="K16" s="170">
        <f t="shared" si="2"/>
        <v>0.12</v>
      </c>
      <c r="L16"/>
      <c r="M16"/>
      <c r="N16"/>
      <c r="O16"/>
      <c r="P16"/>
      <c r="Q16"/>
      <c r="R16"/>
      <c r="S16"/>
      <c r="T16"/>
      <c r="U16"/>
      <c r="V16"/>
      <c r="W16"/>
      <c r="X16"/>
      <c r="Y16"/>
      <c r="Z16"/>
      <c r="AA16"/>
      <c r="AB16"/>
      <c r="AC16"/>
      <c r="AD16"/>
      <c r="AE16"/>
      <c r="AF16"/>
      <c r="AG16"/>
      <c r="AH16"/>
      <c r="AI16"/>
      <c r="AJ16"/>
      <c r="AK16"/>
      <c r="AL16"/>
      <c r="AM16"/>
      <c r="AN16"/>
      <c r="AO16"/>
      <c r="AP16"/>
      <c r="AQ16"/>
      <c r="AR16"/>
      <c r="AS16"/>
      <c r="AT16"/>
      <c r="AU16"/>
    </row>
    <row r="17" spans="1:47" s="5" customFormat="1" ht="12.75">
      <c r="A17" s="5" t="s">
        <v>211</v>
      </c>
      <c r="B17" s="168">
        <v>0.05</v>
      </c>
      <c r="C17" s="168">
        <v>0.05</v>
      </c>
      <c r="D17" s="169">
        <v>0.05</v>
      </c>
      <c r="E17" s="169">
        <v>0.05</v>
      </c>
      <c r="F17" s="170">
        <v>0.2</v>
      </c>
      <c r="G17" s="170">
        <v>0.2</v>
      </c>
      <c r="H17" s="170">
        <v>0.2</v>
      </c>
      <c r="I17" s="170">
        <f t="shared" si="0"/>
        <v>0.05</v>
      </c>
      <c r="J17" s="170">
        <f t="shared" si="1"/>
        <v>0.20000000000000004</v>
      </c>
      <c r="K17" s="170">
        <f t="shared" si="2"/>
        <v>0.095</v>
      </c>
      <c r="L17"/>
      <c r="M17"/>
      <c r="N17"/>
      <c r="O17"/>
      <c r="P17"/>
      <c r="Q17"/>
      <c r="R17"/>
      <c r="S17"/>
      <c r="T17"/>
      <c r="U17"/>
      <c r="V17"/>
      <c r="W17"/>
      <c r="X17"/>
      <c r="Y17"/>
      <c r="Z17"/>
      <c r="AA17"/>
      <c r="AB17"/>
      <c r="AC17"/>
      <c r="AD17"/>
      <c r="AE17"/>
      <c r="AF17"/>
      <c r="AG17"/>
      <c r="AH17"/>
      <c r="AI17"/>
      <c r="AJ17"/>
      <c r="AK17"/>
      <c r="AL17"/>
      <c r="AM17"/>
      <c r="AN17"/>
      <c r="AO17"/>
      <c r="AP17"/>
      <c r="AQ17"/>
      <c r="AR17"/>
      <c r="AS17"/>
      <c r="AT17"/>
      <c r="AU17"/>
    </row>
    <row r="18" spans="1:47" s="5" customFormat="1" ht="12.75">
      <c r="A18" s="5" t="s">
        <v>212</v>
      </c>
      <c r="B18" s="168">
        <f>'Space Conditioning Interaction'!$B$27</f>
        <v>0.11311408490416483</v>
      </c>
      <c r="C18" s="168">
        <f>'Space Conditioning Interaction'!$B$27</f>
        <v>0.11311408490416483</v>
      </c>
      <c r="D18" s="168">
        <f>'Space Conditioning Interaction'!$B$27</f>
        <v>0.11311408490416483</v>
      </c>
      <c r="E18" s="169">
        <v>0.22</v>
      </c>
      <c r="F18" s="168">
        <f>'[1]Space Conditioning Interaction'!$C27</f>
        <v>0</v>
      </c>
      <c r="G18" s="168">
        <f>'[1]Space Conditioning Interaction'!$C27</f>
        <v>0</v>
      </c>
      <c r="H18" s="168">
        <f>'[1]Space Conditioning Interaction'!$C27</f>
        <v>0</v>
      </c>
      <c r="I18" s="168">
        <f t="shared" si="0"/>
        <v>0.13768803192909082</v>
      </c>
      <c r="J18" s="168">
        <f t="shared" si="1"/>
        <v>0</v>
      </c>
      <c r="K18" s="170">
        <f t="shared" si="2"/>
        <v>0.09638162235036357</v>
      </c>
      <c r="L18"/>
      <c r="M18"/>
      <c r="N18"/>
      <c r="O18"/>
      <c r="P18"/>
      <c r="Q18"/>
      <c r="R18"/>
      <c r="S18"/>
      <c r="T18"/>
      <c r="U18"/>
      <c r="V18"/>
      <c r="W18"/>
      <c r="X18"/>
      <c r="Y18"/>
      <c r="Z18"/>
      <c r="AA18"/>
      <c r="AB18"/>
      <c r="AC18"/>
      <c r="AD18"/>
      <c r="AE18"/>
      <c r="AF18"/>
      <c r="AG18"/>
      <c r="AH18"/>
      <c r="AI18"/>
      <c r="AJ18"/>
      <c r="AK18"/>
      <c r="AL18"/>
      <c r="AM18"/>
      <c r="AN18"/>
      <c r="AO18"/>
      <c r="AP18"/>
      <c r="AQ18"/>
      <c r="AR18"/>
      <c r="AS18"/>
      <c r="AT18"/>
      <c r="AU18"/>
    </row>
    <row r="19" spans="1:47" s="5" customFormat="1" ht="12.75">
      <c r="A19" s="5" t="s">
        <v>213</v>
      </c>
      <c r="B19" s="161">
        <v>0.5</v>
      </c>
      <c r="C19" s="161">
        <v>0.5</v>
      </c>
      <c r="D19" s="171">
        <v>0.5</v>
      </c>
      <c r="E19" s="171">
        <v>0.5</v>
      </c>
      <c r="F19" s="164">
        <v>0.5</v>
      </c>
      <c r="G19" s="164">
        <v>0.5</v>
      </c>
      <c r="H19" s="164">
        <v>0.5</v>
      </c>
      <c r="I19" s="164">
        <f t="shared" si="0"/>
        <v>0.5</v>
      </c>
      <c r="J19" s="164">
        <f t="shared" si="1"/>
        <v>0.5</v>
      </c>
      <c r="K19" s="164">
        <f t="shared" si="2"/>
        <v>0.5</v>
      </c>
      <c r="L19"/>
      <c r="M19"/>
      <c r="N19"/>
      <c r="O19"/>
      <c r="P19"/>
      <c r="Q19"/>
      <c r="R19"/>
      <c r="S19"/>
      <c r="T19"/>
      <c r="U19"/>
      <c r="V19"/>
      <c r="W19"/>
      <c r="X19"/>
      <c r="Y19"/>
      <c r="Z19"/>
      <c r="AA19"/>
      <c r="AB19"/>
      <c r="AC19"/>
      <c r="AD19"/>
      <c r="AE19"/>
      <c r="AF19"/>
      <c r="AG19"/>
      <c r="AH19"/>
      <c r="AI19"/>
      <c r="AJ19"/>
      <c r="AK19"/>
      <c r="AL19"/>
      <c r="AM19"/>
      <c r="AN19"/>
      <c r="AO19"/>
      <c r="AP19"/>
      <c r="AQ19"/>
      <c r="AR19"/>
      <c r="AS19"/>
      <c r="AT19"/>
      <c r="AU19"/>
    </row>
    <row r="20" spans="1:47" s="5" customFormat="1" ht="12.75">
      <c r="A20" s="5" t="s">
        <v>214</v>
      </c>
      <c r="B20" s="154">
        <f aca="true" t="shared" si="6" ref="B20:H20">B12/750</f>
        <v>10.666666666666666</v>
      </c>
      <c r="C20" s="154">
        <f t="shared" si="6"/>
        <v>10.666666666666666</v>
      </c>
      <c r="D20" s="155">
        <f t="shared" si="6"/>
        <v>10.666666666666666</v>
      </c>
      <c r="E20" s="155">
        <f t="shared" si="6"/>
        <v>10.666666666666666</v>
      </c>
      <c r="F20" s="156">
        <f t="shared" si="6"/>
        <v>13.333333333333334</v>
      </c>
      <c r="G20" s="156">
        <f t="shared" si="6"/>
        <v>13.333333333333334</v>
      </c>
      <c r="H20" s="156">
        <f t="shared" si="6"/>
        <v>13.333333333333334</v>
      </c>
      <c r="I20" s="156">
        <f t="shared" si="0"/>
        <v>10.666666666666664</v>
      </c>
      <c r="J20" s="156">
        <f t="shared" si="1"/>
        <v>13.333333333333336</v>
      </c>
      <c r="K20" s="156">
        <f t="shared" si="2"/>
        <v>11.466666666666665</v>
      </c>
      <c r="L20"/>
      <c r="M20"/>
      <c r="N20"/>
      <c r="O20"/>
      <c r="P20"/>
      <c r="Q20"/>
      <c r="R20"/>
      <c r="S20"/>
      <c r="T20"/>
      <c r="U20"/>
      <c r="V20"/>
      <c r="W20"/>
      <c r="X20"/>
      <c r="Y20"/>
      <c r="Z20"/>
      <c r="AA20"/>
      <c r="AB20"/>
      <c r="AC20"/>
      <c r="AD20"/>
      <c r="AE20"/>
      <c r="AF20"/>
      <c r="AG20"/>
      <c r="AH20"/>
      <c r="AI20"/>
      <c r="AJ20"/>
      <c r="AK20"/>
      <c r="AL20"/>
      <c r="AM20"/>
      <c r="AN20"/>
      <c r="AO20"/>
      <c r="AP20"/>
      <c r="AQ20"/>
      <c r="AR20"/>
      <c r="AS20"/>
      <c r="AT20"/>
      <c r="AU20"/>
    </row>
    <row r="21" spans="1:47" s="5" customFormat="1" ht="12.75">
      <c r="A21" s="5" t="s">
        <v>215</v>
      </c>
      <c r="B21" s="172">
        <f>B20*B19/(12*B13)</f>
        <v>0.060833333333333336</v>
      </c>
      <c r="C21" s="172">
        <f aca="true" t="shared" si="7" ref="C21:K21">C20*C19/(12*C13)</f>
        <v>0.060833333333333336</v>
      </c>
      <c r="D21" s="172">
        <f t="shared" si="7"/>
        <v>0.060833333333333336</v>
      </c>
      <c r="E21" s="172">
        <f t="shared" si="7"/>
        <v>0.060833333333333336</v>
      </c>
      <c r="F21" s="172">
        <f t="shared" si="7"/>
        <v>0.1013888888888889</v>
      </c>
      <c r="G21" s="172">
        <f t="shared" si="7"/>
        <v>0.1013888888888889</v>
      </c>
      <c r="H21" s="172">
        <f t="shared" si="7"/>
        <v>0.1013888888888889</v>
      </c>
      <c r="I21" s="172">
        <f t="shared" si="7"/>
        <v>0.06083333333333332</v>
      </c>
      <c r="J21" s="172">
        <f t="shared" si="7"/>
        <v>0.10138888888888892</v>
      </c>
      <c r="K21" s="172">
        <f t="shared" si="7"/>
        <v>0.07299999999999997</v>
      </c>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1:47" s="5" customFormat="1" ht="12.75">
      <c r="A22" s="5" t="s">
        <v>216</v>
      </c>
      <c r="B22" s="173">
        <f>(B11*365)*(B10/1000)*(1-B16)*(1-B104)</f>
        <v>43.362</v>
      </c>
      <c r="C22" s="173">
        <f>(C11*365)*(C10/1000)*(1-C16)*(1-C104)</f>
        <v>52.998000000000005</v>
      </c>
      <c r="D22" s="174">
        <f>(D11*365)*(D10/1000)*(1-D16)*(1-D104)</f>
        <v>50.1072</v>
      </c>
      <c r="E22" s="174">
        <f>(E11*365)*(E10/1000)*(1-E16)*(1-E104)</f>
        <v>71.3064</v>
      </c>
      <c r="F22" s="175">
        <f>(F11*365)*(F10/1000)*(1-F16)*(1-E104)</f>
        <v>83.51199999999999</v>
      </c>
      <c r="G22" s="175">
        <f>(G11*365)*(G10/1000)*(1-G16)*(1-F104)</f>
        <v>118.84399999999998</v>
      </c>
      <c r="H22" s="175">
        <f>(H11*365)*(H10/1000)*(1-H16)*(1-G104)</f>
        <v>199.144</v>
      </c>
      <c r="I22" s="175">
        <f t="shared" si="0"/>
        <v>53.20354214564206</v>
      </c>
      <c r="J22" s="175">
        <f t="shared" si="1"/>
        <v>181.3174</v>
      </c>
      <c r="K22" s="175">
        <f t="shared" si="2"/>
        <v>91.63769950194944</v>
      </c>
      <c r="L22"/>
      <c r="M22"/>
      <c r="N22"/>
      <c r="O22"/>
      <c r="P22"/>
      <c r="Q22"/>
      <c r="R22"/>
      <c r="S22"/>
      <c r="T22"/>
      <c r="U22"/>
      <c r="V22"/>
      <c r="W22"/>
      <c r="X22"/>
      <c r="Y22"/>
      <c r="Z22"/>
      <c r="AA22"/>
      <c r="AB22"/>
      <c r="AC22"/>
      <c r="AD22"/>
      <c r="AE22"/>
      <c r="AF22"/>
      <c r="AG22"/>
      <c r="AH22"/>
      <c r="AI22"/>
      <c r="AJ22"/>
      <c r="AK22"/>
      <c r="AL22"/>
      <c r="AM22"/>
      <c r="AN22"/>
      <c r="AO22"/>
      <c r="AP22"/>
      <c r="AQ22"/>
      <c r="AR22"/>
      <c r="AS22"/>
      <c r="AT22"/>
      <c r="AU22"/>
    </row>
    <row r="23" spans="1:11" ht="13.5" thickBot="1">
      <c r="A23" s="5" t="s">
        <v>217</v>
      </c>
      <c r="B23" s="176">
        <f aca="true" t="shared" si="8" ref="B23:H23">(B11*365)*(B10/1000)*(1-B16)*(1-B18)*(1-B17)</f>
        <v>36.53428969786633</v>
      </c>
      <c r="C23" s="176">
        <f t="shared" si="8"/>
        <v>44.65302074183662</v>
      </c>
      <c r="D23" s="177">
        <f t="shared" si="8"/>
        <v>42.21740142864553</v>
      </c>
      <c r="E23" s="177">
        <f t="shared" si="8"/>
        <v>52.8380424</v>
      </c>
      <c r="F23" s="178">
        <f t="shared" si="8"/>
        <v>66.80959999999999</v>
      </c>
      <c r="G23" s="178">
        <f t="shared" si="8"/>
        <v>95.0752</v>
      </c>
      <c r="H23" s="178">
        <f t="shared" si="8"/>
        <v>159.3152</v>
      </c>
      <c r="I23" s="178">
        <f t="shared" si="0"/>
        <v>43.16153284273744</v>
      </c>
      <c r="J23" s="178">
        <f t="shared" si="1"/>
        <v>145.05392</v>
      </c>
      <c r="K23" s="178">
        <f t="shared" si="2"/>
        <v>73.7292489899162</v>
      </c>
    </row>
    <row r="24" ht="13.5" thickBot="1">
      <c r="A24" s="179" t="s">
        <v>218</v>
      </c>
    </row>
    <row r="25" spans="1:11" ht="12.75">
      <c r="A25" s="90" t="s">
        <v>219</v>
      </c>
      <c r="B25" s="180">
        <f aca="true" t="shared" si="9" ref="B25:G26">B19</f>
        <v>0.5</v>
      </c>
      <c r="C25" s="180">
        <f t="shared" si="9"/>
        <v>0.5</v>
      </c>
      <c r="D25" s="180">
        <f t="shared" si="9"/>
        <v>0.5</v>
      </c>
      <c r="E25" s="180">
        <f t="shared" si="9"/>
        <v>0.5</v>
      </c>
      <c r="F25" s="180">
        <f t="shared" si="9"/>
        <v>0.5</v>
      </c>
      <c r="G25" s="180">
        <f t="shared" si="9"/>
        <v>0.5</v>
      </c>
      <c r="H25" s="180">
        <v>0.5</v>
      </c>
      <c r="I25" s="180">
        <f>SUMPRODUCT(B$7:E$7,B25:E25)</f>
        <v>0.5</v>
      </c>
      <c r="J25" s="180">
        <f>SUMPRODUCT(F$7:H$7,F25:H25)</f>
        <v>0.5</v>
      </c>
      <c r="K25" s="180">
        <f>SUMPRODUCT(I$7:J$7,I25:J25)</f>
        <v>0.5</v>
      </c>
    </row>
    <row r="26" spans="1:11" ht="12.75">
      <c r="A26" s="90" t="s">
        <v>220</v>
      </c>
      <c r="B26" s="181">
        <f t="shared" si="9"/>
        <v>10.666666666666666</v>
      </c>
      <c r="C26" s="181">
        <f t="shared" si="9"/>
        <v>10.666666666666666</v>
      </c>
      <c r="D26" s="181">
        <f t="shared" si="9"/>
        <v>10.666666666666666</v>
      </c>
      <c r="E26" s="181">
        <f t="shared" si="9"/>
        <v>10.666666666666666</v>
      </c>
      <c r="F26" s="181">
        <f t="shared" si="9"/>
        <v>13.333333333333334</v>
      </c>
      <c r="G26" s="181">
        <f t="shared" si="9"/>
        <v>13.333333333333334</v>
      </c>
      <c r="H26" s="181">
        <f>H20</f>
        <v>13.333333333333334</v>
      </c>
      <c r="I26" s="181">
        <f>SUMPRODUCT(B$7:E$7,B26:E26)</f>
        <v>10.666666666666664</v>
      </c>
      <c r="J26" s="181">
        <f>SUMPRODUCT(F$7:H$7,F26:H26)</f>
        <v>13.333333333333336</v>
      </c>
      <c r="K26" s="181">
        <f>SUMPRODUCT(I$7:J$7,I26:J26)</f>
        <v>11.466666666666665</v>
      </c>
    </row>
    <row r="27" spans="1:11" ht="12.75">
      <c r="A27" s="90" t="s">
        <v>221</v>
      </c>
      <c r="B27" s="182">
        <f aca="true" t="shared" si="10" ref="B27:H27">B26*B25</f>
        <v>5.333333333333333</v>
      </c>
      <c r="C27" s="182">
        <f t="shared" si="10"/>
        <v>5.333333333333333</v>
      </c>
      <c r="D27" s="182">
        <f t="shared" si="10"/>
        <v>5.333333333333333</v>
      </c>
      <c r="E27" s="182">
        <f t="shared" si="10"/>
        <v>5.333333333333333</v>
      </c>
      <c r="F27" s="182">
        <f t="shared" si="10"/>
        <v>6.666666666666667</v>
      </c>
      <c r="G27" s="182">
        <f t="shared" si="10"/>
        <v>6.666666666666667</v>
      </c>
      <c r="H27" s="182">
        <f t="shared" si="10"/>
        <v>6.666666666666667</v>
      </c>
      <c r="I27" s="182">
        <f>SUMPRODUCT(B$7:E$7,B27:E27)</f>
        <v>5.333333333333332</v>
      </c>
      <c r="J27" s="182">
        <f>SUMPRODUCT(F$7:H$7,F27:H27)</f>
        <v>6.666666666666668</v>
      </c>
      <c r="K27" s="182">
        <f>SUMPRODUCT(I$7:J$7,I27:J27)</f>
        <v>5.7333333333333325</v>
      </c>
    </row>
    <row r="28" spans="1:11" ht="13.5" thickBot="1">
      <c r="A28" s="90" t="s">
        <v>222</v>
      </c>
      <c r="B28" s="183">
        <f>B27/B13</f>
        <v>0.73</v>
      </c>
      <c r="C28" s="183">
        <f aca="true" t="shared" si="11" ref="C28:K28">C27/C13</f>
        <v>0.73</v>
      </c>
      <c r="D28" s="183">
        <f t="shared" si="11"/>
        <v>0.73</v>
      </c>
      <c r="E28" s="183">
        <f t="shared" si="11"/>
        <v>0.73</v>
      </c>
      <c r="F28" s="183">
        <f t="shared" si="11"/>
        <v>1.2166666666666668</v>
      </c>
      <c r="G28" s="183">
        <f t="shared" si="11"/>
        <v>1.2166666666666668</v>
      </c>
      <c r="H28" s="183">
        <f t="shared" si="11"/>
        <v>1.2166666666666668</v>
      </c>
      <c r="I28" s="183">
        <f t="shared" si="11"/>
        <v>0.7299999999999999</v>
      </c>
      <c r="J28" s="183">
        <f t="shared" si="11"/>
        <v>1.216666666666667</v>
      </c>
      <c r="K28" s="183">
        <f t="shared" si="11"/>
        <v>0.8759999999999997</v>
      </c>
    </row>
  </sheetData>
  <mergeCells count="1">
    <mergeCell ref="R6:T6"/>
  </mergeCells>
  <printOptions gridLines="1"/>
  <pageMargins left="0.75" right="0.75" top="1" bottom="1" header="0.5" footer="0.5"/>
  <pageSetup blackAndWhite="1" fitToHeight="1" fitToWidth="1"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Sheet6"/>
  <dimension ref="A1:I23"/>
  <sheetViews>
    <sheetView workbookViewId="0" topLeftCell="A4">
      <selection activeCell="A1" sqref="A1"/>
    </sheetView>
  </sheetViews>
  <sheetFormatPr defaultColWidth="9.140625" defaultRowHeight="12.75"/>
  <cols>
    <col min="1" max="1" width="13.140625" style="0" customWidth="1"/>
    <col min="2" max="2" width="30.140625" style="0" customWidth="1"/>
    <col min="7" max="7" width="10.140625" style="0" bestFit="1" customWidth="1"/>
    <col min="9" max="9" width="11.140625" style="0" customWidth="1"/>
  </cols>
  <sheetData>
    <row r="1" ht="12.75">
      <c r="A1" t="s">
        <v>223</v>
      </c>
    </row>
    <row r="4" ht="12.75">
      <c r="A4" s="179" t="s">
        <v>224</v>
      </c>
    </row>
    <row r="5" spans="1:9" ht="38.25">
      <c r="A5" s="184" t="s">
        <v>225</v>
      </c>
      <c r="B5" s="184" t="s">
        <v>226</v>
      </c>
      <c r="C5" s="184" t="s">
        <v>227</v>
      </c>
      <c r="D5" s="184" t="s">
        <v>228</v>
      </c>
      <c r="E5" s="184" t="s">
        <v>229</v>
      </c>
      <c r="F5" s="184" t="s">
        <v>230</v>
      </c>
      <c r="G5" s="184" t="s">
        <v>231</v>
      </c>
      <c r="H5" s="184" t="s">
        <v>195</v>
      </c>
      <c r="I5" s="184" t="s">
        <v>232</v>
      </c>
    </row>
    <row r="6" spans="1:9" ht="12.75">
      <c r="A6" s="132" t="s">
        <v>233</v>
      </c>
      <c r="B6" s="132" t="s">
        <v>234</v>
      </c>
      <c r="C6" s="185">
        <v>8.36</v>
      </c>
      <c r="D6" s="186">
        <v>900</v>
      </c>
      <c r="E6" s="132">
        <v>15</v>
      </c>
      <c r="F6" s="132">
        <v>60</v>
      </c>
      <c r="G6" s="186">
        <v>10000</v>
      </c>
      <c r="H6" s="132">
        <f>F6-E6</f>
        <v>45</v>
      </c>
      <c r="I6" t="s">
        <v>235</v>
      </c>
    </row>
    <row r="7" spans="1:9" ht="12.75">
      <c r="A7" s="132" t="s">
        <v>236</v>
      </c>
      <c r="B7" s="132" t="s">
        <v>234</v>
      </c>
      <c r="C7" s="185">
        <v>8.36</v>
      </c>
      <c r="D7" s="186">
        <v>1200</v>
      </c>
      <c r="E7" s="132">
        <v>20</v>
      </c>
      <c r="F7" s="132">
        <v>75</v>
      </c>
      <c r="G7" s="186">
        <v>10000</v>
      </c>
      <c r="H7" s="132">
        <f>F7-E7</f>
        <v>55</v>
      </c>
      <c r="I7" t="s">
        <v>235</v>
      </c>
    </row>
    <row r="8" ht="12.75">
      <c r="D8" s="89"/>
    </row>
    <row r="9" spans="1:4" ht="12.75">
      <c r="A9" s="179" t="s">
        <v>237</v>
      </c>
      <c r="D9" s="89"/>
    </row>
    <row r="10" spans="1:9" ht="38.25">
      <c r="A10" s="184" t="s">
        <v>225</v>
      </c>
      <c r="B10" s="184" t="s">
        <v>226</v>
      </c>
      <c r="C10" s="184" t="s">
        <v>227</v>
      </c>
      <c r="D10" s="184" t="s">
        <v>228</v>
      </c>
      <c r="E10" s="184" t="s">
        <v>229</v>
      </c>
      <c r="F10" s="184" t="s">
        <v>230</v>
      </c>
      <c r="G10" s="184" t="s">
        <v>231</v>
      </c>
      <c r="H10" s="184" t="s">
        <v>195</v>
      </c>
      <c r="I10" s="184" t="s">
        <v>232</v>
      </c>
    </row>
    <row r="11" spans="1:9" ht="12.75">
      <c r="A11" s="132" t="s">
        <v>238</v>
      </c>
      <c r="B11" s="132" t="s">
        <v>234</v>
      </c>
      <c r="C11" s="185">
        <v>5.75</v>
      </c>
      <c r="D11" s="186">
        <v>900</v>
      </c>
      <c r="E11" s="132">
        <v>15</v>
      </c>
      <c r="F11" s="132">
        <v>60</v>
      </c>
      <c r="G11" s="186">
        <v>8000</v>
      </c>
      <c r="H11" s="132">
        <f aca="true" t="shared" si="0" ref="H11:H16">F11-E11</f>
        <v>45</v>
      </c>
      <c r="I11" t="s">
        <v>235</v>
      </c>
    </row>
    <row r="12" spans="1:9" ht="12.75">
      <c r="A12" s="132" t="s">
        <v>238</v>
      </c>
      <c r="B12" s="132" t="s">
        <v>239</v>
      </c>
      <c r="C12" s="185">
        <v>6.1</v>
      </c>
      <c r="D12" s="186">
        <v>900</v>
      </c>
      <c r="E12" s="132">
        <v>15</v>
      </c>
      <c r="F12" s="132">
        <v>60</v>
      </c>
      <c r="G12" s="186">
        <v>8000</v>
      </c>
      <c r="H12" s="132">
        <f t="shared" si="0"/>
        <v>45</v>
      </c>
      <c r="I12" t="s">
        <v>235</v>
      </c>
    </row>
    <row r="13" spans="1:9" ht="12.75">
      <c r="A13" s="132" t="s">
        <v>240</v>
      </c>
      <c r="B13" s="132" t="s">
        <v>234</v>
      </c>
      <c r="C13" s="185">
        <v>6</v>
      </c>
      <c r="D13" s="186">
        <v>1200</v>
      </c>
      <c r="E13" s="132">
        <v>20</v>
      </c>
      <c r="F13" s="132">
        <v>75</v>
      </c>
      <c r="G13" s="186">
        <v>8000</v>
      </c>
      <c r="H13" s="132">
        <f t="shared" si="0"/>
        <v>55</v>
      </c>
      <c r="I13" t="s">
        <v>235</v>
      </c>
    </row>
    <row r="14" spans="1:9" ht="12.75">
      <c r="A14" s="132" t="s">
        <v>240</v>
      </c>
      <c r="B14" s="132" t="s">
        <v>239</v>
      </c>
      <c r="C14" s="185">
        <v>6.31</v>
      </c>
      <c r="D14" s="186">
        <v>1200</v>
      </c>
      <c r="E14" s="132">
        <v>20</v>
      </c>
      <c r="F14" s="132">
        <v>75</v>
      </c>
      <c r="G14" s="186">
        <v>8000</v>
      </c>
      <c r="H14" s="132">
        <f t="shared" si="0"/>
        <v>55</v>
      </c>
      <c r="I14" t="s">
        <v>235</v>
      </c>
    </row>
    <row r="15" spans="1:9" ht="12.75">
      <c r="A15" s="132" t="s">
        <v>241</v>
      </c>
      <c r="B15" s="132" t="s">
        <v>234</v>
      </c>
      <c r="C15" s="185">
        <v>6.3</v>
      </c>
      <c r="D15" s="186">
        <v>1380</v>
      </c>
      <c r="E15" s="132">
        <v>23</v>
      </c>
      <c r="F15" s="132">
        <v>100</v>
      </c>
      <c r="G15" s="186">
        <v>8000</v>
      </c>
      <c r="H15" s="132">
        <f t="shared" si="0"/>
        <v>77</v>
      </c>
      <c r="I15" t="s">
        <v>242</v>
      </c>
    </row>
    <row r="16" spans="1:9" ht="12.75">
      <c r="A16" s="132" t="s">
        <v>241</v>
      </c>
      <c r="B16" s="132" t="s">
        <v>239</v>
      </c>
      <c r="C16" s="185">
        <v>6.55</v>
      </c>
      <c r="D16" s="186">
        <v>1380</v>
      </c>
      <c r="E16" s="132">
        <v>23</v>
      </c>
      <c r="F16" s="132">
        <v>100</v>
      </c>
      <c r="G16" s="186">
        <v>8000</v>
      </c>
      <c r="H16" s="132">
        <f t="shared" si="0"/>
        <v>77</v>
      </c>
      <c r="I16" t="s">
        <v>242</v>
      </c>
    </row>
    <row r="17" ht="12.75">
      <c r="D17" s="89"/>
    </row>
    <row r="18" spans="1:4" ht="12.75">
      <c r="A18" s="179" t="s">
        <v>243</v>
      </c>
      <c r="B18" s="179"/>
      <c r="D18" s="89"/>
    </row>
    <row r="19" spans="1:9" ht="38.25">
      <c r="A19" s="184" t="s">
        <v>225</v>
      </c>
      <c r="B19" s="184" t="s">
        <v>226</v>
      </c>
      <c r="C19" s="184" t="s">
        <v>227</v>
      </c>
      <c r="D19" s="184" t="s">
        <v>228</v>
      </c>
      <c r="E19" s="184" t="s">
        <v>229</v>
      </c>
      <c r="F19" s="184" t="s">
        <v>230</v>
      </c>
      <c r="G19" s="184" t="s">
        <v>231</v>
      </c>
      <c r="H19" s="184" t="s">
        <v>195</v>
      </c>
      <c r="I19" s="184" t="s">
        <v>232</v>
      </c>
    </row>
    <row r="20" spans="1:9" ht="12.75">
      <c r="A20" s="132" t="s">
        <v>244</v>
      </c>
      <c r="B20" s="132" t="s">
        <v>234</v>
      </c>
      <c r="C20" s="185">
        <v>5.75</v>
      </c>
      <c r="D20" s="186">
        <v>900</v>
      </c>
      <c r="E20" s="132">
        <v>15</v>
      </c>
      <c r="F20" s="132">
        <v>60</v>
      </c>
      <c r="G20" s="186">
        <v>10000</v>
      </c>
      <c r="H20" s="132">
        <f>F20-E20</f>
        <v>45</v>
      </c>
      <c r="I20" t="s">
        <v>235</v>
      </c>
    </row>
    <row r="21" spans="1:9" ht="12.75">
      <c r="A21" s="132" t="s">
        <v>245</v>
      </c>
      <c r="B21" s="132" t="s">
        <v>234</v>
      </c>
      <c r="C21" s="185">
        <v>6</v>
      </c>
      <c r="D21" s="186">
        <v>1200</v>
      </c>
      <c r="E21" s="132">
        <v>20</v>
      </c>
      <c r="F21" s="132">
        <v>75</v>
      </c>
      <c r="G21" s="186">
        <v>10000</v>
      </c>
      <c r="H21" s="132">
        <f>F21-E21</f>
        <v>55</v>
      </c>
      <c r="I21" t="s">
        <v>235</v>
      </c>
    </row>
    <row r="22" spans="1:9" ht="12.75">
      <c r="A22" s="132" t="s">
        <v>246</v>
      </c>
      <c r="B22" s="132" t="s">
        <v>234</v>
      </c>
      <c r="C22" s="185">
        <v>6.3</v>
      </c>
      <c r="D22" s="186">
        <v>1380</v>
      </c>
      <c r="E22" s="132">
        <v>23</v>
      </c>
      <c r="F22" s="132">
        <v>100</v>
      </c>
      <c r="G22" s="186">
        <v>10000</v>
      </c>
      <c r="H22" s="132">
        <f>F22-E22</f>
        <v>77</v>
      </c>
      <c r="I22" t="s">
        <v>242</v>
      </c>
    </row>
    <row r="23" spans="1:9" ht="12.75">
      <c r="A23" s="132" t="s">
        <v>247</v>
      </c>
      <c r="B23" s="132" t="s">
        <v>234</v>
      </c>
      <c r="C23" s="185">
        <v>6.5</v>
      </c>
      <c r="D23" s="186">
        <v>1560</v>
      </c>
      <c r="E23" s="132">
        <v>26</v>
      </c>
      <c r="F23" s="132">
        <v>100</v>
      </c>
      <c r="G23" s="186">
        <v>10000</v>
      </c>
      <c r="H23" s="132">
        <f>F23-E23</f>
        <v>74</v>
      </c>
      <c r="I23" t="s">
        <v>242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7">
    <pageSetUpPr fitToPage="1"/>
  </sheetPr>
  <dimension ref="A1:P53"/>
  <sheetViews>
    <sheetView workbookViewId="0" topLeftCell="A1">
      <selection activeCell="A18" sqref="A18"/>
    </sheetView>
  </sheetViews>
  <sheetFormatPr defaultColWidth="9.140625" defaultRowHeight="12.75"/>
  <cols>
    <col min="1" max="1" width="39.140625" style="0" customWidth="1"/>
    <col min="2" max="2" width="8.140625" style="0" customWidth="1"/>
    <col min="3" max="3" width="9.57421875" style="0" customWidth="1"/>
    <col min="4" max="4" width="13.28125" style="0" customWidth="1"/>
    <col min="5" max="6" width="11.57421875" style="0" customWidth="1"/>
    <col min="7" max="7" width="9.7109375" style="0" customWidth="1"/>
    <col min="8" max="8" width="12.57421875" style="0" customWidth="1"/>
    <col min="9" max="9" width="9.8515625" style="0" customWidth="1"/>
    <col min="10" max="10" width="9.421875" style="0" customWidth="1"/>
    <col min="11" max="11" width="7.421875" style="0" customWidth="1"/>
    <col min="12" max="12" width="9.8515625" style="0" customWidth="1"/>
    <col min="13" max="14" width="10.00390625" style="0" customWidth="1"/>
    <col min="15" max="15" width="13.57421875" style="0" customWidth="1"/>
    <col min="16" max="16" width="16.00390625" style="0" customWidth="1"/>
    <col min="18" max="18" width="13.421875" style="0" customWidth="1"/>
    <col min="36" max="36" width="38.421875" style="0" customWidth="1"/>
    <col min="37" max="37" width="37.8515625" style="0" customWidth="1"/>
    <col min="40" max="40" width="11.8515625" style="0" customWidth="1"/>
    <col min="41" max="41" width="10.57421875" style="0" customWidth="1"/>
    <col min="42" max="42" width="11.00390625" style="0" customWidth="1"/>
  </cols>
  <sheetData>
    <row r="1" spans="1:9" ht="13.5" thickBot="1">
      <c r="A1" s="114" t="s">
        <v>248</v>
      </c>
      <c r="H1" s="187"/>
      <c r="I1" t="s">
        <v>249</v>
      </c>
    </row>
    <row r="2" spans="1:9" ht="13.5" thickBot="1">
      <c r="A2" t="s">
        <v>250</v>
      </c>
      <c r="H2" s="188"/>
      <c r="I2" t="s">
        <v>181</v>
      </c>
    </row>
    <row r="3" spans="8:9" ht="13.5" thickBot="1">
      <c r="H3" s="189"/>
      <c r="I3" t="s">
        <v>251</v>
      </c>
    </row>
    <row r="4" spans="8:9" ht="13.5" thickBot="1">
      <c r="H4" s="190"/>
      <c r="I4" t="s">
        <v>252</v>
      </c>
    </row>
    <row r="5" ht="13.5" thickBot="1"/>
    <row r="6" spans="1:14" s="5" customFormat="1" ht="64.5" thickBot="1">
      <c r="A6" s="191"/>
      <c r="B6" s="192" t="s">
        <v>167</v>
      </c>
      <c r="C6" s="193" t="s">
        <v>168</v>
      </c>
      <c r="D6" s="192" t="s">
        <v>169</v>
      </c>
      <c r="E6" s="192" t="s">
        <v>170</v>
      </c>
      <c r="F6" s="192" t="s">
        <v>467</v>
      </c>
      <c r="G6" s="192" t="s">
        <v>171</v>
      </c>
      <c r="H6" s="192" t="s">
        <v>172</v>
      </c>
      <c r="I6" s="192" t="s">
        <v>173</v>
      </c>
      <c r="J6" s="192" t="s">
        <v>174</v>
      </c>
      <c r="K6" s="194" t="s">
        <v>175</v>
      </c>
      <c r="L6" s="195" t="s">
        <v>176</v>
      </c>
      <c r="M6" s="196" t="s">
        <v>177</v>
      </c>
      <c r="N6" s="196" t="s">
        <v>178</v>
      </c>
    </row>
    <row r="7" spans="1:16" s="5" customFormat="1" ht="12.75">
      <c r="A7" s="197" t="s">
        <v>253</v>
      </c>
      <c r="B7" s="198">
        <f>'Fixture Data'!C5</f>
        <v>0.09356476793778573</v>
      </c>
      <c r="C7" s="198">
        <f>'Fixture Data'!C6</f>
        <v>0.061092236327171597</v>
      </c>
      <c r="D7" s="198">
        <f>'Fixture Data'!C7</f>
        <v>0.04252963015651194</v>
      </c>
      <c r="E7" s="198">
        <f>'Fixture Data'!C8</f>
        <v>0.01046016351327604</v>
      </c>
      <c r="F7" s="198"/>
      <c r="G7" s="198">
        <f>'Fixture Data'!C9</f>
        <v>0.13723734529418163</v>
      </c>
      <c r="H7" s="198">
        <f>'Fixture Data'!C10</f>
        <v>0.6551158567710731</v>
      </c>
      <c r="I7" s="198">
        <v>0.4290076335877863</v>
      </c>
      <c r="J7" s="198">
        <v>0.13361385216905605</v>
      </c>
      <c r="K7" s="199">
        <v>0.4373785142431577</v>
      </c>
      <c r="L7" s="200">
        <f>'Fixture Data'!B30</f>
        <v>0.8067296668133095</v>
      </c>
      <c r="M7" s="199">
        <f>'Fixture Data'!B31</f>
        <v>0.1932703331866905</v>
      </c>
      <c r="N7" s="201"/>
      <c r="O7" s="5" t="s">
        <v>254</v>
      </c>
      <c r="P7" s="140"/>
    </row>
    <row r="8" spans="1:16" s="5" customFormat="1" ht="12.75">
      <c r="A8" s="202" t="s">
        <v>202</v>
      </c>
      <c r="B8" s="203">
        <v>2</v>
      </c>
      <c r="C8" s="203">
        <v>2</v>
      </c>
      <c r="D8" s="203">
        <v>3</v>
      </c>
      <c r="E8" s="203">
        <v>3</v>
      </c>
      <c r="F8" s="203">
        <v>3</v>
      </c>
      <c r="G8" s="203">
        <v>4</v>
      </c>
      <c r="H8" s="203">
        <v>3</v>
      </c>
      <c r="I8" s="203">
        <f>'Bulb Assumptions'!$F11</f>
        <v>5</v>
      </c>
      <c r="J8" s="203">
        <f>'Bulb Assumptions'!$F11</f>
        <v>5</v>
      </c>
      <c r="K8" s="204">
        <f>'Bulb Assumptions'!$F11</f>
        <v>5</v>
      </c>
      <c r="L8" s="205">
        <f>SUMPRODUCT(B$7:H$7,B8:H8)</f>
        <v>2.9825803410292244</v>
      </c>
      <c r="M8" s="206">
        <f>SUMPRODUCT(I$7:K$7,I8:K8)</f>
        <v>5.000000000000001</v>
      </c>
      <c r="N8" s="207">
        <f aca="true" t="shared" si="0" ref="N8:N21">SUMPRODUCT($L$7:$M$7,L8:M8)</f>
        <v>3.372487710695886</v>
      </c>
      <c r="P8" s="140"/>
    </row>
    <row r="9" spans="1:15" s="5" customFormat="1" ht="12.75">
      <c r="A9" s="202" t="s">
        <v>255</v>
      </c>
      <c r="B9" s="208">
        <f>'Bulb Assumptions'!$B12</f>
        <v>8000</v>
      </c>
      <c r="C9" s="208">
        <f>'Bulb Assumptions'!$B12</f>
        <v>8000</v>
      </c>
      <c r="D9" s="208">
        <f>'Bulb Assumptions'!$B12</f>
        <v>8000</v>
      </c>
      <c r="E9" s="208">
        <f>'Bulb Assumptions'!$B12</f>
        <v>8000</v>
      </c>
      <c r="F9" s="208">
        <f>'Bulb Assumptions'!$B12</f>
        <v>8000</v>
      </c>
      <c r="G9" s="208">
        <f>'Bulb Assumptions'!$B12</f>
        <v>8000</v>
      </c>
      <c r="H9" s="208">
        <f>'Bulb Assumptions'!$B12</f>
        <v>8000</v>
      </c>
      <c r="I9" s="208">
        <f>'Bulb Assumptions'!$F12</f>
        <v>10000</v>
      </c>
      <c r="J9" s="208">
        <f>'Bulb Assumptions'!$F12</f>
        <v>10000</v>
      </c>
      <c r="K9" s="209">
        <f>'Bulb Assumptions'!$F12</f>
        <v>10000</v>
      </c>
      <c r="L9" s="210">
        <f>SUMPRODUCT(B$7:H$7,B9:H9)</f>
        <v>8000</v>
      </c>
      <c r="M9" s="209">
        <f>SUMPRODUCT(I$7:K$7,I9:K9)</f>
        <v>10000</v>
      </c>
      <c r="N9" s="211">
        <f t="shared" si="0"/>
        <v>8386.540666373381</v>
      </c>
      <c r="O9" s="140" t="s">
        <v>256</v>
      </c>
    </row>
    <row r="10" spans="1:15" s="5" customFormat="1" ht="12.75">
      <c r="A10" s="202" t="s">
        <v>257</v>
      </c>
      <c r="B10" s="212">
        <v>15</v>
      </c>
      <c r="C10" s="212">
        <v>15</v>
      </c>
      <c r="D10" s="212">
        <v>15</v>
      </c>
      <c r="E10" s="212">
        <v>15</v>
      </c>
      <c r="F10" s="212">
        <v>16</v>
      </c>
      <c r="G10" s="212">
        <v>15</v>
      </c>
      <c r="H10" s="212">
        <v>15</v>
      </c>
      <c r="I10" s="212">
        <v>15</v>
      </c>
      <c r="J10" s="212">
        <v>15</v>
      </c>
      <c r="K10" s="213">
        <v>15</v>
      </c>
      <c r="L10" s="210">
        <v>15</v>
      </c>
      <c r="M10" s="209">
        <v>15</v>
      </c>
      <c r="N10" s="211">
        <f t="shared" si="0"/>
        <v>15</v>
      </c>
      <c r="O10" s="140"/>
    </row>
    <row r="11" spans="1:15" s="5" customFormat="1" ht="12.75">
      <c r="A11" s="202" t="s">
        <v>258</v>
      </c>
      <c r="B11" s="214">
        <f aca="true" t="shared" si="1" ref="B11:K11">B9/B8/365</f>
        <v>10.95890410958904</v>
      </c>
      <c r="C11" s="214">
        <f t="shared" si="1"/>
        <v>10.95890410958904</v>
      </c>
      <c r="D11" s="214">
        <f t="shared" si="1"/>
        <v>7.30593607305936</v>
      </c>
      <c r="E11" s="214">
        <f t="shared" si="1"/>
        <v>7.30593607305936</v>
      </c>
      <c r="F11" s="214">
        <f>F9/F8/365</f>
        <v>7.30593607305936</v>
      </c>
      <c r="G11" s="214">
        <f t="shared" si="1"/>
        <v>5.47945205479452</v>
      </c>
      <c r="H11" s="214">
        <f t="shared" si="1"/>
        <v>7.30593607305936</v>
      </c>
      <c r="I11" s="214">
        <f t="shared" si="1"/>
        <v>5.47945205479452</v>
      </c>
      <c r="J11" s="214">
        <f t="shared" si="1"/>
        <v>5.47945205479452</v>
      </c>
      <c r="K11" s="215">
        <f t="shared" si="1"/>
        <v>5.47945205479452</v>
      </c>
      <c r="L11" s="216">
        <f aca="true" t="shared" si="2" ref="L11:L21">SUMPRODUCT(B$7:H$7,B11:H11)</f>
        <v>7.620231348375768</v>
      </c>
      <c r="M11" s="217">
        <f aca="true" t="shared" si="3" ref="M11:M21">SUMPRODUCT(I$7:K$7,I11:K11)</f>
        <v>5.47945205479452</v>
      </c>
      <c r="N11" s="207">
        <f t="shared" si="0"/>
        <v>7.206482221026152</v>
      </c>
      <c r="O11" s="140" t="s">
        <v>259</v>
      </c>
    </row>
    <row r="12" spans="1:15" s="5" customFormat="1" ht="12.75">
      <c r="A12" s="202" t="s">
        <v>260</v>
      </c>
      <c r="B12" s="218">
        <f>'Fixture Data'!F5</f>
        <v>60</v>
      </c>
      <c r="C12" s="218">
        <f>'Fixture Data'!F6</f>
        <v>49.99</v>
      </c>
      <c r="D12" s="218">
        <f>'Fixture Data'!F7</f>
        <v>60</v>
      </c>
      <c r="E12" s="218">
        <f>'Fixture Data'!F8</f>
        <v>49</v>
      </c>
      <c r="F12" s="218">
        <v>200</v>
      </c>
      <c r="G12" s="218">
        <f>'Fixture Data'!F9</f>
        <v>49.99</v>
      </c>
      <c r="H12" s="218">
        <f>'Fixture Data'!F10</f>
        <v>33.32666666666667</v>
      </c>
      <c r="I12" s="218">
        <f>'Fixture Data'!F19</f>
        <v>60</v>
      </c>
      <c r="J12" s="218">
        <f>'Fixture Data'!F20</f>
        <v>29.99</v>
      </c>
      <c r="K12" s="219">
        <f>'Fixture Data'!F22</f>
        <v>29.99</v>
      </c>
      <c r="L12" s="220">
        <f t="shared" si="2"/>
        <v>40.42553546971713</v>
      </c>
      <c r="M12" s="219">
        <f t="shared" si="3"/>
        <v>42.86451908396947</v>
      </c>
      <c r="N12" s="221">
        <f t="shared" si="0"/>
        <v>40.896918645480554</v>
      </c>
      <c r="O12" s="140" t="s">
        <v>261</v>
      </c>
    </row>
    <row r="13" spans="1:15" s="5" customFormat="1" ht="12.75">
      <c r="A13" s="222" t="s">
        <v>262</v>
      </c>
      <c r="B13" s="223">
        <f>'Fixture Data'!H5</f>
        <v>25</v>
      </c>
      <c r="C13" s="223">
        <f>'Fixture Data'!H6</f>
        <v>10</v>
      </c>
      <c r="D13" s="223">
        <f>'Fixture Data'!H7</f>
        <v>30.01</v>
      </c>
      <c r="E13" s="223">
        <f>'Fixture Data'!H8</f>
        <v>29</v>
      </c>
      <c r="F13" s="223">
        <v>35</v>
      </c>
      <c r="G13" s="223">
        <f>'Fixture Data'!H9</f>
        <v>15</v>
      </c>
      <c r="H13" s="223">
        <f>'Fixture Data'!H10</f>
        <v>12.99666666666667</v>
      </c>
      <c r="I13" s="223">
        <f>'Fixture Data'!H19</f>
        <v>25</v>
      </c>
      <c r="J13" s="223">
        <f>'Fixture Data'!H20</f>
        <v>12</v>
      </c>
      <c r="K13" s="224">
        <f>'Fixture Data'!H22</f>
        <v>11</v>
      </c>
      <c r="L13" s="225">
        <f t="shared" si="2"/>
        <v>15.102583102512394</v>
      </c>
      <c r="M13" s="224">
        <f t="shared" si="3"/>
        <v>17.139720722398067</v>
      </c>
      <c r="N13" s="221">
        <f t="shared" si="0"/>
        <v>15.49630136905484</v>
      </c>
      <c r="O13" s="140" t="s">
        <v>263</v>
      </c>
    </row>
    <row r="14" spans="1:15" s="5" customFormat="1" ht="12.75">
      <c r="A14" s="202" t="s">
        <v>264</v>
      </c>
      <c r="B14" s="226">
        <f>'Fixture Data'!J5</f>
        <v>40</v>
      </c>
      <c r="C14" s="226">
        <f>'Fixture Data'!J6</f>
        <v>188</v>
      </c>
      <c r="D14" s="226">
        <f>'Fixture Data'!J7</f>
        <v>110</v>
      </c>
      <c r="E14" s="226">
        <f>'Fixture Data'!J8</f>
        <v>228</v>
      </c>
      <c r="F14" s="226">
        <v>115</v>
      </c>
      <c r="G14" s="226">
        <f>'Fixture Data'!J9</f>
        <v>124</v>
      </c>
      <c r="H14" s="226">
        <f>'Fixture Data'!J10</f>
        <v>174</v>
      </c>
      <c r="I14" s="226">
        <f>'Fixture Data'!J19</f>
        <v>57</v>
      </c>
      <c r="J14" s="226">
        <f>'Fixture Data'!J20</f>
        <v>62</v>
      </c>
      <c r="K14" s="227">
        <f>'Fixture Data'!J22</f>
        <v>104</v>
      </c>
      <c r="L14" s="228">
        <f t="shared" si="2"/>
        <v>153.29869763990817</v>
      </c>
      <c r="M14" s="227">
        <f t="shared" si="3"/>
        <v>78.2248594302737</v>
      </c>
      <c r="N14" s="229">
        <f t="shared" si="0"/>
        <v>138.7891519155284</v>
      </c>
      <c r="O14" s="140" t="s">
        <v>265</v>
      </c>
    </row>
    <row r="15" spans="1:15" s="5" customFormat="1" ht="12.75">
      <c r="A15" s="202" t="s">
        <v>210</v>
      </c>
      <c r="B15" s="230">
        <v>0.02</v>
      </c>
      <c r="C15" s="230">
        <v>0.02</v>
      </c>
      <c r="D15" s="230">
        <v>0.02</v>
      </c>
      <c r="E15" s="230">
        <v>0.02</v>
      </c>
      <c r="F15" s="230">
        <v>0.02</v>
      </c>
      <c r="G15" s="230">
        <v>0.02</v>
      </c>
      <c r="H15" s="230">
        <v>0.02</v>
      </c>
      <c r="I15" s="230">
        <v>0.02</v>
      </c>
      <c r="J15" s="230">
        <v>0.02</v>
      </c>
      <c r="K15" s="231">
        <v>0.02</v>
      </c>
      <c r="L15" s="168">
        <f t="shared" si="2"/>
        <v>0.020000000000000004</v>
      </c>
      <c r="M15" s="231">
        <f t="shared" si="3"/>
        <v>0.020000000000000004</v>
      </c>
      <c r="N15" s="232">
        <f t="shared" si="0"/>
        <v>0.020000000000000004</v>
      </c>
      <c r="O15" s="140" t="s">
        <v>266</v>
      </c>
    </row>
    <row r="16" spans="1:15" s="5" customFormat="1" ht="12.75">
      <c r="A16" s="202" t="s">
        <v>211</v>
      </c>
      <c r="B16" s="230">
        <f>'Bulb Assumptions'!$B17</f>
        <v>0.05</v>
      </c>
      <c r="C16" s="230">
        <f>'Bulb Assumptions'!$B17</f>
        <v>0.05</v>
      </c>
      <c r="D16" s="230">
        <f>'Bulb Assumptions'!$B17</f>
        <v>0.05</v>
      </c>
      <c r="E16" s="230">
        <f>'Bulb Assumptions'!$B17</f>
        <v>0.05</v>
      </c>
      <c r="F16" s="230">
        <f>'Bulb Assumptions'!$B17</f>
        <v>0.05</v>
      </c>
      <c r="G16" s="230">
        <f>'Bulb Assumptions'!$B17</f>
        <v>0.05</v>
      </c>
      <c r="H16" s="230">
        <f>'Bulb Assumptions'!$B17</f>
        <v>0.05</v>
      </c>
      <c r="I16" s="230">
        <f>'Bulb Assumptions'!$F17</f>
        <v>0.2</v>
      </c>
      <c r="J16" s="230">
        <f>'Bulb Assumptions'!$F17</f>
        <v>0.2</v>
      </c>
      <c r="K16" s="231">
        <f>'Bulb Assumptions'!$F17</f>
        <v>0.2</v>
      </c>
      <c r="L16" s="168">
        <f t="shared" si="2"/>
        <v>0.05</v>
      </c>
      <c r="M16" s="231">
        <f t="shared" si="3"/>
        <v>0.2</v>
      </c>
      <c r="N16" s="232">
        <f t="shared" si="0"/>
        <v>0.07899054997800359</v>
      </c>
      <c r="O16" s="140" t="s">
        <v>256</v>
      </c>
    </row>
    <row r="17" spans="1:15" s="5" customFormat="1" ht="12.75">
      <c r="A17" s="202" t="s">
        <v>212</v>
      </c>
      <c r="B17" s="230">
        <f>'Bulb Assumptions'!$B18</f>
        <v>0.11311408490416483</v>
      </c>
      <c r="C17" s="230">
        <f>'Bulb Assumptions'!$B18</f>
        <v>0.11311408490416483</v>
      </c>
      <c r="D17" s="230">
        <f>'Bulb Assumptions'!$B18</f>
        <v>0.11311408490416483</v>
      </c>
      <c r="E17" s="230">
        <f>'Bulb Assumptions'!$B18</f>
        <v>0.11311408490416483</v>
      </c>
      <c r="F17" s="230">
        <f>'Bulb Assumptions'!$B18</f>
        <v>0.11311408490416483</v>
      </c>
      <c r="G17" s="230">
        <f>'Bulb Assumptions'!$B18</f>
        <v>0.11311408490416483</v>
      </c>
      <c r="H17" s="230">
        <f>'Bulb Assumptions'!$B18</f>
        <v>0.11311408490416483</v>
      </c>
      <c r="I17" s="230">
        <f>'Bulb Assumptions'!$F18</f>
        <v>0</v>
      </c>
      <c r="J17" s="230">
        <f>'Bulb Assumptions'!$F18</f>
        <v>0</v>
      </c>
      <c r="K17" s="231">
        <f>'Bulb Assumptions'!$F18</f>
        <v>0</v>
      </c>
      <c r="L17" s="168">
        <f t="shared" si="2"/>
        <v>0.11311408490416483</v>
      </c>
      <c r="M17" s="231">
        <f t="shared" si="3"/>
        <v>0</v>
      </c>
      <c r="N17" s="232">
        <f t="shared" si="0"/>
        <v>0.09125248802662929</v>
      </c>
      <c r="O17" s="140" t="s">
        <v>256</v>
      </c>
    </row>
    <row r="18" spans="1:15" s="5" customFormat="1" ht="12.75">
      <c r="A18" s="202" t="s">
        <v>267</v>
      </c>
      <c r="B18" s="233">
        <f aca="true" t="shared" si="4" ref="B18:K18">B9/750</f>
        <v>10.666666666666666</v>
      </c>
      <c r="C18" s="233">
        <f t="shared" si="4"/>
        <v>10.666666666666666</v>
      </c>
      <c r="D18" s="233">
        <f t="shared" si="4"/>
        <v>10.666666666666666</v>
      </c>
      <c r="E18" s="233">
        <f t="shared" si="4"/>
        <v>10.666666666666666</v>
      </c>
      <c r="F18" s="233">
        <f>F9/750</f>
        <v>10.666666666666666</v>
      </c>
      <c r="G18" s="233">
        <f t="shared" si="4"/>
        <v>10.666666666666666</v>
      </c>
      <c r="H18" s="233">
        <f t="shared" si="4"/>
        <v>10.666666666666666</v>
      </c>
      <c r="I18" s="233">
        <f t="shared" si="4"/>
        <v>13.333333333333334</v>
      </c>
      <c r="J18" s="233">
        <f t="shared" si="4"/>
        <v>13.333333333333334</v>
      </c>
      <c r="K18" s="234">
        <f t="shared" si="4"/>
        <v>13.333333333333334</v>
      </c>
      <c r="L18" s="235">
        <f t="shared" si="2"/>
        <v>10.666666666666666</v>
      </c>
      <c r="M18" s="234">
        <f t="shared" si="3"/>
        <v>13.333333333333336</v>
      </c>
      <c r="N18" s="207">
        <f t="shared" si="0"/>
        <v>11.182054221831173</v>
      </c>
      <c r="O18" s="140" t="s">
        <v>256</v>
      </c>
    </row>
    <row r="19" spans="1:15" s="5" customFormat="1" ht="12.75">
      <c r="A19" s="202" t="s">
        <v>268</v>
      </c>
      <c r="B19" s="236">
        <f aca="true" t="shared" si="5" ref="B19:K19">B10*8760/750</f>
        <v>175.2</v>
      </c>
      <c r="C19" s="236">
        <f t="shared" si="5"/>
        <v>175.2</v>
      </c>
      <c r="D19" s="236">
        <f t="shared" si="5"/>
        <v>175.2</v>
      </c>
      <c r="E19" s="236">
        <f t="shared" si="5"/>
        <v>175.2</v>
      </c>
      <c r="F19" s="236">
        <f>F10*8760/750</f>
        <v>186.88</v>
      </c>
      <c r="G19" s="236">
        <f t="shared" si="5"/>
        <v>175.2</v>
      </c>
      <c r="H19" s="236">
        <f t="shared" si="5"/>
        <v>175.2</v>
      </c>
      <c r="I19" s="236">
        <f t="shared" si="5"/>
        <v>175.2</v>
      </c>
      <c r="J19" s="236">
        <f t="shared" si="5"/>
        <v>175.2</v>
      </c>
      <c r="K19" s="237">
        <f t="shared" si="5"/>
        <v>175.2</v>
      </c>
      <c r="L19" s="154">
        <f t="shared" si="2"/>
        <v>175.2</v>
      </c>
      <c r="M19" s="236">
        <f t="shared" si="3"/>
        <v>175.2</v>
      </c>
      <c r="N19" s="211">
        <f t="shared" si="0"/>
        <v>175.2</v>
      </c>
      <c r="O19" s="5" t="s">
        <v>269</v>
      </c>
    </row>
    <row r="20" spans="1:14" s="5" customFormat="1" ht="12.75">
      <c r="A20" s="202" t="s">
        <v>270</v>
      </c>
      <c r="B20" s="238">
        <f aca="true" t="shared" si="6" ref="B20:K20">(B$8*365)*(B$14/1000)*(1-B$15)*(1-B$17)</f>
        <v>25.37912734638242</v>
      </c>
      <c r="C20" s="238">
        <f t="shared" si="6"/>
        <v>119.28189852799737</v>
      </c>
      <c r="D20" s="238">
        <f t="shared" si="6"/>
        <v>104.68890030382747</v>
      </c>
      <c r="E20" s="238">
        <f t="shared" si="6"/>
        <v>216.99153881156968</v>
      </c>
      <c r="F20" s="238">
        <f t="shared" si="6"/>
        <v>109.44748668127419</v>
      </c>
      <c r="G20" s="238">
        <f t="shared" si="6"/>
        <v>157.350589547571</v>
      </c>
      <c r="H20" s="238">
        <f t="shared" si="6"/>
        <v>165.59880593514526</v>
      </c>
      <c r="I20" s="238">
        <f t="shared" si="6"/>
        <v>101.9445</v>
      </c>
      <c r="J20" s="238">
        <f t="shared" si="6"/>
        <v>110.887</v>
      </c>
      <c r="K20" s="239">
        <f t="shared" si="6"/>
        <v>186.004</v>
      </c>
      <c r="L20" s="173">
        <f t="shared" si="2"/>
        <v>146.46471810388644</v>
      </c>
      <c r="M20" s="239">
        <f t="shared" si="3"/>
        <v>139.9051610910445</v>
      </c>
      <c r="N20" s="229">
        <f t="shared" si="0"/>
        <v>145.19695033445737</v>
      </c>
    </row>
    <row r="21" spans="1:16" s="5" customFormat="1" ht="13.5" thickBot="1">
      <c r="A21" s="240" t="s">
        <v>271</v>
      </c>
      <c r="B21" s="241">
        <f aca="true" t="shared" si="7" ref="B21:K21">(B$8*365)*(B$14/1000)*(1-B$15)*(1-B$16)*(1-B$17)</f>
        <v>24.110170979063295</v>
      </c>
      <c r="C21" s="241">
        <f t="shared" si="7"/>
        <v>113.3178036015975</v>
      </c>
      <c r="D21" s="241">
        <f t="shared" si="7"/>
        <v>99.4544552886361</v>
      </c>
      <c r="E21" s="241">
        <f t="shared" si="7"/>
        <v>206.1419618709912</v>
      </c>
      <c r="F21" s="241">
        <f t="shared" si="7"/>
        <v>103.97511234721047</v>
      </c>
      <c r="G21" s="241">
        <f t="shared" si="7"/>
        <v>149.48306007019244</v>
      </c>
      <c r="H21" s="241">
        <f t="shared" si="7"/>
        <v>157.318865638388</v>
      </c>
      <c r="I21" s="241">
        <f t="shared" si="7"/>
        <v>81.55560000000001</v>
      </c>
      <c r="J21" s="241">
        <f t="shared" si="7"/>
        <v>88.70960000000001</v>
      </c>
      <c r="K21" s="242">
        <f t="shared" si="7"/>
        <v>148.8032</v>
      </c>
      <c r="L21" s="176">
        <f t="shared" si="2"/>
        <v>139.1414821986921</v>
      </c>
      <c r="M21" s="242">
        <f t="shared" si="3"/>
        <v>111.92412887283561</v>
      </c>
      <c r="N21" s="243">
        <f t="shared" si="0"/>
        <v>133.88117525294393</v>
      </c>
      <c r="O21" s="244"/>
      <c r="P21" s="140"/>
    </row>
    <row r="22" spans="2:16" s="5" customFormat="1" ht="12.75">
      <c r="B22"/>
      <c r="C22"/>
      <c r="D22"/>
      <c r="E22"/>
      <c r="F22"/>
      <c r="G22"/>
      <c r="H22"/>
      <c r="I22" s="245"/>
      <c r="J22" s="245"/>
      <c r="K22" s="245"/>
      <c r="L22"/>
      <c r="M22"/>
      <c r="N22"/>
      <c r="O22" s="244"/>
      <c r="P22" s="140"/>
    </row>
    <row r="23" spans="2:16" s="5" customFormat="1" ht="12.75">
      <c r="B23"/>
      <c r="C23"/>
      <c r="D23"/>
      <c r="E23"/>
      <c r="F23"/>
      <c r="G23"/>
      <c r="H23"/>
      <c r="I23" s="246"/>
      <c r="J23"/>
      <c r="K23"/>
      <c r="L23"/>
      <c r="M23"/>
      <c r="N23"/>
      <c r="O23" s="244"/>
      <c r="P23" s="140"/>
    </row>
    <row r="25" ht="12.75">
      <c r="A25" s="179" t="s">
        <v>272</v>
      </c>
    </row>
    <row r="26" ht="12.75">
      <c r="A26" s="247" t="s">
        <v>273</v>
      </c>
    </row>
    <row r="27" ht="12.75">
      <c r="A27" s="247" t="s">
        <v>274</v>
      </c>
    </row>
    <row r="28" ht="13.5" thickBot="1">
      <c r="A28" s="247" t="s">
        <v>275</v>
      </c>
    </row>
    <row r="29" spans="1:14" ht="51.75" thickBot="1">
      <c r="A29" s="248"/>
      <c r="B29" s="192" t="str">
        <f aca="true" t="shared" si="8" ref="B29:M29">B6</f>
        <v>CFL Vanity Fixture</v>
      </c>
      <c r="C29" s="192" t="str">
        <f t="shared" si="8"/>
        <v>CFL Pendant Fixture</v>
      </c>
      <c r="D29" s="192" t="str">
        <f t="shared" si="8"/>
        <v>Fluorescent Strip Lighting (per foot) 4' avg.</v>
      </c>
      <c r="E29" s="192" t="str">
        <f t="shared" si="8"/>
        <v>Fluorescent Torchieres</v>
      </c>
      <c r="F29" s="192" t="s">
        <v>467</v>
      </c>
      <c r="G29" s="192" t="str">
        <f t="shared" si="8"/>
        <v>CFL Wall Sconce Fixture</v>
      </c>
      <c r="H29" s="192" t="str">
        <f t="shared" si="8"/>
        <v>CFL Ceiling Flush Mount Fixture</v>
      </c>
      <c r="I29" s="192" t="str">
        <f t="shared" si="8"/>
        <v>CFL Coach &amp; Lantern Fixtures</v>
      </c>
      <c r="J29" s="192" t="str">
        <f t="shared" si="8"/>
        <v>CFL Porch Light Fixture</v>
      </c>
      <c r="K29" s="194" t="str">
        <f t="shared" si="8"/>
        <v>CFL Flood Light Fixture </v>
      </c>
      <c r="L29" s="195" t="str">
        <f t="shared" si="8"/>
        <v>Average - CFL Interior Fixture</v>
      </c>
      <c r="M29" s="196" t="str">
        <f t="shared" si="8"/>
        <v>Average - CFL Exterior Fixture</v>
      </c>
      <c r="N29" s="196" t="s">
        <v>178</v>
      </c>
    </row>
    <row r="30" spans="1:15" ht="12.75">
      <c r="A30" s="249" t="s">
        <v>276</v>
      </c>
      <c r="B30" s="250">
        <f aca="true" t="shared" si="9" ref="B30:K30">B11</f>
        <v>10.95890410958904</v>
      </c>
      <c r="C30" s="250">
        <f t="shared" si="9"/>
        <v>10.95890410958904</v>
      </c>
      <c r="D30" s="250">
        <f t="shared" si="9"/>
        <v>7.30593607305936</v>
      </c>
      <c r="E30" s="250">
        <f t="shared" si="9"/>
        <v>7.30593607305936</v>
      </c>
      <c r="F30" s="250">
        <f>F11</f>
        <v>7.30593607305936</v>
      </c>
      <c r="G30" s="250">
        <f t="shared" si="9"/>
        <v>5.47945205479452</v>
      </c>
      <c r="H30" s="250">
        <f t="shared" si="9"/>
        <v>7.30593607305936</v>
      </c>
      <c r="I30" s="250">
        <f t="shared" si="9"/>
        <v>5.47945205479452</v>
      </c>
      <c r="J30" s="250">
        <f t="shared" si="9"/>
        <v>5.47945205479452</v>
      </c>
      <c r="K30" s="251">
        <f t="shared" si="9"/>
        <v>5.47945205479452</v>
      </c>
      <c r="L30" s="252">
        <f>SUMPRODUCT(B$7:H$7,B30:H30)</f>
        <v>7.620231348375768</v>
      </c>
      <c r="M30" s="250">
        <f>SUMPRODUCT(I$7:K$7,I30:K30)</f>
        <v>5.47945205479452</v>
      </c>
      <c r="N30" s="253">
        <f>N11</f>
        <v>7.206482221026152</v>
      </c>
      <c r="O30" t="s">
        <v>277</v>
      </c>
    </row>
    <row r="31" spans="1:15" ht="12.75">
      <c r="A31" s="131" t="s">
        <v>278</v>
      </c>
      <c r="B31" s="254">
        <f aca="true" t="shared" si="10" ref="B31:N31">B8*365/750</f>
        <v>0.9733333333333334</v>
      </c>
      <c r="C31" s="254">
        <f t="shared" si="10"/>
        <v>0.9733333333333334</v>
      </c>
      <c r="D31" s="254">
        <f t="shared" si="10"/>
        <v>1.46</v>
      </c>
      <c r="E31" s="254">
        <f t="shared" si="10"/>
        <v>1.46</v>
      </c>
      <c r="F31" s="254">
        <f>F8*365/750</f>
        <v>1.46</v>
      </c>
      <c r="G31" s="254">
        <f t="shared" si="10"/>
        <v>1.9466666666666668</v>
      </c>
      <c r="H31" s="254">
        <f t="shared" si="10"/>
        <v>1.46</v>
      </c>
      <c r="I31" s="254">
        <f t="shared" si="10"/>
        <v>2.433333333333333</v>
      </c>
      <c r="J31" s="254">
        <f t="shared" si="10"/>
        <v>2.433333333333333</v>
      </c>
      <c r="K31" s="255">
        <f t="shared" si="10"/>
        <v>2.433333333333333</v>
      </c>
      <c r="L31" s="256">
        <f t="shared" si="10"/>
        <v>1.4515224326342226</v>
      </c>
      <c r="M31" s="254">
        <f t="shared" si="10"/>
        <v>2.4333333333333336</v>
      </c>
      <c r="N31" s="257">
        <f t="shared" si="10"/>
        <v>1.6412773525386646</v>
      </c>
      <c r="O31" t="s">
        <v>277</v>
      </c>
    </row>
    <row r="32" spans="1:15" ht="12.75">
      <c r="A32" s="131" t="s">
        <v>279</v>
      </c>
      <c r="B32" s="258">
        <f aca="true" t="shared" si="11" ref="B32:N32">B30/B31</f>
        <v>11.259148057796958</v>
      </c>
      <c r="C32" s="258">
        <f t="shared" si="11"/>
        <v>11.259148057796958</v>
      </c>
      <c r="D32" s="258">
        <f t="shared" si="11"/>
        <v>5.004065803465315</v>
      </c>
      <c r="E32" s="258">
        <f t="shared" si="11"/>
        <v>5.004065803465315</v>
      </c>
      <c r="F32" s="258">
        <f t="shared" si="11"/>
        <v>5.004065803465315</v>
      </c>
      <c r="G32" s="258">
        <f t="shared" si="11"/>
        <v>2.8147870144492395</v>
      </c>
      <c r="H32" s="258">
        <f t="shared" si="11"/>
        <v>5.004065803465315</v>
      </c>
      <c r="I32" s="258">
        <f t="shared" si="11"/>
        <v>2.251829611559392</v>
      </c>
      <c r="J32" s="258">
        <f t="shared" si="11"/>
        <v>2.251829611559392</v>
      </c>
      <c r="K32" s="259">
        <f t="shared" si="11"/>
        <v>2.251829611559392</v>
      </c>
      <c r="L32" s="260">
        <f t="shared" si="11"/>
        <v>5.24981989740701</v>
      </c>
      <c r="M32" s="258">
        <f t="shared" si="11"/>
        <v>2.251829611559392</v>
      </c>
      <c r="N32" s="261">
        <f t="shared" si="11"/>
        <v>4.3907766166878766</v>
      </c>
      <c r="O32" t="s">
        <v>280</v>
      </c>
    </row>
    <row r="33" spans="1:15" ht="12.75">
      <c r="A33" s="131" t="s">
        <v>281</v>
      </c>
      <c r="B33" s="262">
        <v>4</v>
      </c>
      <c r="C33" s="262">
        <f aca="true" t="shared" si="12" ref="C33:N33">B33</f>
        <v>4</v>
      </c>
      <c r="D33" s="262">
        <f t="shared" si="12"/>
        <v>4</v>
      </c>
      <c r="E33" s="262">
        <f t="shared" si="12"/>
        <v>4</v>
      </c>
      <c r="F33" s="262">
        <f>E33</f>
        <v>4</v>
      </c>
      <c r="G33" s="262">
        <f>E33</f>
        <v>4</v>
      </c>
      <c r="H33" s="262">
        <f t="shared" si="12"/>
        <v>4</v>
      </c>
      <c r="I33" s="262">
        <f t="shared" si="12"/>
        <v>4</v>
      </c>
      <c r="J33" s="262">
        <f t="shared" si="12"/>
        <v>4</v>
      </c>
      <c r="K33" s="263">
        <f t="shared" si="12"/>
        <v>4</v>
      </c>
      <c r="L33" s="264">
        <f t="shared" si="12"/>
        <v>4</v>
      </c>
      <c r="M33" s="262">
        <f t="shared" si="12"/>
        <v>4</v>
      </c>
      <c r="N33" s="265">
        <f t="shared" si="12"/>
        <v>4</v>
      </c>
      <c r="O33" t="s">
        <v>282</v>
      </c>
    </row>
    <row r="34" spans="1:14" ht="12.75">
      <c r="A34" s="131" t="s">
        <v>283</v>
      </c>
      <c r="B34" s="266">
        <f>'Bulb Assumptions'!$J$19</f>
        <v>0.5</v>
      </c>
      <c r="C34" s="266">
        <f>'Bulb Assumptions'!$J$19</f>
        <v>0.5</v>
      </c>
      <c r="D34" s="266">
        <f>'Bulb Assumptions'!$J$19</f>
        <v>0.5</v>
      </c>
      <c r="E34" s="266">
        <f>'Bulb Assumptions'!$J$19</f>
        <v>0.5</v>
      </c>
      <c r="F34" s="266">
        <f>'Bulb Assumptions'!$J$19</f>
        <v>0.5</v>
      </c>
      <c r="G34" s="266">
        <f>'Bulb Assumptions'!$J$19</f>
        <v>0.5</v>
      </c>
      <c r="H34" s="266">
        <f>'Bulb Assumptions'!$J$19</f>
        <v>0.5</v>
      </c>
      <c r="I34" s="266">
        <f>'Bulb Assumptions'!$J$19</f>
        <v>0.5</v>
      </c>
      <c r="J34" s="266">
        <f>'Bulb Assumptions'!$J$19</f>
        <v>0.5</v>
      </c>
      <c r="K34" s="267">
        <f>'Bulb Assumptions'!$J$19</f>
        <v>0.5</v>
      </c>
      <c r="L34" s="268">
        <f>SUMPRODUCT(B$7:H$7,B34:H34)</f>
        <v>0.5</v>
      </c>
      <c r="M34" s="266">
        <f>SUMPRODUCT(I$7:K$7,I34:K34)</f>
        <v>0.5</v>
      </c>
      <c r="N34" s="269">
        <f>SUMPRODUCT(J$7:L$7,J34:L34)</f>
        <v>0.6888610166127616</v>
      </c>
    </row>
    <row r="35" spans="1:14" ht="13.5" thickBot="1">
      <c r="A35" s="270" t="s">
        <v>284</v>
      </c>
      <c r="B35" s="271">
        <f aca="true" t="shared" si="13" ref="B35:N35">B8*365/750*B34</f>
        <v>0.4866666666666667</v>
      </c>
      <c r="C35" s="271">
        <f t="shared" si="13"/>
        <v>0.4866666666666667</v>
      </c>
      <c r="D35" s="271">
        <f t="shared" si="13"/>
        <v>0.73</v>
      </c>
      <c r="E35" s="271">
        <f t="shared" si="13"/>
        <v>0.73</v>
      </c>
      <c r="F35" s="271">
        <f t="shared" si="13"/>
        <v>0.73</v>
      </c>
      <c r="G35" s="271">
        <f t="shared" si="13"/>
        <v>0.9733333333333334</v>
      </c>
      <c r="H35" s="271">
        <f t="shared" si="13"/>
        <v>0.73</v>
      </c>
      <c r="I35" s="271">
        <f t="shared" si="13"/>
        <v>1.2166666666666666</v>
      </c>
      <c r="J35" s="271">
        <f t="shared" si="13"/>
        <v>1.2166666666666666</v>
      </c>
      <c r="K35" s="272">
        <f t="shared" si="13"/>
        <v>1.2166666666666666</v>
      </c>
      <c r="L35" s="273">
        <f t="shared" si="13"/>
        <v>0.7257612163171113</v>
      </c>
      <c r="M35" s="271">
        <f t="shared" si="13"/>
        <v>1.2166666666666668</v>
      </c>
      <c r="N35" s="274">
        <f t="shared" si="13"/>
        <v>1.1306119856132864</v>
      </c>
    </row>
    <row r="37" spans="1:8" ht="12.75">
      <c r="A37" s="141"/>
      <c r="B37" s="16"/>
      <c r="C37" s="16"/>
      <c r="D37" s="16"/>
      <c r="E37" s="16"/>
      <c r="F37" s="16"/>
      <c r="G37" s="16"/>
      <c r="H37" s="16"/>
    </row>
    <row r="38" spans="1:7" ht="12.75">
      <c r="A38" s="16"/>
      <c r="B38" s="275"/>
      <c r="C38" s="275"/>
      <c r="D38" s="275"/>
      <c r="E38" s="275"/>
      <c r="F38" s="275"/>
      <c r="G38" s="275"/>
    </row>
    <row r="39" spans="1:7" ht="12.75">
      <c r="A39" s="16"/>
      <c r="B39" s="275"/>
      <c r="C39" s="275"/>
      <c r="D39" s="275"/>
      <c r="E39" s="275"/>
      <c r="F39" s="275"/>
      <c r="G39" s="275"/>
    </row>
    <row r="40" spans="1:7" ht="12.75">
      <c r="A40" s="16"/>
      <c r="B40" s="275"/>
      <c r="C40" s="275"/>
      <c r="D40" s="275"/>
      <c r="E40" s="275"/>
      <c r="F40" s="275"/>
      <c r="G40" s="275"/>
    </row>
    <row r="41" spans="1:7" ht="12.75">
      <c r="A41" s="16"/>
      <c r="B41" s="275"/>
      <c r="C41" s="275"/>
      <c r="D41" s="275"/>
      <c r="E41" s="275"/>
      <c r="F41" s="275"/>
      <c r="G41" s="275"/>
    </row>
    <row r="42" spans="1:7" ht="12.75">
      <c r="A42" s="16"/>
      <c r="B42" s="275"/>
      <c r="C42" s="275"/>
      <c r="D42" s="275"/>
      <c r="E42" s="275"/>
      <c r="F42" s="275"/>
      <c r="G42" s="275"/>
    </row>
    <row r="43" spans="1:7" ht="12.75">
      <c r="A43" s="16"/>
      <c r="B43" s="275"/>
      <c r="C43" s="275"/>
      <c r="D43" s="275"/>
      <c r="E43" s="275"/>
      <c r="F43" s="275"/>
      <c r="G43" s="275"/>
    </row>
    <row r="44" spans="1:7" ht="12.75">
      <c r="A44" s="16"/>
      <c r="B44" s="275"/>
      <c r="C44" s="275"/>
      <c r="D44" s="275"/>
      <c r="E44" s="275"/>
      <c r="F44" s="275"/>
      <c r="G44" s="275"/>
    </row>
    <row r="45" spans="1:7" ht="12.75">
      <c r="A45" s="16"/>
      <c r="B45" s="275"/>
      <c r="C45" s="275"/>
      <c r="D45" s="275"/>
      <c r="E45" s="275"/>
      <c r="F45" s="275"/>
      <c r="G45" s="275"/>
    </row>
    <row r="46" spans="1:7" ht="12.75">
      <c r="A46" s="16"/>
      <c r="B46" s="275"/>
      <c r="C46" s="275"/>
      <c r="D46" s="275"/>
      <c r="E46" s="275"/>
      <c r="F46" s="275"/>
      <c r="G46" s="275"/>
    </row>
    <row r="47" spans="1:7" ht="12.75">
      <c r="A47" s="16"/>
      <c r="B47" s="275"/>
      <c r="C47" s="275"/>
      <c r="D47" s="275"/>
      <c r="E47" s="275"/>
      <c r="F47" s="275"/>
      <c r="G47" s="275"/>
    </row>
    <row r="48" spans="1:7" ht="12.75">
      <c r="A48" s="16"/>
      <c r="B48" s="275"/>
      <c r="C48" s="275"/>
      <c r="D48" s="275"/>
      <c r="E48" s="275"/>
      <c r="F48" s="275"/>
      <c r="G48" s="275"/>
    </row>
    <row r="49" spans="1:7" ht="12.75">
      <c r="A49" s="16"/>
      <c r="B49" s="275"/>
      <c r="C49" s="275"/>
      <c r="D49" s="275"/>
      <c r="E49" s="275"/>
      <c r="F49" s="275"/>
      <c r="G49" s="275"/>
    </row>
    <row r="50" spans="1:7" ht="12.75">
      <c r="A50" s="16"/>
      <c r="B50" s="275"/>
      <c r="C50" s="275"/>
      <c r="D50" s="275"/>
      <c r="E50" s="275"/>
      <c r="F50" s="275"/>
      <c r="G50" s="275"/>
    </row>
    <row r="51" spans="1:7" ht="12.75">
      <c r="A51" s="16"/>
      <c r="B51" s="275"/>
      <c r="C51" s="275"/>
      <c r="D51" s="275"/>
      <c r="E51" s="275"/>
      <c r="F51" s="275"/>
      <c r="G51" s="275"/>
    </row>
    <row r="52" spans="1:7" ht="12.75">
      <c r="A52" s="16"/>
      <c r="B52" s="275"/>
      <c r="C52" s="275"/>
      <c r="D52" s="275"/>
      <c r="E52" s="275"/>
      <c r="F52" s="275"/>
      <c r="G52" s="275"/>
    </row>
    <row r="53" spans="1:7" ht="12.75">
      <c r="A53" s="141"/>
      <c r="B53" s="276"/>
      <c r="C53" s="276"/>
      <c r="D53" s="276"/>
      <c r="E53" s="276"/>
      <c r="F53" s="276"/>
      <c r="G53" s="276"/>
    </row>
  </sheetData>
  <printOptions gridLines="1"/>
  <pageMargins left="0.75" right="0.75" top="1" bottom="1" header="0.5" footer="0.5"/>
  <pageSetup blackAndWhite="1" fitToHeight="1" fitToWidth="1" horizontalDpi="300" verticalDpi="300" orientation="landscape" scale="97" r:id="rId3"/>
  <legacyDrawing r:id="rId2"/>
</worksheet>
</file>

<file path=xl/worksheets/sheet7.xml><?xml version="1.0" encoding="utf-8"?>
<worksheet xmlns="http://schemas.openxmlformats.org/spreadsheetml/2006/main" xmlns:r="http://schemas.openxmlformats.org/officeDocument/2006/relationships">
  <sheetPr codeName="Sheet8"/>
  <dimension ref="A1:K38"/>
  <sheetViews>
    <sheetView zoomScale="69" zoomScaleNormal="69" workbookViewId="0" topLeftCell="A1">
      <selection activeCell="J5" sqref="J5"/>
    </sheetView>
  </sheetViews>
  <sheetFormatPr defaultColWidth="9.140625" defaultRowHeight="12.75"/>
  <cols>
    <col min="1" max="1" width="32.57421875" style="0" customWidth="1"/>
    <col min="2" max="2" width="13.140625" style="0" customWidth="1"/>
    <col min="3" max="3" width="10.421875" style="0" customWidth="1"/>
    <col min="4" max="4" width="13.140625" style="0" customWidth="1"/>
    <col min="5" max="5" width="14.421875" style="0" customWidth="1"/>
    <col min="6" max="6" width="11.140625" style="0" customWidth="1"/>
    <col min="7" max="7" width="14.00390625" style="0" customWidth="1"/>
    <col min="8" max="8" width="12.00390625" style="0" customWidth="1"/>
    <col min="9" max="9" width="15.57421875" style="0" customWidth="1"/>
    <col min="10" max="10" width="11.140625" style="0" customWidth="1"/>
    <col min="11" max="11" width="10.140625" style="0" customWidth="1"/>
  </cols>
  <sheetData>
    <row r="1" spans="1:3" ht="20.25">
      <c r="A1" s="277" t="s">
        <v>285</v>
      </c>
      <c r="C1" s="278"/>
    </row>
    <row r="2" spans="1:3" ht="18.75">
      <c r="A2" t="s">
        <v>286</v>
      </c>
      <c r="C2" s="278"/>
    </row>
    <row r="3" spans="1:11" s="284" customFormat="1" ht="26.25">
      <c r="A3" s="279" t="s">
        <v>444</v>
      </c>
      <c r="B3" s="280" t="s">
        <v>287</v>
      </c>
      <c r="C3" s="280" t="s">
        <v>288</v>
      </c>
      <c r="D3" s="280" t="s">
        <v>289</v>
      </c>
      <c r="E3" s="281" t="s">
        <v>290</v>
      </c>
      <c r="F3" s="280" t="s">
        <v>291</v>
      </c>
      <c r="G3" s="282" t="s">
        <v>292</v>
      </c>
      <c r="H3" s="283" t="s">
        <v>262</v>
      </c>
      <c r="I3" s="283" t="s">
        <v>293</v>
      </c>
      <c r="J3" s="282" t="s">
        <v>195</v>
      </c>
      <c r="K3" s="282" t="s">
        <v>294</v>
      </c>
    </row>
    <row r="4" spans="1:11" ht="12.75">
      <c r="A4" s="132"/>
      <c r="B4" s="132"/>
      <c r="C4" s="132"/>
      <c r="D4" s="132"/>
      <c r="E4" s="285"/>
      <c r="F4" s="115"/>
      <c r="G4" s="285"/>
      <c r="H4" s="115"/>
      <c r="I4" s="285"/>
      <c r="J4" s="132"/>
      <c r="K4" s="285"/>
    </row>
    <row r="5" spans="1:11" ht="12.75">
      <c r="A5" s="286" t="s">
        <v>295</v>
      </c>
      <c r="B5" s="287">
        <v>134173</v>
      </c>
      <c r="C5" s="288">
        <f aca="true" t="shared" si="0" ref="C5:C10">B5/$B$15</f>
        <v>0.09356476793778573</v>
      </c>
      <c r="D5" s="289">
        <v>35</v>
      </c>
      <c r="E5" s="290">
        <f>D5*B5</f>
        <v>4696055</v>
      </c>
      <c r="F5" s="291">
        <v>60</v>
      </c>
      <c r="G5" s="290">
        <f>F5*B5</f>
        <v>8050380</v>
      </c>
      <c r="H5" s="291">
        <f>F5-D5</f>
        <v>25</v>
      </c>
      <c r="I5" s="292">
        <f>H5*B5</f>
        <v>3354325</v>
      </c>
      <c r="J5" s="132">
        <v>40</v>
      </c>
      <c r="K5" s="285">
        <f aca="true" t="shared" si="1" ref="K5:K10">J5*B5</f>
        <v>5366920</v>
      </c>
    </row>
    <row r="6" spans="1:11" ht="12.75">
      <c r="A6" s="293" t="s">
        <v>296</v>
      </c>
      <c r="B6" s="287">
        <v>87607</v>
      </c>
      <c r="C6" s="288">
        <f t="shared" si="0"/>
        <v>0.061092236327171597</v>
      </c>
      <c r="D6" s="289">
        <v>39.99</v>
      </c>
      <c r="E6" s="290">
        <f>D6*B6</f>
        <v>3503403.93</v>
      </c>
      <c r="F6" s="291">
        <v>49.99</v>
      </c>
      <c r="G6" s="290">
        <f>F6*B6</f>
        <v>4379473.930000001</v>
      </c>
      <c r="H6" s="291">
        <f>F6-D6</f>
        <v>10</v>
      </c>
      <c r="I6" s="292">
        <f>H6*B6</f>
        <v>876070</v>
      </c>
      <c r="J6" s="132">
        <v>188</v>
      </c>
      <c r="K6" s="285">
        <f t="shared" si="1"/>
        <v>16470116</v>
      </c>
    </row>
    <row r="7" spans="1:11" ht="12.75">
      <c r="A7" s="286" t="s">
        <v>297</v>
      </c>
      <c r="B7" s="287">
        <v>60988</v>
      </c>
      <c r="C7" s="288">
        <f t="shared" si="0"/>
        <v>0.04252963015651194</v>
      </c>
      <c r="D7" s="289">
        <v>29.99</v>
      </c>
      <c r="E7" s="290">
        <f>D7*B7</f>
        <v>1829030.1199999999</v>
      </c>
      <c r="F7" s="291">
        <v>60</v>
      </c>
      <c r="G7" s="290">
        <f>F7*B7</f>
        <v>3659280</v>
      </c>
      <c r="H7" s="291">
        <f>F7-D7</f>
        <v>30.01</v>
      </c>
      <c r="I7" s="292">
        <f>H7*B7</f>
        <v>1830249.8800000001</v>
      </c>
      <c r="J7" s="132">
        <v>110</v>
      </c>
      <c r="K7" s="285">
        <f t="shared" si="1"/>
        <v>6708680</v>
      </c>
    </row>
    <row r="8" spans="1:11" ht="12.75">
      <c r="A8" s="286" t="s">
        <v>170</v>
      </c>
      <c r="B8" s="287">
        <v>15000</v>
      </c>
      <c r="C8" s="288">
        <f t="shared" si="0"/>
        <v>0.01046016351327604</v>
      </c>
      <c r="D8" s="289">
        <v>20</v>
      </c>
      <c r="E8" s="290">
        <f>D8*B8</f>
        <v>300000</v>
      </c>
      <c r="F8" s="291">
        <v>49</v>
      </c>
      <c r="G8" s="290">
        <f>F8*B8</f>
        <v>735000</v>
      </c>
      <c r="H8" s="291">
        <f>F8-D8</f>
        <v>29</v>
      </c>
      <c r="I8" s="292">
        <f>H8*B8</f>
        <v>435000</v>
      </c>
      <c r="J8" s="132">
        <v>228</v>
      </c>
      <c r="K8" s="285">
        <f t="shared" si="1"/>
        <v>3420000</v>
      </c>
    </row>
    <row r="9" spans="1:11" ht="12.75">
      <c r="A9" s="286" t="s">
        <v>298</v>
      </c>
      <c r="B9" s="287">
        <v>196800</v>
      </c>
      <c r="C9" s="288">
        <f t="shared" si="0"/>
        <v>0.13723734529418163</v>
      </c>
      <c r="D9" s="289">
        <v>34.99</v>
      </c>
      <c r="E9" s="290">
        <f>D9*B9</f>
        <v>6886032</v>
      </c>
      <c r="F9" s="291">
        <v>49.99</v>
      </c>
      <c r="G9" s="290">
        <f>F9*B9</f>
        <v>9838032</v>
      </c>
      <c r="H9" s="291">
        <f>F9-D9</f>
        <v>15</v>
      </c>
      <c r="I9" s="292">
        <f>H9*B9</f>
        <v>2952000</v>
      </c>
      <c r="J9" s="132">
        <v>124</v>
      </c>
      <c r="K9" s="285">
        <f t="shared" si="1"/>
        <v>24403200</v>
      </c>
    </row>
    <row r="10" spans="1:11" ht="12.75">
      <c r="A10" s="286" t="s">
        <v>299</v>
      </c>
      <c r="B10" s="287">
        <f>SUM(B11:B13)</f>
        <v>939444</v>
      </c>
      <c r="C10" s="288">
        <f t="shared" si="0"/>
        <v>0.6551158567710731</v>
      </c>
      <c r="D10" s="289">
        <f>SUM(D11:D13)/3</f>
        <v>20.33</v>
      </c>
      <c r="E10" s="294"/>
      <c r="F10" s="291">
        <f>SUM(F11:F13)/3</f>
        <v>33.32666666666667</v>
      </c>
      <c r="G10" s="290"/>
      <c r="H10" s="291">
        <f>SUM(H11:H13)/3</f>
        <v>12.99666666666667</v>
      </c>
      <c r="I10" s="292"/>
      <c r="J10" s="132">
        <v>174</v>
      </c>
      <c r="K10" s="285">
        <f t="shared" si="1"/>
        <v>163463256</v>
      </c>
    </row>
    <row r="11" spans="1:11" ht="12.75">
      <c r="A11" s="295" t="s">
        <v>300</v>
      </c>
      <c r="B11" s="296">
        <v>563666</v>
      </c>
      <c r="C11" s="132"/>
      <c r="D11" s="297">
        <v>8</v>
      </c>
      <c r="E11" s="294">
        <f>D11*B11</f>
        <v>4509328</v>
      </c>
      <c r="F11" s="298">
        <v>18</v>
      </c>
      <c r="G11" s="299">
        <f>F11*B11</f>
        <v>10145988</v>
      </c>
      <c r="H11" s="298">
        <f>F11-D11</f>
        <v>10</v>
      </c>
      <c r="I11" s="299">
        <f>H11*B11</f>
        <v>5636660</v>
      </c>
      <c r="J11" s="132"/>
      <c r="K11" s="285"/>
    </row>
    <row r="12" spans="1:11" ht="12.75">
      <c r="A12" s="295" t="s">
        <v>301</v>
      </c>
      <c r="B12" s="296">
        <v>253650</v>
      </c>
      <c r="C12" s="132"/>
      <c r="D12" s="297">
        <v>24.99</v>
      </c>
      <c r="E12" s="294">
        <f>D12*B12</f>
        <v>6338713.5</v>
      </c>
      <c r="F12" s="298">
        <v>39.99</v>
      </c>
      <c r="G12" s="299">
        <f>F12*B12</f>
        <v>10143463.5</v>
      </c>
      <c r="H12" s="298">
        <f>F12-D12</f>
        <v>15.000000000000004</v>
      </c>
      <c r="I12" s="299">
        <f>H12*B12</f>
        <v>3804750.000000001</v>
      </c>
      <c r="J12" s="132"/>
      <c r="K12" s="285"/>
    </row>
    <row r="13" spans="1:11" ht="12.75">
      <c r="A13" s="295" t="s">
        <v>302</v>
      </c>
      <c r="B13" s="296">
        <v>122128</v>
      </c>
      <c r="C13" s="132"/>
      <c r="D13" s="297">
        <v>28</v>
      </c>
      <c r="E13" s="294">
        <f>D13*B13</f>
        <v>3419584</v>
      </c>
      <c r="F13" s="298">
        <v>41.99</v>
      </c>
      <c r="G13" s="299">
        <f>F13*B13</f>
        <v>5128154.720000001</v>
      </c>
      <c r="H13" s="298">
        <f>F13-D13</f>
        <v>13.990000000000002</v>
      </c>
      <c r="I13" s="299">
        <f>H13*B13</f>
        <v>1708570.7200000002</v>
      </c>
      <c r="J13" s="132"/>
      <c r="K13" s="285"/>
    </row>
    <row r="14" spans="1:10" ht="13.5" thickBot="1">
      <c r="A14" s="179" t="s">
        <v>303</v>
      </c>
      <c r="B14" s="16"/>
      <c r="D14" s="300">
        <f>SUM(E5:E13)/B15</f>
        <v>21.953893377461274</v>
      </c>
      <c r="E14" s="301"/>
      <c r="F14" s="300">
        <f>SUM(G5:G13)/B15</f>
        <v>36.31752882821064</v>
      </c>
      <c r="G14" s="301"/>
      <c r="H14" s="300">
        <f>SUM(I5:I13)/B15</f>
        <v>14.363635450749365</v>
      </c>
      <c r="I14" s="302"/>
      <c r="J14" s="303">
        <f>SUM(K5:K10)/B15</f>
        <v>153.29869763990817</v>
      </c>
    </row>
    <row r="15" spans="1:3" ht="13.5" thickBot="1">
      <c r="A15" t="s">
        <v>203</v>
      </c>
      <c r="B15" s="304">
        <f>SUM(B5:B10)</f>
        <v>1434012</v>
      </c>
      <c r="C15" s="305">
        <f>SUM(C5:C10)</f>
        <v>1</v>
      </c>
    </row>
    <row r="17" spans="1:11" s="284" customFormat="1" ht="26.25">
      <c r="A17" s="279" t="s">
        <v>445</v>
      </c>
      <c r="B17" s="280" t="s">
        <v>287</v>
      </c>
      <c r="C17" s="280" t="s">
        <v>288</v>
      </c>
      <c r="D17" s="283" t="s">
        <v>289</v>
      </c>
      <c r="E17" s="281" t="s">
        <v>290</v>
      </c>
      <c r="F17" s="283" t="s">
        <v>291</v>
      </c>
      <c r="G17" s="282" t="s">
        <v>292</v>
      </c>
      <c r="H17" s="283" t="s">
        <v>262</v>
      </c>
      <c r="I17" s="283" t="s">
        <v>293</v>
      </c>
      <c r="J17" s="282" t="s">
        <v>195</v>
      </c>
      <c r="K17" s="282" t="s">
        <v>294</v>
      </c>
    </row>
    <row r="18" spans="1:11" ht="12.75">
      <c r="A18" s="132"/>
      <c r="B18" s="132"/>
      <c r="C18" s="132"/>
      <c r="D18" s="132"/>
      <c r="E18" s="285"/>
      <c r="F18" s="132"/>
      <c r="G18" s="285"/>
      <c r="H18" s="132"/>
      <c r="I18" s="285"/>
      <c r="J18" s="132"/>
      <c r="K18" s="285"/>
    </row>
    <row r="19" spans="1:11" ht="12.75">
      <c r="A19" s="286" t="s">
        <v>304</v>
      </c>
      <c r="B19" s="287">
        <v>115210</v>
      </c>
      <c r="C19" s="306">
        <f>B19/B26</f>
        <v>0.33535147722311165</v>
      </c>
      <c r="D19" s="289">
        <v>35</v>
      </c>
      <c r="E19" s="299">
        <f>D19*B19</f>
        <v>4032350</v>
      </c>
      <c r="F19" s="289">
        <v>60</v>
      </c>
      <c r="G19" s="307">
        <f>F19*B19</f>
        <v>6912600</v>
      </c>
      <c r="H19" s="289">
        <f>F19-D19</f>
        <v>25</v>
      </c>
      <c r="I19" s="292">
        <f>H19*B19</f>
        <v>2880250</v>
      </c>
      <c r="J19" s="132">
        <v>57</v>
      </c>
      <c r="K19" s="285">
        <f>J19*B19</f>
        <v>6566970</v>
      </c>
    </row>
    <row r="20" spans="1:11" ht="12.75">
      <c r="A20" s="286" t="s">
        <v>305</v>
      </c>
      <c r="B20" s="287">
        <v>35882</v>
      </c>
      <c r="C20" s="306">
        <f>B20/B26</f>
        <v>0.1044447678649396</v>
      </c>
      <c r="D20" s="289">
        <v>17.99</v>
      </c>
      <c r="E20" s="299">
        <f>D20*B20</f>
        <v>645517.1799999999</v>
      </c>
      <c r="F20" s="289">
        <v>29.99</v>
      </c>
      <c r="G20" s="307">
        <f>F20*B20</f>
        <v>1076101.18</v>
      </c>
      <c r="H20" s="289">
        <f>F20-D20</f>
        <v>12</v>
      </c>
      <c r="I20" s="292">
        <f>H20*B20</f>
        <v>430584</v>
      </c>
      <c r="J20" s="132">
        <v>62</v>
      </c>
      <c r="K20" s="285">
        <f>J20*B20</f>
        <v>2224684</v>
      </c>
    </row>
    <row r="21" spans="1:11" ht="12.75">
      <c r="A21" s="286" t="s">
        <v>306</v>
      </c>
      <c r="B21" s="287">
        <v>75000</v>
      </c>
      <c r="C21" s="306">
        <f>B21/B26</f>
        <v>0.2183088342308252</v>
      </c>
      <c r="D21" s="289">
        <v>49.99</v>
      </c>
      <c r="E21" s="299"/>
      <c r="F21" s="308" t="s">
        <v>307</v>
      </c>
      <c r="G21" s="309"/>
      <c r="H21" s="308" t="s">
        <v>307</v>
      </c>
      <c r="I21" s="292"/>
      <c r="J21" s="132"/>
      <c r="K21" s="285"/>
    </row>
    <row r="22" spans="1:11" ht="12.75">
      <c r="A22" s="286" t="s">
        <v>308</v>
      </c>
      <c r="B22" s="287">
        <v>117458</v>
      </c>
      <c r="C22" s="306">
        <f>B22/B26</f>
        <v>0.34189492068112354</v>
      </c>
      <c r="D22" s="289">
        <f>SUM(D23:D24)/2</f>
        <v>18.99</v>
      </c>
      <c r="E22" s="299">
        <f>D22*B22</f>
        <v>2230527.42</v>
      </c>
      <c r="F22" s="289">
        <f>SUM(F23:F24)/2</f>
        <v>29.99</v>
      </c>
      <c r="G22" s="307">
        <f>F22*B22</f>
        <v>3522565.42</v>
      </c>
      <c r="H22" s="289">
        <f>F22-D22</f>
        <v>11</v>
      </c>
      <c r="I22" s="292">
        <f>H22*B22</f>
        <v>1292038</v>
      </c>
      <c r="J22" s="132">
        <v>104</v>
      </c>
      <c r="K22" s="285">
        <f>J22*B22</f>
        <v>12215632</v>
      </c>
    </row>
    <row r="23" spans="1:11" ht="12.75">
      <c r="A23" s="310" t="s">
        <v>309</v>
      </c>
      <c r="B23" s="287"/>
      <c r="C23" s="286"/>
      <c r="D23" s="311">
        <v>19.99</v>
      </c>
      <c r="E23" s="132"/>
      <c r="F23" s="311">
        <v>29.99</v>
      </c>
      <c r="G23" s="132"/>
      <c r="H23" s="289"/>
      <c r="I23" s="312"/>
      <c r="J23" s="132"/>
      <c r="K23" s="132"/>
    </row>
    <row r="24" spans="1:11" ht="12.75">
      <c r="A24" s="310" t="s">
        <v>310</v>
      </c>
      <c r="B24" s="287"/>
      <c r="C24" s="286"/>
      <c r="D24" s="311">
        <v>17.99</v>
      </c>
      <c r="E24" s="132"/>
      <c r="F24" s="311">
        <v>29.99</v>
      </c>
      <c r="G24" s="132"/>
      <c r="H24" s="289"/>
      <c r="I24" s="313"/>
      <c r="J24" s="132"/>
      <c r="K24" s="132"/>
    </row>
    <row r="25" spans="1:10" ht="13.5" thickBot="1">
      <c r="A25" s="179" t="s">
        <v>303</v>
      </c>
      <c r="B25" s="16"/>
      <c r="C25" s="16"/>
      <c r="D25" s="314">
        <f>SUM(E19:E22)/(B19+B20+B22)</f>
        <v>25.724798361571402</v>
      </c>
      <c r="F25" s="314">
        <f>SUM(G19:G22)/(B19+B20+B22)</f>
        <v>42.86451908396946</v>
      </c>
      <c r="H25" s="314">
        <f>SUM(I19:I22)/(B19+B20+B22)</f>
        <v>17.139720722398064</v>
      </c>
      <c r="I25" s="301"/>
      <c r="J25" s="303">
        <f>SUM(K19:K22)/(B19+B20+B22)</f>
        <v>78.2248594302737</v>
      </c>
    </row>
    <row r="26" spans="1:8" ht="13.5" thickBot="1">
      <c r="A26" t="s">
        <v>203</v>
      </c>
      <c r="B26" s="304">
        <f>SUM(B19:B25)</f>
        <v>343550</v>
      </c>
      <c r="C26" s="315">
        <f>SUM(C19:C25)</f>
        <v>1</v>
      </c>
      <c r="H26" s="16"/>
    </row>
    <row r="27" spans="1:6" ht="12.75">
      <c r="A27" s="90"/>
      <c r="B27" s="316"/>
      <c r="D27" s="302"/>
      <c r="E27" s="302"/>
      <c r="F27" s="302"/>
    </row>
    <row r="28" spans="4:6" ht="12.75">
      <c r="D28" s="302"/>
      <c r="E28" s="302"/>
      <c r="F28" s="302"/>
    </row>
    <row r="29" spans="1:3" ht="12.75">
      <c r="A29" s="317" t="s">
        <v>311</v>
      </c>
      <c r="B29" s="317"/>
      <c r="C29" s="143"/>
    </row>
    <row r="30" spans="1:3" ht="12.75">
      <c r="A30" s="295" t="s">
        <v>312</v>
      </c>
      <c r="B30" s="318">
        <f>B15/(B15+B26)</f>
        <v>0.8067296668133095</v>
      </c>
      <c r="C30" s="141"/>
    </row>
    <row r="31" spans="1:3" ht="12.75">
      <c r="A31" s="295" t="s">
        <v>313</v>
      </c>
      <c r="B31" s="318">
        <f>1-B30</f>
        <v>0.1932703331866905</v>
      </c>
      <c r="C31" s="141"/>
    </row>
    <row r="32" spans="1:3" ht="12.75">
      <c r="A32" s="16"/>
      <c r="B32" s="319"/>
      <c r="C32" s="320"/>
    </row>
    <row r="33" spans="1:3" ht="12.75">
      <c r="A33" s="16"/>
      <c r="B33" s="141"/>
      <c r="C33" s="141"/>
    </row>
    <row r="34" spans="1:3" ht="12.75">
      <c r="A34" s="16"/>
      <c r="B34" s="321"/>
      <c r="C34" s="321"/>
    </row>
    <row r="35" spans="1:3" ht="12.75">
      <c r="A35" s="16"/>
      <c r="B35" s="322"/>
      <c r="C35" s="322"/>
    </row>
    <row r="36" spans="1:3" ht="12.75">
      <c r="A36" s="16"/>
      <c r="B36" s="322"/>
      <c r="C36" s="322"/>
    </row>
    <row r="37" spans="1:3" ht="12.75">
      <c r="A37" s="16"/>
      <c r="B37" s="141"/>
      <c r="C37" s="141"/>
    </row>
    <row r="38" spans="1:3" ht="12.75">
      <c r="A38" s="16"/>
      <c r="B38" s="323"/>
      <c r="C38" s="323"/>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1:N40"/>
  <sheetViews>
    <sheetView zoomScale="80" zoomScaleNormal="80" workbookViewId="0" topLeftCell="A3">
      <selection activeCell="F22" sqref="F22"/>
    </sheetView>
  </sheetViews>
  <sheetFormatPr defaultColWidth="9.140625" defaultRowHeight="12.75"/>
  <cols>
    <col min="1" max="1" width="33.7109375" style="0" customWidth="1"/>
    <col min="2" max="2" width="9.00390625" style="0" customWidth="1"/>
    <col min="4" max="4" width="10.57421875" style="0" customWidth="1"/>
    <col min="5" max="5" width="13.421875" style="0" customWidth="1"/>
  </cols>
  <sheetData>
    <row r="1" spans="1:7" ht="12.75">
      <c r="A1" s="179" t="s">
        <v>469</v>
      </c>
      <c r="F1" s="324" t="s">
        <v>314</v>
      </c>
      <c r="G1" s="325"/>
    </row>
    <row r="2" spans="6:8" ht="13.5" thickBot="1">
      <c r="F2" s="326" t="s">
        <v>181</v>
      </c>
      <c r="G2" s="327"/>
      <c r="H2">
        <v>80</v>
      </c>
    </row>
    <row r="3" ht="13.5" thickBot="1">
      <c r="A3" s="179" t="s">
        <v>315</v>
      </c>
    </row>
    <row r="4" spans="1:5" ht="39" thickBot="1">
      <c r="A4" s="328"/>
      <c r="B4" s="329" t="s">
        <v>316</v>
      </c>
      <c r="C4" s="329" t="s">
        <v>317</v>
      </c>
      <c r="D4" s="329" t="s">
        <v>318</v>
      </c>
      <c r="E4" s="330" t="s">
        <v>319</v>
      </c>
    </row>
    <row r="5" spans="1:5" ht="12.75">
      <c r="A5" s="331" t="s">
        <v>23</v>
      </c>
      <c r="B5" s="332">
        <f>'[2]Summary of Residential Units'!$G$12</f>
        <v>0.3026173121835001</v>
      </c>
      <c r="C5" s="332">
        <f>'[2]Summary of Residential Units'!$G$14</f>
        <v>0.4966034117366874</v>
      </c>
      <c r="D5" s="332">
        <f>'[2]Summary of Residential Units'!$G$13</f>
        <v>0.20077927607981252</v>
      </c>
      <c r="E5" s="333">
        <f>SUM(B5:D5)</f>
        <v>0.9999999999999999</v>
      </c>
    </row>
    <row r="6" spans="1:5" ht="12.75">
      <c r="A6" s="131" t="s">
        <v>320</v>
      </c>
      <c r="B6" s="334">
        <v>0.75</v>
      </c>
      <c r="C6" s="334">
        <v>1</v>
      </c>
      <c r="D6" s="334">
        <f>7.7/3.413*B6</f>
        <v>1.6920597714620569</v>
      </c>
      <c r="E6" s="335">
        <f>SUMPRODUCT(B$5:D$5,B6:D6)</f>
        <v>1.0632969318722372</v>
      </c>
    </row>
    <row r="7" spans="1:5" ht="12.75">
      <c r="A7" s="131" t="s">
        <v>470</v>
      </c>
      <c r="B7" s="336">
        <f>'[2]Summary of Residential Units'!$F$12</f>
        <v>0.30437009175225693</v>
      </c>
      <c r="C7" s="336">
        <f>'[2]Summary of Residential Units'!$F$14</f>
        <v>0.5838102108781936</v>
      </c>
      <c r="D7" s="336">
        <f>'[2]Summary of Residential Units'!$F$13</f>
        <v>0.1118196973695496</v>
      </c>
      <c r="E7" s="337">
        <f>'[3]PNW Existing Characteristics'!$F$20</f>
        <v>0.419631940634978</v>
      </c>
    </row>
    <row r="8" spans="1:5" ht="12.75">
      <c r="A8" s="131" t="s">
        <v>471</v>
      </c>
      <c r="B8" s="132"/>
      <c r="C8" s="132"/>
      <c r="D8" s="132"/>
      <c r="E8" s="338">
        <f>'[2]Summary of Residential Units'!$H$18</f>
        <v>0.39716767160370814</v>
      </c>
    </row>
    <row r="9" spans="1:5" ht="12.75">
      <c r="A9" s="131" t="s">
        <v>23</v>
      </c>
      <c r="B9" s="334">
        <f>B11/E11</f>
        <v>0.5757338394883961</v>
      </c>
      <c r="C9" s="334">
        <v>0</v>
      </c>
      <c r="D9" s="334">
        <f>D11/E11</f>
        <v>0.424266160511604</v>
      </c>
      <c r="E9" s="339"/>
    </row>
    <row r="10" spans="1:5" ht="12.75">
      <c r="A10" s="131" t="s">
        <v>321</v>
      </c>
      <c r="B10" s="336">
        <f>12*0.65/3.413*$B6</f>
        <v>1.714034573688837</v>
      </c>
      <c r="C10" s="336">
        <f>12*0.65/3.413*$B6</f>
        <v>1.714034573688837</v>
      </c>
      <c r="D10" s="336">
        <f>12*0.65/3.413*$B6</f>
        <v>1.714034573688837</v>
      </c>
      <c r="E10" s="335">
        <f>SUMPRODUCT(B$9:D$9,B10:D10)</f>
        <v>1.7140345736888372</v>
      </c>
    </row>
    <row r="11" spans="1:5" ht="13.5" thickBot="1">
      <c r="A11" s="270" t="s">
        <v>322</v>
      </c>
      <c r="B11" s="340">
        <f>'[2]Summary of Residential Units'!$E$18</f>
        <v>0.2724596827796487</v>
      </c>
      <c r="C11" s="340">
        <v>0</v>
      </c>
      <c r="D11" s="340">
        <f>D5</f>
        <v>0.20077927607981252</v>
      </c>
      <c r="E11" s="341">
        <f>SUM(B11:D11)</f>
        <v>0.4732389588594612</v>
      </c>
    </row>
    <row r="12" spans="1:5" ht="12.75">
      <c r="A12" s="404" t="s">
        <v>472</v>
      </c>
      <c r="B12" s="342"/>
      <c r="C12" s="342"/>
      <c r="D12" s="342"/>
      <c r="E12" s="342"/>
    </row>
    <row r="13" ht="12.75">
      <c r="A13" s="343" t="s">
        <v>473</v>
      </c>
    </row>
    <row r="14" ht="12.75">
      <c r="A14" s="343"/>
    </row>
    <row r="15" ht="12.75">
      <c r="A15" t="s">
        <v>474</v>
      </c>
    </row>
    <row r="16" ht="12.75">
      <c r="A16" s="344" t="s">
        <v>475</v>
      </c>
    </row>
    <row r="18" ht="13.5" thickBot="1">
      <c r="A18" s="179" t="s">
        <v>323</v>
      </c>
    </row>
    <row r="19" spans="1:4" ht="26.25" thickBot="1">
      <c r="A19" s="345" t="s">
        <v>324</v>
      </c>
      <c r="B19" s="346" t="s">
        <v>312</v>
      </c>
      <c r="C19" s="346" t="s">
        <v>313</v>
      </c>
      <c r="D19" s="347" t="s">
        <v>325</v>
      </c>
    </row>
    <row r="20" spans="1:4" ht="12.75">
      <c r="A20" s="331" t="s">
        <v>326</v>
      </c>
      <c r="B20" s="332">
        <f>'[1]Bulb Assumptions'!I7</f>
        <v>0.8648648648648649</v>
      </c>
      <c r="C20" s="332">
        <f>'[1]Bulb Assumptions'!J7</f>
        <v>0.13513513513513514</v>
      </c>
      <c r="D20" s="333">
        <f>SUM(B20:C20)</f>
        <v>1</v>
      </c>
    </row>
    <row r="21" spans="1:4" ht="12.75">
      <c r="A21" s="131" t="s">
        <v>327</v>
      </c>
      <c r="B21" s="334">
        <v>0.5</v>
      </c>
      <c r="C21" s="334">
        <v>0</v>
      </c>
      <c r="D21" s="335">
        <f aca="true" t="shared" si="0" ref="D21:D27">SUMPRODUCT(B$20:C$20,B21:C21)</f>
        <v>0.43243243243243246</v>
      </c>
    </row>
    <row r="22" spans="1:4" ht="12.75">
      <c r="A22" s="131" t="s">
        <v>328</v>
      </c>
      <c r="B22" s="348">
        <f>E8</f>
        <v>0.39716767160370814</v>
      </c>
      <c r="C22" s="349">
        <v>0</v>
      </c>
      <c r="D22" s="335">
        <f t="shared" si="0"/>
        <v>0.3434963646302341</v>
      </c>
    </row>
    <row r="23" spans="1:4" ht="12.75">
      <c r="A23" s="131" t="s">
        <v>329</v>
      </c>
      <c r="B23" s="348">
        <f>E11</f>
        <v>0.4732389588594612</v>
      </c>
      <c r="C23" s="348">
        <v>0</v>
      </c>
      <c r="D23" s="335">
        <f t="shared" si="0"/>
        <v>0.4092877482027773</v>
      </c>
    </row>
    <row r="24" spans="1:4" ht="12.75">
      <c r="A24" s="131" t="s">
        <v>330</v>
      </c>
      <c r="B24" s="334">
        <f>-B40</f>
        <v>-0.2667482750945916</v>
      </c>
      <c r="C24" s="334">
        <v>0</v>
      </c>
      <c r="D24" s="335">
        <f t="shared" si="0"/>
        <v>-0.23070121089261977</v>
      </c>
    </row>
    <row r="25" spans="1:4" ht="12.75">
      <c r="A25" s="131" t="s">
        <v>331</v>
      </c>
      <c r="B25" s="349">
        <f>B21*B22/E6</f>
        <v>0.18676235193511811</v>
      </c>
      <c r="C25" s="349">
        <f>C21*C22/E5</f>
        <v>0</v>
      </c>
      <c r="D25" s="335">
        <f t="shared" si="0"/>
        <v>0.16152419626821027</v>
      </c>
    </row>
    <row r="26" spans="1:4" ht="12.75">
      <c r="A26" s="131" t="s">
        <v>332</v>
      </c>
      <c r="B26" s="349">
        <f>B23*B24/E10</f>
        <v>-0.07364826703095328</v>
      </c>
      <c r="C26" s="349">
        <f>C23*C24/E10</f>
        <v>0</v>
      </c>
      <c r="D26" s="335">
        <f t="shared" si="0"/>
        <v>-0.0636957985132569</v>
      </c>
    </row>
    <row r="27" spans="1:4" ht="13.5" thickBot="1">
      <c r="A27" s="350" t="s">
        <v>333</v>
      </c>
      <c r="B27" s="351">
        <f>B25+B26</f>
        <v>0.11311408490416483</v>
      </c>
      <c r="C27" s="351">
        <f>C25+C26</f>
        <v>0</v>
      </c>
      <c r="D27" s="341">
        <f t="shared" si="0"/>
        <v>0.09782839775495338</v>
      </c>
    </row>
    <row r="28" ht="12.75">
      <c r="A28" s="352" t="s">
        <v>494</v>
      </c>
    </row>
    <row r="33" spans="1:14" ht="15">
      <c r="A33" s="405"/>
      <c r="B33" t="s">
        <v>476</v>
      </c>
      <c r="C33" t="s">
        <v>477</v>
      </c>
      <c r="D33" t="s">
        <v>478</v>
      </c>
      <c r="E33" t="s">
        <v>479</v>
      </c>
      <c r="F33" t="s">
        <v>480</v>
      </c>
      <c r="G33" t="s">
        <v>481</v>
      </c>
      <c r="H33" t="s">
        <v>482</v>
      </c>
      <c r="I33" t="s">
        <v>483</v>
      </c>
      <c r="J33" t="s">
        <v>484</v>
      </c>
      <c r="K33" t="s">
        <v>485</v>
      </c>
      <c r="L33" t="s">
        <v>486</v>
      </c>
      <c r="M33" t="s">
        <v>487</v>
      </c>
      <c r="N33" t="s">
        <v>57</v>
      </c>
    </row>
    <row r="34" spans="1:14" ht="15">
      <c r="A34" s="406" t="s">
        <v>488</v>
      </c>
      <c r="B34">
        <v>445</v>
      </c>
      <c r="C34">
        <v>376</v>
      </c>
      <c r="D34">
        <v>378</v>
      </c>
      <c r="E34">
        <v>335</v>
      </c>
      <c r="F34">
        <v>338</v>
      </c>
      <c r="G34">
        <v>324</v>
      </c>
      <c r="H34">
        <v>337</v>
      </c>
      <c r="I34">
        <v>345</v>
      </c>
      <c r="J34">
        <v>343</v>
      </c>
      <c r="K34">
        <v>375</v>
      </c>
      <c r="L34">
        <v>407</v>
      </c>
      <c r="M34">
        <v>490</v>
      </c>
      <c r="N34">
        <f>SUM(B34:M34)</f>
        <v>4493</v>
      </c>
    </row>
    <row r="35" spans="1:14" ht="12.75">
      <c r="A35" t="s">
        <v>489</v>
      </c>
      <c r="B35" s="407">
        <f>B34/$N34</f>
        <v>0.09904295570888048</v>
      </c>
      <c r="C35" s="407">
        <f aca="true" t="shared" si="1" ref="C35:N35">C34/$N34</f>
        <v>0.08368573336300912</v>
      </c>
      <c r="D35" s="407">
        <f t="shared" si="1"/>
        <v>0.0841308702425996</v>
      </c>
      <c r="E35" s="407">
        <f t="shared" si="1"/>
        <v>0.0745604273314044</v>
      </c>
      <c r="F35" s="407">
        <f t="shared" si="1"/>
        <v>0.07522813265079012</v>
      </c>
      <c r="G35" s="407">
        <f t="shared" si="1"/>
        <v>0.0721121744936568</v>
      </c>
      <c r="H35" s="407">
        <f t="shared" si="1"/>
        <v>0.07500556421099489</v>
      </c>
      <c r="I35" s="407">
        <f t="shared" si="1"/>
        <v>0.07678611172935677</v>
      </c>
      <c r="J35" s="407">
        <f t="shared" si="1"/>
        <v>0.0763409748497663</v>
      </c>
      <c r="K35" s="407">
        <f t="shared" si="1"/>
        <v>0.08346316492321389</v>
      </c>
      <c r="L35" s="407">
        <f t="shared" si="1"/>
        <v>0.09058535499666147</v>
      </c>
      <c r="M35" s="407">
        <f t="shared" si="1"/>
        <v>0.10905853549966615</v>
      </c>
      <c r="N35" s="407">
        <f t="shared" si="1"/>
        <v>1</v>
      </c>
    </row>
    <row r="36" spans="1:13" ht="12.75">
      <c r="A36" t="s">
        <v>490</v>
      </c>
      <c r="B36" s="408">
        <v>0</v>
      </c>
      <c r="C36" s="408">
        <v>0</v>
      </c>
      <c r="D36" s="408">
        <v>0</v>
      </c>
      <c r="E36" s="408">
        <v>0.0040100495893241805</v>
      </c>
      <c r="F36" s="408">
        <v>0.04534132801403668</v>
      </c>
      <c r="G36" s="408">
        <v>0.0818697611232761</v>
      </c>
      <c r="H36" s="408">
        <v>0.5046524897065825</v>
      </c>
      <c r="I36" s="408">
        <v>0.3240374394075517</v>
      </c>
      <c r="J36" s="408">
        <v>0.09889843062136863</v>
      </c>
      <c r="K36" s="408">
        <v>0.0026733663928827883</v>
      </c>
      <c r="L36" s="408">
        <v>0</v>
      </c>
      <c r="M36" s="408">
        <v>0</v>
      </c>
    </row>
    <row r="38" spans="1:14" ht="12.75">
      <c r="A38" t="s">
        <v>491</v>
      </c>
      <c r="B38" s="409">
        <f>B35*$N38</f>
        <v>5.0511907411529045</v>
      </c>
      <c r="C38" s="409">
        <f aca="true" t="shared" si="2" ref="C38:M38">C35*$N38</f>
        <v>4.2679724015134655</v>
      </c>
      <c r="D38" s="409">
        <f t="shared" si="2"/>
        <v>4.29067438237258</v>
      </c>
      <c r="E38" s="409">
        <f t="shared" si="2"/>
        <v>3.8025817939016244</v>
      </c>
      <c r="F38" s="409">
        <f t="shared" si="2"/>
        <v>3.836634765190296</v>
      </c>
      <c r="G38" s="409">
        <f t="shared" si="2"/>
        <v>3.6777208991764967</v>
      </c>
      <c r="H38" s="409">
        <f t="shared" si="2"/>
        <v>3.8252837747607393</v>
      </c>
      <c r="I38" s="409">
        <f t="shared" si="2"/>
        <v>3.9160916981971954</v>
      </c>
      <c r="J38" s="409">
        <f t="shared" si="2"/>
        <v>3.8933897173380814</v>
      </c>
      <c r="K38" s="409">
        <f t="shared" si="2"/>
        <v>4.256621411083908</v>
      </c>
      <c r="L38" s="409">
        <f t="shared" si="2"/>
        <v>4.619853104829735</v>
      </c>
      <c r="M38" s="409">
        <f t="shared" si="2"/>
        <v>5.5619853104829735</v>
      </c>
      <c r="N38" s="410">
        <v>51</v>
      </c>
    </row>
    <row r="39" spans="1:14" ht="25.5">
      <c r="A39" s="284" t="s">
        <v>492</v>
      </c>
      <c r="B39" s="411">
        <f>IF(B36&gt;0,B38*0.5,0)</f>
        <v>0</v>
      </c>
      <c r="C39" s="411">
        <f aca="true" t="shared" si="3" ref="C39:M39">IF(C36&gt;0,C38*0.5,0)</f>
        <v>0</v>
      </c>
      <c r="D39" s="411">
        <f t="shared" si="3"/>
        <v>0</v>
      </c>
      <c r="E39" s="411">
        <f t="shared" si="3"/>
        <v>1.9012908969508122</v>
      </c>
      <c r="F39" s="411">
        <f t="shared" si="3"/>
        <v>1.918317382595148</v>
      </c>
      <c r="G39" s="411">
        <f t="shared" si="3"/>
        <v>1.8388604495882483</v>
      </c>
      <c r="H39" s="411">
        <f t="shared" si="3"/>
        <v>1.9126418873803697</v>
      </c>
      <c r="I39" s="411">
        <f t="shared" si="3"/>
        <v>1.9580458490985977</v>
      </c>
      <c r="J39" s="411">
        <f t="shared" si="3"/>
        <v>1.9466948586690407</v>
      </c>
      <c r="K39" s="411">
        <f t="shared" si="3"/>
        <v>2.128310705541954</v>
      </c>
      <c r="L39" s="411">
        <f t="shared" si="3"/>
        <v>0</v>
      </c>
      <c r="M39" s="411">
        <f t="shared" si="3"/>
        <v>0</v>
      </c>
      <c r="N39" s="410">
        <f>SUM(B39:M39)</f>
        <v>13.60416202982417</v>
      </c>
    </row>
    <row r="40" spans="1:2" ht="25.5">
      <c r="A40" s="284" t="s">
        <v>493</v>
      </c>
      <c r="B40" s="408">
        <f>SUM(B39:M39)/N38</f>
        <v>0.2667482750945916</v>
      </c>
    </row>
  </sheetData>
  <printOptions/>
  <pageMargins left="0.75" right="0.75" top="1" bottom="1" header="0.5" footer="0.5"/>
  <pageSetup orientation="portrait" r:id="rId3"/>
  <legacyDrawing r:id="rId2"/>
</worksheet>
</file>

<file path=xl/worksheets/sheet9.xml><?xml version="1.0" encoding="utf-8"?>
<worksheet xmlns="http://schemas.openxmlformats.org/spreadsheetml/2006/main" xmlns:r="http://schemas.openxmlformats.org/officeDocument/2006/relationships">
  <sheetPr codeName="Sheet71"/>
  <dimension ref="A1:AA116"/>
  <sheetViews>
    <sheetView zoomScale="50" zoomScaleNormal="50" workbookViewId="0" topLeftCell="A1">
      <selection activeCell="A1" sqref="A1"/>
    </sheetView>
  </sheetViews>
  <sheetFormatPr defaultColWidth="9.140625" defaultRowHeight="12.75"/>
  <cols>
    <col min="1" max="1" width="40.421875" style="354" customWidth="1"/>
    <col min="2" max="2" width="14.421875" style="354" customWidth="1"/>
    <col min="3" max="3" width="10.57421875" style="354" customWidth="1"/>
    <col min="4" max="4" width="19.421875" style="354" customWidth="1"/>
    <col min="5" max="5" width="11.8515625" style="354" customWidth="1"/>
    <col min="6" max="6" width="19.8515625" style="354" customWidth="1"/>
    <col min="7" max="7" width="12.140625" style="354" customWidth="1"/>
    <col min="8" max="8" width="13.421875" style="354" customWidth="1"/>
    <col min="9" max="9" width="14.57421875" style="354" customWidth="1"/>
    <col min="10" max="10" width="12.421875" style="354" customWidth="1"/>
    <col min="11" max="21" width="10.57421875" style="354" customWidth="1"/>
    <col min="22" max="22" width="12.421875" style="354" customWidth="1"/>
    <col min="23" max="23" width="11.57421875" style="354" customWidth="1"/>
    <col min="24" max="24" width="14.421875" style="354" customWidth="1"/>
    <col min="25" max="25" width="13.421875" style="354" customWidth="1"/>
    <col min="26" max="26" width="14.421875" style="354" customWidth="1"/>
    <col min="27" max="27" width="16.57421875" style="354" customWidth="1"/>
    <col min="28" max="16384" width="10.57421875" style="354" customWidth="1"/>
  </cols>
  <sheetData>
    <row r="1" ht="15">
      <c r="A1" s="353" t="s">
        <v>334</v>
      </c>
    </row>
    <row r="2" ht="15">
      <c r="A2" s="355" t="s">
        <v>335</v>
      </c>
    </row>
    <row r="3" spans="1:16" ht="15">
      <c r="A3" s="356"/>
      <c r="B3" s="357" t="s">
        <v>336</v>
      </c>
      <c r="C3" s="357"/>
      <c r="D3" s="357"/>
      <c r="E3" s="357" t="s">
        <v>337</v>
      </c>
      <c r="F3" s="357"/>
      <c r="G3" s="357"/>
      <c r="H3" s="357" t="s">
        <v>338</v>
      </c>
      <c r="I3" s="357"/>
      <c r="J3" s="357"/>
      <c r="K3" s="357" t="s">
        <v>339</v>
      </c>
      <c r="L3" s="357"/>
      <c r="M3" s="357"/>
      <c r="N3" s="357" t="s">
        <v>340</v>
      </c>
      <c r="O3" s="357"/>
      <c r="P3" s="357"/>
    </row>
    <row r="4" spans="1:16" ht="15">
      <c r="A4" s="356" t="s">
        <v>341</v>
      </c>
      <c r="B4" s="356" t="s">
        <v>342</v>
      </c>
      <c r="C4" s="356" t="s">
        <v>343</v>
      </c>
      <c r="D4" s="356" t="s">
        <v>288</v>
      </c>
      <c r="E4" s="356" t="s">
        <v>342</v>
      </c>
      <c r="F4" s="356" t="s">
        <v>343</v>
      </c>
      <c r="G4" s="356" t="s">
        <v>288</v>
      </c>
      <c r="H4" s="356" t="s">
        <v>342</v>
      </c>
      <c r="I4" s="356" t="s">
        <v>343</v>
      </c>
      <c r="J4" s="356" t="s">
        <v>288</v>
      </c>
      <c r="K4" s="356" t="s">
        <v>342</v>
      </c>
      <c r="L4" s="356" t="s">
        <v>343</v>
      </c>
      <c r="M4" s="356" t="s">
        <v>288</v>
      </c>
      <c r="N4" s="356" t="s">
        <v>342</v>
      </c>
      <c r="O4" s="356" t="s">
        <v>343</v>
      </c>
      <c r="P4" s="356" t="s">
        <v>288</v>
      </c>
    </row>
    <row r="5" spans="1:16" ht="15">
      <c r="A5" s="358" t="s">
        <v>344</v>
      </c>
      <c r="B5" s="356">
        <v>11349</v>
      </c>
      <c r="C5" s="359">
        <f>B5/B$32</f>
        <v>0.0392811776392528</v>
      </c>
      <c r="D5" s="359">
        <f>B5/B$36</f>
        <v>0.010392638250293263</v>
      </c>
      <c r="E5" s="356">
        <v>22773</v>
      </c>
      <c r="F5" s="359">
        <f>E5/E$32</f>
        <v>0.05351326963657128</v>
      </c>
      <c r="G5" s="359">
        <f>E5/E$36</f>
        <v>0.012553920447184836</v>
      </c>
      <c r="H5" s="356">
        <v>3196</v>
      </c>
      <c r="I5" s="359">
        <f>H5/H$32</f>
        <v>0.030417816693632815</v>
      </c>
      <c r="J5" s="359">
        <f>H5/H$36</f>
        <v>0.008888839444642221</v>
      </c>
      <c r="K5" s="356">
        <v>3894</v>
      </c>
      <c r="L5" s="359">
        <f>K5/K$32</f>
        <v>0.12295936088919764</v>
      </c>
      <c r="M5" s="359">
        <f>K5/K$36</f>
        <v>0.04174170311294057</v>
      </c>
      <c r="N5" s="356">
        <f>B5+E5+H5+K5</f>
        <v>41212</v>
      </c>
      <c r="O5" s="359">
        <f>N5/N$32</f>
        <v>0.048415557074954124</v>
      </c>
      <c r="P5" s="359">
        <f>N5/N$36</f>
        <v>0.012269573351577521</v>
      </c>
    </row>
    <row r="6" spans="1:16" ht="15">
      <c r="A6" s="360" t="s">
        <v>345</v>
      </c>
      <c r="B6" s="356">
        <v>27338</v>
      </c>
      <c r="C6" s="359">
        <f>B6/B$32</f>
        <v>0.09462233098086995</v>
      </c>
      <c r="D6" s="359">
        <f>B6/B$36</f>
        <v>0.025034271256191492</v>
      </c>
      <c r="E6" s="356">
        <v>36403</v>
      </c>
      <c r="F6" s="359">
        <f>E6/E$32</f>
        <v>0.08554180628727459</v>
      </c>
      <c r="G6" s="359">
        <f>E6/E$36</f>
        <v>0.02006764001400209</v>
      </c>
      <c r="H6" s="356">
        <v>6397</v>
      </c>
      <c r="I6" s="359">
        <f>H6/H$32</f>
        <v>0.06088322071000286</v>
      </c>
      <c r="J6" s="359">
        <f>H6/H$36</f>
        <v>0.017791585083659665</v>
      </c>
      <c r="K6" s="356">
        <v>2705</v>
      </c>
      <c r="L6" s="359">
        <f>K6/K$32</f>
        <v>0.08541475891250118</v>
      </c>
      <c r="M6" s="359">
        <f>K6/K$36</f>
        <v>0.028996226738701655</v>
      </c>
      <c r="N6" s="356">
        <f>B6+E6+H6+K6</f>
        <v>72843</v>
      </c>
      <c r="O6" s="359">
        <f>N6/N$32</f>
        <v>0.0855754252162206</v>
      </c>
      <c r="P6" s="359">
        <f>N6/N$36</f>
        <v>0.021686706096500082</v>
      </c>
    </row>
    <row r="7" spans="1:16" ht="15">
      <c r="A7" s="358" t="s">
        <v>346</v>
      </c>
      <c r="B7" s="356">
        <v>1088</v>
      </c>
      <c r="C7" s="359">
        <f>B7/B$32</f>
        <v>0.00376578740607164</v>
      </c>
      <c r="D7" s="359">
        <f>B7/B$36</f>
        <v>0.000996316011659095</v>
      </c>
      <c r="E7" s="356">
        <v>70</v>
      </c>
      <c r="F7" s="359">
        <f>E7/E$32</f>
        <v>0.0001644899167681021</v>
      </c>
      <c r="G7" s="359">
        <f>E7/E$36</f>
        <v>3.858843504601671E-05</v>
      </c>
      <c r="H7" s="356">
        <v>109</v>
      </c>
      <c r="I7" s="359">
        <f>H7/H$32</f>
        <v>0.0010374036356714572</v>
      </c>
      <c r="J7" s="359">
        <f>H7/H$36</f>
        <v>0.00030315503737985046</v>
      </c>
      <c r="K7" s="356">
        <v>15</v>
      </c>
      <c r="L7" s="359">
        <f>K7/K$32</f>
        <v>0.00047364931005083833</v>
      </c>
      <c r="M7" s="359">
        <f>K7/K$36</f>
        <v>0.00016079238487265243</v>
      </c>
      <c r="N7" s="356">
        <f>B7+E7+H7+K7</f>
        <v>1282</v>
      </c>
      <c r="O7" s="359">
        <f>N7/N$32</f>
        <v>0.0015060842514338345</v>
      </c>
      <c r="P7" s="359">
        <f>N7/N$36</f>
        <v>0.00038167507125891445</v>
      </c>
    </row>
    <row r="8" spans="1:16" ht="15">
      <c r="A8" s="358" t="s">
        <v>347</v>
      </c>
      <c r="B8" s="356">
        <v>245149</v>
      </c>
      <c r="C8" s="359">
        <f>B8/B$32</f>
        <v>0.8485101257454563</v>
      </c>
      <c r="D8" s="359">
        <f>B8/B$36</f>
        <v>0.22449069296159513</v>
      </c>
      <c r="E8" s="356">
        <v>364590</v>
      </c>
      <c r="F8" s="359">
        <f>E8/E$32</f>
        <v>0.8567339822068907</v>
      </c>
      <c r="G8" s="359">
        <f>E8/E$36</f>
        <v>0.20098510762038901</v>
      </c>
      <c r="H8" s="356">
        <v>94265</v>
      </c>
      <c r="I8" s="359">
        <f>H8/H$32</f>
        <v>0.8971637955648615</v>
      </c>
      <c r="J8" s="359">
        <f>H8/H$36</f>
        <v>0.26217348255606976</v>
      </c>
      <c r="K8" s="356">
        <v>23866</v>
      </c>
      <c r="L8" s="359">
        <f>K8/K$32</f>
        <v>0.7536076289115539</v>
      </c>
      <c r="M8" s="359">
        <f>K8/K$36</f>
        <v>0.25583140382471486</v>
      </c>
      <c r="N8" s="356">
        <f>B8+E8+H8+K8</f>
        <v>727870</v>
      </c>
      <c r="O8" s="359">
        <f>N8/N$32</f>
        <v>0.855096368245823</v>
      </c>
      <c r="P8" s="359">
        <f>N8/N$36</f>
        <v>0.2167003386249813</v>
      </c>
    </row>
    <row r="9" spans="1:16" ht="15">
      <c r="A9" s="358" t="s">
        <v>348</v>
      </c>
      <c r="B9" s="356">
        <v>3993</v>
      </c>
      <c r="C9" s="359">
        <f>B9/B$32</f>
        <v>0.013820578228349319</v>
      </c>
      <c r="D9" s="359">
        <f>B9/B$36</f>
        <v>0.0036565163920540137</v>
      </c>
      <c r="E9" s="356">
        <v>1722</v>
      </c>
      <c r="F9" s="359">
        <f>E9/E$32</f>
        <v>0.004046451952495312</v>
      </c>
      <c r="G9" s="359">
        <f>E9/E$36</f>
        <v>0.0009492755021320111</v>
      </c>
      <c r="H9" s="356">
        <v>1103</v>
      </c>
      <c r="I9" s="359">
        <f>H9/H$32</f>
        <v>0.01049776339583135</v>
      </c>
      <c r="J9" s="359">
        <f>H9/H$36</f>
        <v>0.003067706479174083</v>
      </c>
      <c r="K9" s="356">
        <v>1189</v>
      </c>
      <c r="L9" s="359">
        <f>K9/K$32</f>
        <v>0.03754460197669646</v>
      </c>
      <c r="M9" s="359">
        <f>K9/K$36</f>
        <v>0.012745476374238916</v>
      </c>
      <c r="N9" s="356">
        <f>B9+E9+H9+K9</f>
        <v>8007</v>
      </c>
      <c r="O9" s="359">
        <f>N9/N$32</f>
        <v>0.00940656521156842</v>
      </c>
      <c r="P9" s="359">
        <f>N9/N$36</f>
        <v>0.002383831743814452</v>
      </c>
    </row>
    <row r="10" spans="1:16" ht="15">
      <c r="A10" s="356" t="s">
        <v>349</v>
      </c>
      <c r="B10" s="356"/>
      <c r="C10" s="356"/>
      <c r="D10" s="359"/>
      <c r="E10" s="356"/>
      <c r="F10" s="356"/>
      <c r="G10" s="359"/>
      <c r="H10" s="356"/>
      <c r="I10" s="356"/>
      <c r="J10" s="359"/>
      <c r="K10" s="356"/>
      <c r="L10" s="356"/>
      <c r="M10" s="356"/>
      <c r="N10" s="356"/>
      <c r="O10" s="356"/>
      <c r="P10" s="356"/>
    </row>
    <row r="11" spans="1:16" ht="15">
      <c r="A11" s="358" t="s">
        <v>344</v>
      </c>
      <c r="B11" s="356">
        <v>2683</v>
      </c>
      <c r="C11" s="359">
        <f>B11/B$33</f>
        <v>0.027907799205309034</v>
      </c>
      <c r="D11" s="359">
        <f>B11/B$36</f>
        <v>0.0024569079588983014</v>
      </c>
      <c r="E11" s="356">
        <v>8153</v>
      </c>
      <c r="F11" s="359">
        <f>E11/E$33</f>
        <v>0.04538369905258119</v>
      </c>
      <c r="G11" s="359">
        <f>E11/E$36</f>
        <v>0.004494450156145346</v>
      </c>
      <c r="H11" s="356">
        <v>1049</v>
      </c>
      <c r="I11" s="359">
        <f>H11/H$33</f>
        <v>0.0270124118040892</v>
      </c>
      <c r="J11" s="359">
        <f>H11/H$36</f>
        <v>0.0029175195799216805</v>
      </c>
      <c r="K11" s="356">
        <v>137</v>
      </c>
      <c r="L11" s="359">
        <f>K11/K$33</f>
        <v>0.02035661218424963</v>
      </c>
      <c r="M11" s="359">
        <f>K11/K$36</f>
        <v>0.001468570448503559</v>
      </c>
      <c r="N11" s="356">
        <f>B11+E11+H11+K11</f>
        <v>12022</v>
      </c>
      <c r="O11" s="359">
        <f>N11/N$33</f>
        <v>0.03741115550742497</v>
      </c>
      <c r="P11" s="359">
        <f>N11/N$36</f>
        <v>0.0035791713780613647</v>
      </c>
    </row>
    <row r="12" spans="1:16" ht="15">
      <c r="A12" s="360" t="s">
        <v>345</v>
      </c>
      <c r="B12" s="356">
        <v>2153</v>
      </c>
      <c r="C12" s="359">
        <f>B12/B$33</f>
        <v>0.022394890677983732</v>
      </c>
      <c r="D12" s="359">
        <f>B12/B$36</f>
        <v>0.001971570195865838</v>
      </c>
      <c r="E12" s="356">
        <v>14282</v>
      </c>
      <c r="F12" s="359">
        <f>E12/E$33</f>
        <v>0.07950079600993064</v>
      </c>
      <c r="G12" s="359">
        <f>E12/E$36</f>
        <v>0.00787314327610301</v>
      </c>
      <c r="H12" s="356">
        <v>1435</v>
      </c>
      <c r="I12" s="359">
        <f>H12/H$33</f>
        <v>0.03695215532780553</v>
      </c>
      <c r="J12" s="359">
        <f>H12/H$36</f>
        <v>0.003991077785688857</v>
      </c>
      <c r="K12" s="356">
        <v>327</v>
      </c>
      <c r="L12" s="359">
        <f>K12/K$33</f>
        <v>0.04858841010401189</v>
      </c>
      <c r="M12" s="359">
        <f>K12/K$36</f>
        <v>0.003505273990223823</v>
      </c>
      <c r="N12" s="356">
        <f>B12+E12+H12+K12</f>
        <v>18197</v>
      </c>
      <c r="O12" s="359">
        <f>N12/N$33</f>
        <v>0.05662708341113061</v>
      </c>
      <c r="P12" s="359">
        <f>N12/N$36</f>
        <v>0.005417582895240613</v>
      </c>
    </row>
    <row r="13" spans="1:16" ht="15">
      <c r="A13" s="358" t="s">
        <v>346</v>
      </c>
      <c r="B13" s="356">
        <v>421</v>
      </c>
      <c r="C13" s="359">
        <f>B13/B$33</f>
        <v>0.004379121679252741</v>
      </c>
      <c r="D13" s="359">
        <f>B13/B$36</f>
        <v>0.0003855230155408815</v>
      </c>
      <c r="E13" s="356">
        <v>0</v>
      </c>
      <c r="F13" s="359">
        <f>E13/E$33</f>
        <v>0</v>
      </c>
      <c r="G13" s="359">
        <f>E13/E$36</f>
        <v>0</v>
      </c>
      <c r="H13" s="356">
        <v>332</v>
      </c>
      <c r="I13" s="359">
        <f>H13/H$33</f>
        <v>0.008549209455631663</v>
      </c>
      <c r="J13" s="359">
        <f>H13/H$36</f>
        <v>0.0009233713065147739</v>
      </c>
      <c r="K13" s="356">
        <v>160</v>
      </c>
      <c r="L13" s="359">
        <f>K13/K$33</f>
        <v>0.0237741456166419</v>
      </c>
      <c r="M13" s="359">
        <f>K13/K$36</f>
        <v>0.0017151187719749593</v>
      </c>
      <c r="N13" s="356">
        <f>B13+E13+H13+K13</f>
        <v>913</v>
      </c>
      <c r="O13" s="359">
        <f>N13/N$33</f>
        <v>0.0028411566277057893</v>
      </c>
      <c r="P13" s="359">
        <f>N13/N$36</f>
        <v>0.0002718169579246403</v>
      </c>
    </row>
    <row r="14" spans="1:16" ht="15">
      <c r="A14" s="358" t="s">
        <v>347</v>
      </c>
      <c r="B14" s="356">
        <v>85006</v>
      </c>
      <c r="C14" s="359">
        <f>B14/B$33</f>
        <v>0.8842081174977636</v>
      </c>
      <c r="D14" s="359">
        <f>B14/B$36</f>
        <v>0.07784268280063698</v>
      </c>
      <c r="E14" s="356">
        <v>155448</v>
      </c>
      <c r="F14" s="359">
        <f>E14/E$33</f>
        <v>0.8653017601282522</v>
      </c>
      <c r="G14" s="359">
        <f>E14/E$36</f>
        <v>0.0856927864433315</v>
      </c>
      <c r="H14" s="356">
        <v>35469</v>
      </c>
      <c r="I14" s="359">
        <f>H14/H$33</f>
        <v>0.9133491270536128</v>
      </c>
      <c r="J14" s="359">
        <f>H14/H$36</f>
        <v>0.09864776165895336</v>
      </c>
      <c r="K14" s="356">
        <v>5420</v>
      </c>
      <c r="L14" s="359">
        <f>K14/K$33</f>
        <v>0.8053491827637445</v>
      </c>
      <c r="M14" s="359">
        <f>K14/K$36</f>
        <v>0.058099648400651745</v>
      </c>
      <c r="N14" s="356">
        <f>B14+E14+H14+K14</f>
        <v>281343</v>
      </c>
      <c r="O14" s="359">
        <f>N14/N$33</f>
        <v>0.8755087942044139</v>
      </c>
      <c r="P14" s="359">
        <f>N14/N$36</f>
        <v>0.08376100590732977</v>
      </c>
    </row>
    <row r="15" spans="1:16" ht="15">
      <c r="A15" s="358" t="s">
        <v>348</v>
      </c>
      <c r="B15" s="356">
        <v>5875</v>
      </c>
      <c r="C15" s="359">
        <f>B15/B$33</f>
        <v>0.06111007093969086</v>
      </c>
      <c r="D15" s="359">
        <f>B15/B$36</f>
        <v>0.005379923316633441</v>
      </c>
      <c r="E15" s="356">
        <v>1763</v>
      </c>
      <c r="F15" s="359">
        <f>E15/E$33</f>
        <v>0.009813744809235941</v>
      </c>
      <c r="G15" s="359">
        <f>E15/E$36</f>
        <v>0.0009718772998018209</v>
      </c>
      <c r="H15" s="356">
        <v>549</v>
      </c>
      <c r="I15" s="359">
        <f>H15/H$33</f>
        <v>0.014137096358860792</v>
      </c>
      <c r="J15" s="359">
        <f>H15/H$36</f>
        <v>0.0015269001423994304</v>
      </c>
      <c r="K15" s="356">
        <v>686</v>
      </c>
      <c r="L15" s="359">
        <f>K15/K$33</f>
        <v>0.10193164933135215</v>
      </c>
      <c r="M15" s="359">
        <f>K15/K$36</f>
        <v>0.007353571734842638</v>
      </c>
      <c r="N15" s="356">
        <f>B15+E15+H15+K15</f>
        <v>8873</v>
      </c>
      <c r="O15" s="359">
        <f>N15/N$33</f>
        <v>0.02761181024932472</v>
      </c>
      <c r="P15" s="359">
        <f>N15/N$36</f>
        <v>0.002641655933916028</v>
      </c>
    </row>
    <row r="16" spans="1:16" ht="15">
      <c r="A16" s="356" t="s">
        <v>350</v>
      </c>
      <c r="B16" s="356"/>
      <c r="C16" s="356"/>
      <c r="D16" s="359"/>
      <c r="E16" s="356"/>
      <c r="F16" s="356"/>
      <c r="G16" s="359"/>
      <c r="H16" s="356"/>
      <c r="I16" s="356"/>
      <c r="J16" s="359"/>
      <c r="K16" s="356"/>
      <c r="L16" s="356"/>
      <c r="M16" s="356"/>
      <c r="N16" s="356"/>
      <c r="O16" s="356"/>
      <c r="P16" s="356"/>
    </row>
    <row r="17" spans="1:16" ht="15">
      <c r="A17" s="358" t="s">
        <v>318</v>
      </c>
      <c r="B17" s="356">
        <v>78636</v>
      </c>
      <c r="C17" s="359">
        <f aca="true" t="shared" si="0" ref="C17:C23">B17/B$34</f>
        <v>0.16074900088923413</v>
      </c>
      <c r="D17" s="359">
        <f aca="true" t="shared" si="1" ref="D17:D23">B17/B$36</f>
        <v>0.07200947232796379</v>
      </c>
      <c r="E17" s="356">
        <v>88207</v>
      </c>
      <c r="F17" s="359">
        <f aca="true" t="shared" si="2" ref="F17:F23">E17/E$34</f>
        <v>0.0920687308466311</v>
      </c>
      <c r="G17" s="359">
        <f aca="true" t="shared" si="3" ref="G17:G23">E17/E$36</f>
        <v>0.048625287001485655</v>
      </c>
      <c r="H17" s="356">
        <v>14159</v>
      </c>
      <c r="I17" s="359">
        <f aca="true" t="shared" si="4" ref="I17:I23">H17/H$34</f>
        <v>0.09643650134176077</v>
      </c>
      <c r="J17" s="359">
        <f aca="true" t="shared" si="5" ref="J17:J23">H17/H$36</f>
        <v>0.039379561231755074</v>
      </c>
      <c r="K17" s="356">
        <v>503</v>
      </c>
      <c r="L17" s="359">
        <f aca="true" t="shared" si="6" ref="L17:L23">K17/K$34</f>
        <v>0.02423512406649</v>
      </c>
      <c r="M17" s="359">
        <f aca="true" t="shared" si="7" ref="M17:M23">K17/K$36</f>
        <v>0.005391904639396278</v>
      </c>
      <c r="N17" s="356">
        <f aca="true" t="shared" si="8" ref="N17:N23">B17+E17+H17+K17</f>
        <v>181505</v>
      </c>
      <c r="O17" s="359">
        <f aca="true" t="shared" si="9" ref="O17:O23">N17/N$34</f>
        <v>0.11239966361534241</v>
      </c>
      <c r="P17" s="359">
        <f aca="true" t="shared" si="10" ref="P17:P23">N17/N$36</f>
        <v>0.05403738986649709</v>
      </c>
    </row>
    <row r="18" spans="1:16" ht="15">
      <c r="A18" s="358" t="s">
        <v>351</v>
      </c>
      <c r="B18" s="356">
        <v>9981</v>
      </c>
      <c r="C18" s="359">
        <f t="shared" si="0"/>
        <v>0.020403323895867617</v>
      </c>
      <c r="D18" s="359">
        <f t="shared" si="1"/>
        <v>0.00913991738269249</v>
      </c>
      <c r="E18" s="356">
        <v>16631</v>
      </c>
      <c r="F18" s="359">
        <f t="shared" si="2"/>
        <v>0.017359110532160958</v>
      </c>
      <c r="G18" s="359">
        <f t="shared" si="3"/>
        <v>0.00916806090357577</v>
      </c>
      <c r="H18" s="356">
        <v>1930</v>
      </c>
      <c r="I18" s="359">
        <f t="shared" si="4"/>
        <v>0.013145168980125594</v>
      </c>
      <c r="J18" s="359">
        <f t="shared" si="5"/>
        <v>0.005367791028835884</v>
      </c>
      <c r="K18" s="356">
        <v>731</v>
      </c>
      <c r="L18" s="359">
        <f t="shared" si="6"/>
        <v>0.03522042881233438</v>
      </c>
      <c r="M18" s="359">
        <f t="shared" si="7"/>
        <v>0.007835948889460594</v>
      </c>
      <c r="N18" s="356">
        <f t="shared" si="8"/>
        <v>29273</v>
      </c>
      <c r="O18" s="359">
        <f t="shared" si="9"/>
        <v>0.01812773947280746</v>
      </c>
      <c r="P18" s="359">
        <f t="shared" si="10"/>
        <v>0.00871511260605476</v>
      </c>
    </row>
    <row r="19" spans="1:16" ht="15">
      <c r="A19" s="358" t="s">
        <v>352</v>
      </c>
      <c r="B19" s="356">
        <v>85864</v>
      </c>
      <c r="C19" s="359">
        <f t="shared" si="0"/>
        <v>0.175524597033842</v>
      </c>
      <c r="D19" s="359">
        <f t="shared" si="1"/>
        <v>0.07862838053777256</v>
      </c>
      <c r="E19" s="356">
        <v>99122</v>
      </c>
      <c r="F19" s="359">
        <f t="shared" si="2"/>
        <v>0.10346159305927838</v>
      </c>
      <c r="G19" s="359">
        <f t="shared" si="3"/>
        <v>0.05464232655187526</v>
      </c>
      <c r="H19" s="356">
        <v>41977</v>
      </c>
      <c r="I19" s="359">
        <f t="shared" si="4"/>
        <v>0.2859040198335399</v>
      </c>
      <c r="J19" s="359">
        <f t="shared" si="5"/>
        <v>0.11674806425774296</v>
      </c>
      <c r="K19" s="356">
        <v>1606</v>
      </c>
      <c r="L19" s="359">
        <f t="shared" si="6"/>
        <v>0.07737894483257046</v>
      </c>
      <c r="M19" s="359">
        <f t="shared" si="7"/>
        <v>0.017215504673698652</v>
      </c>
      <c r="N19" s="356">
        <f t="shared" si="8"/>
        <v>228569</v>
      </c>
      <c r="O19" s="359">
        <f t="shared" si="9"/>
        <v>0.14154474374201922</v>
      </c>
      <c r="P19" s="359">
        <f t="shared" si="10"/>
        <v>0.06804921167127832</v>
      </c>
    </row>
    <row r="20" spans="1:16" ht="15">
      <c r="A20" s="358" t="s">
        <v>344</v>
      </c>
      <c r="B20" s="356">
        <v>4371</v>
      </c>
      <c r="C20" s="359">
        <f t="shared" si="0"/>
        <v>0.008935269887670308</v>
      </c>
      <c r="D20" s="359">
        <f t="shared" si="1"/>
        <v>0.00400266294757528</v>
      </c>
      <c r="E20" s="356">
        <v>8283</v>
      </c>
      <c r="F20" s="359">
        <f t="shared" si="2"/>
        <v>0.008645632405621384</v>
      </c>
      <c r="G20" s="359">
        <f t="shared" si="3"/>
        <v>0.004566114392659377</v>
      </c>
      <c r="H20" s="356">
        <v>1598</v>
      </c>
      <c r="I20" s="359">
        <f t="shared" si="4"/>
        <v>0.010883927476808653</v>
      </c>
      <c r="J20" s="359">
        <f t="shared" si="5"/>
        <v>0.004444419722321111</v>
      </c>
      <c r="K20" s="356">
        <v>480</v>
      </c>
      <c r="L20" s="359">
        <f t="shared" si="6"/>
        <v>0.02312695735967237</v>
      </c>
      <c r="M20" s="359">
        <f t="shared" si="7"/>
        <v>0.005145356315924878</v>
      </c>
      <c r="N20" s="356">
        <f t="shared" si="8"/>
        <v>14732</v>
      </c>
      <c r="O20" s="359">
        <f t="shared" si="9"/>
        <v>0.009123009528008728</v>
      </c>
      <c r="P20" s="359">
        <f t="shared" si="10"/>
        <v>0.00438598841636999</v>
      </c>
    </row>
    <row r="21" spans="1:16" ht="15">
      <c r="A21" s="358" t="s">
        <v>347</v>
      </c>
      <c r="B21" s="356">
        <v>136205</v>
      </c>
      <c r="C21" s="359">
        <f t="shared" si="0"/>
        <v>0.2784324948639063</v>
      </c>
      <c r="D21" s="359">
        <f t="shared" si="1"/>
        <v>0.12472722644120134</v>
      </c>
      <c r="E21" s="356">
        <v>312361</v>
      </c>
      <c r="F21" s="359">
        <f t="shared" si="2"/>
        <v>0.32603626510350125</v>
      </c>
      <c r="G21" s="359">
        <f t="shared" si="3"/>
        <v>0.17219317370584036</v>
      </c>
      <c r="H21" s="356">
        <v>48156</v>
      </c>
      <c r="I21" s="359">
        <f t="shared" si="4"/>
        <v>0.3279889934750923</v>
      </c>
      <c r="J21" s="359">
        <f t="shared" si="5"/>
        <v>0.13393333926664294</v>
      </c>
      <c r="K21" s="356">
        <v>6305</v>
      </c>
      <c r="L21" s="359">
        <f t="shared" si="6"/>
        <v>0.30378222115152975</v>
      </c>
      <c r="M21" s="359">
        <f t="shared" si="7"/>
        <v>0.06758639910813824</v>
      </c>
      <c r="N21" s="356">
        <f t="shared" si="8"/>
        <v>503027</v>
      </c>
      <c r="O21" s="359">
        <f t="shared" si="9"/>
        <v>0.31150693143128205</v>
      </c>
      <c r="P21" s="359">
        <f t="shared" si="10"/>
        <v>0.14976042595176128</v>
      </c>
    </row>
    <row r="22" spans="1:16" ht="15">
      <c r="A22" s="358" t="s">
        <v>353</v>
      </c>
      <c r="B22" s="356">
        <v>173246</v>
      </c>
      <c r="C22" s="359">
        <f t="shared" si="0"/>
        <v>0.35415231456401974</v>
      </c>
      <c r="D22" s="359">
        <f t="shared" si="1"/>
        <v>0.15864684168740037</v>
      </c>
      <c r="E22" s="356">
        <v>430643</v>
      </c>
      <c r="F22" s="359">
        <f t="shared" si="2"/>
        <v>0.4494966891288192</v>
      </c>
      <c r="G22" s="359">
        <f t="shared" si="3"/>
        <v>0.2373977061931682</v>
      </c>
      <c r="H22" s="356">
        <v>38067</v>
      </c>
      <c r="I22" s="359">
        <f t="shared" si="4"/>
        <v>0.2592731334541145</v>
      </c>
      <c r="J22" s="359">
        <f t="shared" si="5"/>
        <v>0.10587342025631898</v>
      </c>
      <c r="K22" s="356">
        <v>11115</v>
      </c>
      <c r="L22" s="359">
        <f t="shared" si="6"/>
        <v>0.5355336063599133</v>
      </c>
      <c r="M22" s="359">
        <f t="shared" si="7"/>
        <v>0.11914715719063546</v>
      </c>
      <c r="N22" s="356">
        <f t="shared" si="8"/>
        <v>653071</v>
      </c>
      <c r="O22" s="359">
        <f t="shared" si="9"/>
        <v>0.4044239041179873</v>
      </c>
      <c r="P22" s="359">
        <f t="shared" si="10"/>
        <v>0.1944312952122703</v>
      </c>
    </row>
    <row r="23" spans="1:17" ht="15">
      <c r="A23" s="358" t="s">
        <v>348</v>
      </c>
      <c r="B23" s="356">
        <v>882</v>
      </c>
      <c r="C23" s="359">
        <f t="shared" si="0"/>
        <v>0.0018029988654598976</v>
      </c>
      <c r="D23" s="359">
        <f t="shared" si="1"/>
        <v>0.0008076752962162885</v>
      </c>
      <c r="E23" s="356">
        <v>2809</v>
      </c>
      <c r="F23" s="359">
        <f t="shared" si="2"/>
        <v>0.002931978923987742</v>
      </c>
      <c r="G23" s="359">
        <f t="shared" si="3"/>
        <v>0.0015484987720608705</v>
      </c>
      <c r="H23" s="356">
        <v>935</v>
      </c>
      <c r="I23" s="359">
        <f t="shared" si="4"/>
        <v>0.0063682554385582546</v>
      </c>
      <c r="J23" s="359">
        <f t="shared" si="5"/>
        <v>0.0026004583481666075</v>
      </c>
      <c r="K23" s="356">
        <v>15</v>
      </c>
      <c r="L23" s="359">
        <f t="shared" si="6"/>
        <v>0.0007227174174897615</v>
      </c>
      <c r="M23" s="359">
        <f t="shared" si="7"/>
        <v>0.00016079238487265243</v>
      </c>
      <c r="N23" s="356">
        <f t="shared" si="8"/>
        <v>4641</v>
      </c>
      <c r="O23" s="359">
        <f t="shared" si="9"/>
        <v>0.002874008092552845</v>
      </c>
      <c r="P23" s="359">
        <f t="shared" si="10"/>
        <v>0.0013817113929115615</v>
      </c>
      <c r="Q23" s="361">
        <f>SUM(P17:P23)</f>
        <v>0.48076113511714336</v>
      </c>
    </row>
    <row r="24" spans="1:16" ht="15">
      <c r="A24" s="356" t="s">
        <v>354</v>
      </c>
      <c r="B24" s="356"/>
      <c r="C24" s="356"/>
      <c r="D24" s="359"/>
      <c r="E24" s="356"/>
      <c r="F24" s="356"/>
      <c r="G24" s="359"/>
      <c r="H24" s="356"/>
      <c r="I24" s="356"/>
      <c r="J24" s="359"/>
      <c r="K24" s="356"/>
      <c r="L24" s="356"/>
      <c r="M24" s="356"/>
      <c r="N24" s="356"/>
      <c r="O24" s="356"/>
      <c r="P24" s="356"/>
    </row>
    <row r="25" spans="1:16" ht="15">
      <c r="A25" s="358" t="s">
        <v>355</v>
      </c>
      <c r="B25" s="356">
        <v>162673</v>
      </c>
      <c r="C25" s="359">
        <f>B25/B$35</f>
        <v>0.7469499455880395</v>
      </c>
      <c r="D25" s="359">
        <f>B25/B$36</f>
        <v>0.1489648111807169</v>
      </c>
      <c r="E25" s="356">
        <v>169225</v>
      </c>
      <c r="F25" s="359">
        <f>E25/E$35</f>
        <v>0.6748619170106279</v>
      </c>
      <c r="G25" s="359">
        <f>E25/E$36</f>
        <v>0.0932875417237454</v>
      </c>
      <c r="H25" s="356">
        <v>50705</v>
      </c>
      <c r="I25" s="359">
        <f>H25/H$35</f>
        <v>0.7367128701362857</v>
      </c>
      <c r="J25" s="359">
        <f>H25/H$36</f>
        <v>0.14102271715913137</v>
      </c>
      <c r="K25" s="356">
        <v>26793</v>
      </c>
      <c r="L25" s="359">
        <f>K25/K$35</f>
        <v>0.7849358410968535</v>
      </c>
      <c r="M25" s="359">
        <f>K25/K$36</f>
        <v>0.2872073578595318</v>
      </c>
      <c r="N25" s="356">
        <f>B25+E25+H25+K25</f>
        <v>409396</v>
      </c>
      <c r="O25" s="359">
        <f>N25/N$35</f>
        <v>0.7163559627505258</v>
      </c>
      <c r="P25" s="359">
        <f>N25/N$36</f>
        <v>0.1218847484189661</v>
      </c>
    </row>
    <row r="26" spans="1:16" ht="15">
      <c r="A26" s="358" t="s">
        <v>356</v>
      </c>
      <c r="B26" s="356">
        <v>9029</v>
      </c>
      <c r="C26" s="359">
        <f>B26/B$35</f>
        <v>0.041458699714853775</v>
      </c>
      <c r="D26" s="359">
        <f>B26/B$36</f>
        <v>0.008268140872490781</v>
      </c>
      <c r="E26" s="356">
        <v>25182</v>
      </c>
      <c r="F26" s="359">
        <f>E26/E$35</f>
        <v>0.10042471735359215</v>
      </c>
      <c r="G26" s="359">
        <f>E26/E$36</f>
        <v>0.01388191387612561</v>
      </c>
      <c r="H26" s="356">
        <v>5511</v>
      </c>
      <c r="I26" s="359">
        <f>H26/H$35</f>
        <v>0.08007148461337285</v>
      </c>
      <c r="J26" s="359">
        <f>H26/H$36</f>
        <v>0.015327407440370238</v>
      </c>
      <c r="K26" s="356">
        <v>1904</v>
      </c>
      <c r="L26" s="359">
        <f>K26/K$35</f>
        <v>0.05578016054373938</v>
      </c>
      <c r="M26" s="359">
        <f>K26/K$36</f>
        <v>0.020409913386502016</v>
      </c>
      <c r="N26" s="356">
        <f>B26+E26+H26+K26</f>
        <v>41626</v>
      </c>
      <c r="O26" s="359">
        <f>N26/N$35</f>
        <v>0.07283665034698285</v>
      </c>
      <c r="P26" s="359">
        <f>N26/N$36</f>
        <v>0.01239282879580622</v>
      </c>
    </row>
    <row r="27" spans="1:16" ht="15">
      <c r="A27" s="358" t="s">
        <v>347</v>
      </c>
      <c r="B27" s="356">
        <v>5267</v>
      </c>
      <c r="C27" s="359">
        <f>B27/B$35</f>
        <v>0.02418462414421695</v>
      </c>
      <c r="D27" s="359">
        <f>B27/B$36</f>
        <v>0.004823158486588652</v>
      </c>
      <c r="E27" s="356">
        <v>8388</v>
      </c>
      <c r="F27" s="359">
        <f>E27/E$35</f>
        <v>0.03345097804630017</v>
      </c>
      <c r="G27" s="359">
        <f>E27/E$36</f>
        <v>0.004623997045228402</v>
      </c>
      <c r="H27" s="356">
        <v>2859</v>
      </c>
      <c r="I27" s="359">
        <f>H27/H$35</f>
        <v>0.0415395344782495</v>
      </c>
      <c r="J27" s="359">
        <f>H27/H$36</f>
        <v>0.007951561943752225</v>
      </c>
      <c r="K27" s="356">
        <v>1911</v>
      </c>
      <c r="L27" s="359">
        <f>K27/K$35</f>
        <v>0.05598523466338548</v>
      </c>
      <c r="M27" s="359">
        <f>K27/K$36</f>
        <v>0.02048494983277592</v>
      </c>
      <c r="N27" s="356">
        <f>B27+E27+H27+K27</f>
        <v>18425</v>
      </c>
      <c r="O27" s="359">
        <f>N27/N$35</f>
        <v>0.032239832860307474</v>
      </c>
      <c r="P27" s="359">
        <f>N27/N$36</f>
        <v>0.005485462705105693</v>
      </c>
    </row>
    <row r="28" spans="1:16" ht="15">
      <c r="A28" s="358" t="s">
        <v>357</v>
      </c>
      <c r="B28" s="356">
        <v>34759</v>
      </c>
      <c r="C28" s="359">
        <f>B28/B$35</f>
        <v>0.15960382582662558</v>
      </c>
      <c r="D28" s="359">
        <f>B28/B$36</f>
        <v>0.03182991567027434</v>
      </c>
      <c r="E28" s="356">
        <v>41623</v>
      </c>
      <c r="F28" s="359">
        <f>E28/E$35</f>
        <v>0.1659907080616538</v>
      </c>
      <c r="G28" s="359">
        <f>E28/E$36</f>
        <v>0.022945234741719334</v>
      </c>
      <c r="H28" s="356">
        <v>7104</v>
      </c>
      <c r="I28" s="359">
        <f>H28/H$35</f>
        <v>0.1032168076017784</v>
      </c>
      <c r="J28" s="359">
        <f>H28/H$36</f>
        <v>0.019757920968316127</v>
      </c>
      <c r="K28" s="356">
        <v>3054</v>
      </c>
      <c r="L28" s="359">
        <f>K28/K$35</f>
        <v>0.08947090877131306</v>
      </c>
      <c r="M28" s="359">
        <f>K28/K$36</f>
        <v>0.03273732956007203</v>
      </c>
      <c r="N28" s="356">
        <f>B28+E28+H28+K28</f>
        <v>86540</v>
      </c>
      <c r="O28" s="359">
        <f>N28/N$35</f>
        <v>0.15142660166789734</v>
      </c>
      <c r="P28" s="359">
        <f>N28/N$36</f>
        <v>0.025764555902298328</v>
      </c>
    </row>
    <row r="29" spans="1:16" ht="15">
      <c r="A29" s="358" t="s">
        <v>358</v>
      </c>
      <c r="B29" s="356">
        <v>6055</v>
      </c>
      <c r="C29" s="359">
        <f>B29/B$35</f>
        <v>0.02780290472626422</v>
      </c>
      <c r="D29" s="359">
        <f>B29/B$36</f>
        <v>0.005544755009738806</v>
      </c>
      <c r="E29" s="356">
        <v>6337</v>
      </c>
      <c r="F29" s="359">
        <f>E29/E$35</f>
        <v>0.025271679527825965</v>
      </c>
      <c r="G29" s="359">
        <f>E29/E$36</f>
        <v>0.0034933558983801126</v>
      </c>
      <c r="H29" s="356">
        <v>2647</v>
      </c>
      <c r="I29" s="359">
        <f>H29/H$35</f>
        <v>0.03845930317031354</v>
      </c>
      <c r="J29" s="359">
        <f>H29/H$36</f>
        <v>0.007361939302242791</v>
      </c>
      <c r="K29" s="356">
        <v>472</v>
      </c>
      <c r="L29" s="359">
        <f>K29/K$35</f>
        <v>0.013827854924708501</v>
      </c>
      <c r="M29" s="359">
        <f>K29/K$36</f>
        <v>0.00505960037732613</v>
      </c>
      <c r="N29" s="356">
        <f>B29+E29+H29+K29</f>
        <v>15511</v>
      </c>
      <c r="O29" s="359">
        <f>N29/N$35</f>
        <v>0.027140952374286525</v>
      </c>
      <c r="P29" s="359">
        <f>N29/N$36</f>
        <v>0.00461791110007568</v>
      </c>
    </row>
    <row r="30" spans="1:16" ht="15">
      <c r="A30" s="356"/>
      <c r="B30" s="356"/>
      <c r="C30" s="356"/>
      <c r="D30" s="359"/>
      <c r="E30" s="356"/>
      <c r="F30" s="356"/>
      <c r="G30" s="359"/>
      <c r="H30" s="356"/>
      <c r="I30" s="356"/>
      <c r="J30" s="359"/>
      <c r="K30" s="356"/>
      <c r="L30" s="356"/>
      <c r="M30" s="356"/>
      <c r="N30" s="356"/>
      <c r="O30" s="356"/>
      <c r="P30" s="356"/>
    </row>
    <row r="31" spans="1:27" ht="15">
      <c r="A31" s="362" t="s">
        <v>359</v>
      </c>
      <c r="B31" s="356"/>
      <c r="C31" s="356"/>
      <c r="D31" s="359"/>
      <c r="E31" s="356"/>
      <c r="F31" s="356"/>
      <c r="G31" s="359"/>
      <c r="H31" s="356"/>
      <c r="I31" s="356"/>
      <c r="J31" s="359"/>
      <c r="K31" s="356"/>
      <c r="L31" s="356"/>
      <c r="M31" s="356"/>
      <c r="N31" s="356"/>
      <c r="O31" s="356"/>
      <c r="P31" s="356"/>
      <c r="Q31" s="363"/>
      <c r="R31" s="363" t="s">
        <v>316</v>
      </c>
      <c r="S31" s="363" t="s">
        <v>360</v>
      </c>
      <c r="T31" s="363" t="s">
        <v>361</v>
      </c>
      <c r="U31" s="363" t="s">
        <v>360</v>
      </c>
      <c r="V31" s="363" t="s">
        <v>348</v>
      </c>
      <c r="W31" s="363"/>
      <c r="X31" s="363" t="s">
        <v>316</v>
      </c>
      <c r="Y31" s="363" t="s">
        <v>361</v>
      </c>
      <c r="Z31" s="363" t="s">
        <v>362</v>
      </c>
      <c r="AA31" s="363" t="s">
        <v>348</v>
      </c>
    </row>
    <row r="32" spans="1:27" ht="15">
      <c r="A32" s="356" t="s">
        <v>363</v>
      </c>
      <c r="B32" s="356">
        <f>SUM(B5:B9)</f>
        <v>288917</v>
      </c>
      <c r="C32" s="359">
        <f>B32/B$36</f>
        <v>0.264570434871793</v>
      </c>
      <c r="D32" s="359">
        <f>B32/B$36</f>
        <v>0.264570434871793</v>
      </c>
      <c r="E32" s="356">
        <f>SUM(E5:E9)</f>
        <v>425558</v>
      </c>
      <c r="F32" s="359">
        <f>E32/E$36</f>
        <v>0.234594532018754</v>
      </c>
      <c r="G32" s="359">
        <f>E32/E$36</f>
        <v>0.234594532018754</v>
      </c>
      <c r="H32" s="356">
        <f>SUM(H5:H9)</f>
        <v>105070</v>
      </c>
      <c r="I32" s="359">
        <f>H32/H$36</f>
        <v>0.2922247686009256</v>
      </c>
      <c r="J32" s="359">
        <f>H32/H$36</f>
        <v>0.2922247686009256</v>
      </c>
      <c r="K32" s="356">
        <f>SUM(K5:K9)</f>
        <v>31669</v>
      </c>
      <c r="L32" s="359">
        <f>K32/K$36</f>
        <v>0.33947560243546865</v>
      </c>
      <c r="M32" s="359">
        <f>K32/K$36</f>
        <v>0.33947560243546865</v>
      </c>
      <c r="N32" s="356">
        <f>B32+E32+H32+K32</f>
        <v>851214</v>
      </c>
      <c r="O32" s="359">
        <f>N32/N$36</f>
        <v>0.25342212488813226</v>
      </c>
      <c r="P32" s="359">
        <f>N32/N$36</f>
        <v>0.25342212488813226</v>
      </c>
      <c r="Q32" s="363" t="s">
        <v>363</v>
      </c>
      <c r="R32" s="364">
        <f>P8</f>
        <v>0.2167003386249813</v>
      </c>
      <c r="S32" s="365">
        <f>N8</f>
        <v>727870</v>
      </c>
      <c r="T32" s="364">
        <v>0</v>
      </c>
      <c r="U32" s="363">
        <f>T32*N32</f>
        <v>0</v>
      </c>
      <c r="V32" s="366">
        <f>P32-R32-T32</f>
        <v>0.03672178626315095</v>
      </c>
      <c r="W32" s="363" t="s">
        <v>363</v>
      </c>
      <c r="X32" s="367">
        <f>$N$36*R32</f>
        <v>727870</v>
      </c>
      <c r="Y32" s="367">
        <f>$N$36*T32</f>
        <v>0</v>
      </c>
      <c r="Z32" s="367">
        <f>SUM(X32:Y32)</f>
        <v>727870</v>
      </c>
      <c r="AA32" s="367">
        <f>$N$36*V32</f>
        <v>123343.99999999994</v>
      </c>
    </row>
    <row r="33" spans="1:27" ht="15">
      <c r="A33" s="356" t="s">
        <v>349</v>
      </c>
      <c r="B33" s="356">
        <f>SUM(B11:B15)</f>
        <v>96138</v>
      </c>
      <c r="C33" s="359">
        <f>B33/B$36</f>
        <v>0.08803660728757544</v>
      </c>
      <c r="D33" s="359">
        <f>B33/B$36</f>
        <v>0.08803660728757544</v>
      </c>
      <c r="E33" s="356">
        <f>SUM(E11:E15)</f>
        <v>179646</v>
      </c>
      <c r="F33" s="359">
        <f>E33/E$36</f>
        <v>0.09903225717538168</v>
      </c>
      <c r="G33" s="359">
        <f>E33/E$36</f>
        <v>0.09903225717538168</v>
      </c>
      <c r="H33" s="356">
        <f>SUM(H11:H15)</f>
        <v>38834</v>
      </c>
      <c r="I33" s="359">
        <f>H33/H$36</f>
        <v>0.10800663047347811</v>
      </c>
      <c r="J33" s="359">
        <f>H33/H$36</f>
        <v>0.10800663047347811</v>
      </c>
      <c r="K33" s="356">
        <f>SUM(K11:K15)</f>
        <v>6730</v>
      </c>
      <c r="L33" s="359">
        <f>K33/K$36</f>
        <v>0.07214218334619672</v>
      </c>
      <c r="M33" s="359">
        <f>K33/K$36</f>
        <v>0.07214218334619672</v>
      </c>
      <c r="N33" s="356">
        <f>B33+E33+H33+K33</f>
        <v>321348</v>
      </c>
      <c r="O33" s="359">
        <f>N33/N$36</f>
        <v>0.09567123307247241</v>
      </c>
      <c r="P33" s="359">
        <f>N33/N$36</f>
        <v>0.09567123307247241</v>
      </c>
      <c r="Q33" s="363" t="s">
        <v>349</v>
      </c>
      <c r="R33" s="364">
        <f>P14</f>
        <v>0.08376100590732977</v>
      </c>
      <c r="S33" s="365">
        <f>N14</f>
        <v>281343</v>
      </c>
      <c r="T33" s="364">
        <v>0</v>
      </c>
      <c r="U33" s="363">
        <f>T33*N33</f>
        <v>0</v>
      </c>
      <c r="V33" s="366">
        <f>P33-R33-T33</f>
        <v>0.011910227165142645</v>
      </c>
      <c r="W33" s="363" t="s">
        <v>349</v>
      </c>
      <c r="X33" s="367">
        <f>$N$36*R33</f>
        <v>281343</v>
      </c>
      <c r="Y33" s="367">
        <f>$N$36*T33</f>
        <v>0</v>
      </c>
      <c r="Z33" s="367">
        <f>SUM(X33:Y33)</f>
        <v>281343</v>
      </c>
      <c r="AA33" s="367">
        <f>$N$36*V33</f>
        <v>40005</v>
      </c>
    </row>
    <row r="34" spans="1:27" ht="15">
      <c r="A34" s="356" t="s">
        <v>350</v>
      </c>
      <c r="B34" s="356">
        <f>SUM(B17:B23)</f>
        <v>489185</v>
      </c>
      <c r="C34" s="359">
        <f>B34/B$36</f>
        <v>0.4479621766208221</v>
      </c>
      <c r="D34" s="359">
        <f>B34/B$36</f>
        <v>0.4479621766208221</v>
      </c>
      <c r="E34" s="356">
        <f>SUM(E17:E23)</f>
        <v>958056</v>
      </c>
      <c r="F34" s="359">
        <f>E34/E$36</f>
        <v>0.5281411675206655</v>
      </c>
      <c r="G34" s="359">
        <f>E34/E$36</f>
        <v>0.5281411675206655</v>
      </c>
      <c r="H34" s="356">
        <f>SUM(H17:H23)</f>
        <v>146822</v>
      </c>
      <c r="I34" s="359">
        <f>H34/H$36</f>
        <v>0.40834705411178357</v>
      </c>
      <c r="J34" s="359">
        <f>H34/H$36</f>
        <v>0.40834705411178357</v>
      </c>
      <c r="K34" s="356">
        <f>SUM(K17:K23)</f>
        <v>20755</v>
      </c>
      <c r="L34" s="359">
        <f>K34/K$36</f>
        <v>0.22248306320212674</v>
      </c>
      <c r="M34" s="359">
        <f>K34/K$36</f>
        <v>0.22248306320212674</v>
      </c>
      <c r="N34" s="356">
        <f>B34+E34+H34+K34</f>
        <v>1614818</v>
      </c>
      <c r="O34" s="359">
        <f>N34/N$36</f>
        <v>0.4807611351171433</v>
      </c>
      <c r="P34" s="359">
        <f>N34/N$36</f>
        <v>0.4807611351171433</v>
      </c>
      <c r="Q34" s="363" t="s">
        <v>350</v>
      </c>
      <c r="R34" s="364">
        <f>P21+P17</f>
        <v>0.20379781581825837</v>
      </c>
      <c r="S34" s="365">
        <f>N17+N21</f>
        <v>684532</v>
      </c>
      <c r="T34" s="364">
        <f>P17</f>
        <v>0.05403738986649709</v>
      </c>
      <c r="U34" s="365">
        <f>N17</f>
        <v>181505</v>
      </c>
      <c r="V34" s="366">
        <f>P34-R34-T34</f>
        <v>0.22292592943238787</v>
      </c>
      <c r="W34" s="363" t="s">
        <v>350</v>
      </c>
      <c r="X34" s="367">
        <f>$N$36*R34</f>
        <v>684532</v>
      </c>
      <c r="Y34" s="367">
        <f>$N$36*T34</f>
        <v>181505</v>
      </c>
      <c r="Z34" s="367">
        <f>SUM(X34:Y34)</f>
        <v>866037</v>
      </c>
      <c r="AA34" s="367">
        <f>$N$36*V34</f>
        <v>748781.0000000001</v>
      </c>
    </row>
    <row r="35" spans="1:27" ht="15">
      <c r="A35" s="356" t="s">
        <v>354</v>
      </c>
      <c r="B35" s="356">
        <f>SUM(B25:B29)</f>
        <v>217783</v>
      </c>
      <c r="C35" s="359">
        <f>B35/B$36</f>
        <v>0.19943078121980948</v>
      </c>
      <c r="D35" s="359">
        <f>B35/B$36</f>
        <v>0.19943078121980948</v>
      </c>
      <c r="E35" s="356">
        <f>SUM(E25:E29)</f>
        <v>250755</v>
      </c>
      <c r="F35" s="359">
        <f>E35/E$36</f>
        <v>0.13823204328519886</v>
      </c>
      <c r="G35" s="359">
        <f>E35/E$36</f>
        <v>0.13823204328519886</v>
      </c>
      <c r="H35" s="356">
        <f>SUM(H25:H29)</f>
        <v>68826</v>
      </c>
      <c r="I35" s="359">
        <f>H35/H$36</f>
        <v>0.19142154681381274</v>
      </c>
      <c r="J35" s="359">
        <f>H35/H$36</f>
        <v>0.19142154681381274</v>
      </c>
      <c r="K35" s="356">
        <f>SUM(K25:K29)</f>
        <v>34134</v>
      </c>
      <c r="L35" s="359">
        <f>K35/K$36</f>
        <v>0.36589915101620785</v>
      </c>
      <c r="M35" s="359">
        <f>K35/K$36</f>
        <v>0.36589915101620785</v>
      </c>
      <c r="N35" s="356">
        <f>B35+E35+H35+K35</f>
        <v>571498</v>
      </c>
      <c r="O35" s="359">
        <f>N35/N$36</f>
        <v>0.17014550692225203</v>
      </c>
      <c r="P35" s="359">
        <f>N35/N$36</f>
        <v>0.17014550692225203</v>
      </c>
      <c r="Q35" s="363" t="s">
        <v>354</v>
      </c>
      <c r="R35" s="364">
        <f>P27</f>
        <v>0.005485462705105693</v>
      </c>
      <c r="S35" s="365">
        <f>N27</f>
        <v>18425</v>
      </c>
      <c r="T35" s="364">
        <v>0</v>
      </c>
      <c r="U35" s="365">
        <f>T35*N35</f>
        <v>0</v>
      </c>
      <c r="V35" s="366">
        <f>P35-R35</f>
        <v>0.16466004421714633</v>
      </c>
      <c r="W35" s="363" t="s">
        <v>354</v>
      </c>
      <c r="X35" s="367">
        <f>$N$36*R35</f>
        <v>18425</v>
      </c>
      <c r="Y35" s="367">
        <f>$N$36*T35</f>
        <v>0</v>
      </c>
      <c r="Z35" s="367">
        <f>SUM(X35:Y35)</f>
        <v>18425</v>
      </c>
      <c r="AA35" s="367">
        <f>$N$36*V35</f>
        <v>553073</v>
      </c>
    </row>
    <row r="36" spans="1:27" ht="15">
      <c r="A36" s="356" t="s">
        <v>57</v>
      </c>
      <c r="B36" s="356">
        <f>SUM(B32:B35)</f>
        <v>1092023</v>
      </c>
      <c r="C36" s="359">
        <f>B36/B$36</f>
        <v>1</v>
      </c>
      <c r="D36" s="359">
        <f>B36/B$36</f>
        <v>1</v>
      </c>
      <c r="E36" s="356">
        <f>SUM(E32:E35)</f>
        <v>1814015</v>
      </c>
      <c r="F36" s="359">
        <f>E36/E$36</f>
        <v>1</v>
      </c>
      <c r="G36" s="359">
        <f>E36/E$36</f>
        <v>1</v>
      </c>
      <c r="H36" s="356">
        <f>SUM(H32:H35)</f>
        <v>359552</v>
      </c>
      <c r="I36" s="359">
        <f>H36/H$36</f>
        <v>1</v>
      </c>
      <c r="J36" s="359">
        <f>H36/H$36</f>
        <v>1</v>
      </c>
      <c r="K36" s="356">
        <f>SUM(K32:K35)</f>
        <v>93288</v>
      </c>
      <c r="L36" s="359">
        <f>K36/K$36</f>
        <v>1</v>
      </c>
      <c r="M36" s="359">
        <f>K36/K$36</f>
        <v>1</v>
      </c>
      <c r="N36" s="356">
        <f>B36+E36+H36+K36</f>
        <v>3358878</v>
      </c>
      <c r="O36" s="359">
        <f>N36/N$36</f>
        <v>1</v>
      </c>
      <c r="P36" s="359">
        <f>N36/N$36</f>
        <v>1</v>
      </c>
      <c r="Q36" s="363" t="s">
        <v>57</v>
      </c>
      <c r="R36" s="364">
        <f>SUM(R32:R35)</f>
        <v>0.5097446230556753</v>
      </c>
      <c r="S36" s="365">
        <f>SUM(S32:S35)</f>
        <v>1712170</v>
      </c>
      <c r="T36" s="364">
        <f>SUM(T32:T35)</f>
        <v>0.05403738986649709</v>
      </c>
      <c r="U36" s="365">
        <f>T36*N36</f>
        <v>181505</v>
      </c>
      <c r="V36" s="364">
        <f>P36-R36</f>
        <v>0.49025537694432475</v>
      </c>
      <c r="W36" s="363" t="s">
        <v>57</v>
      </c>
      <c r="X36" s="367">
        <f>$N$36*R36</f>
        <v>1712170.0000000005</v>
      </c>
      <c r="Y36" s="367">
        <f>$N$36*T36</f>
        <v>181505</v>
      </c>
      <c r="Z36" s="367">
        <f>SUM(X36:Y36)</f>
        <v>1893675.0000000005</v>
      </c>
      <c r="AA36" s="367">
        <f>$N$36*V36</f>
        <v>1646707.9999999995</v>
      </c>
    </row>
    <row r="37" ht="15"/>
    <row r="38" ht="15">
      <c r="N38" s="354">
        <f>N36-N35</f>
        <v>2787380</v>
      </c>
    </row>
    <row r="39" ht="15">
      <c r="A39" s="354" t="s">
        <v>364</v>
      </c>
    </row>
    <row r="40" spans="1:9" ht="15">
      <c r="A40" s="356" t="s">
        <v>365</v>
      </c>
      <c r="B40" s="356"/>
      <c r="C40" s="356"/>
      <c r="D40" s="356" t="s">
        <v>366</v>
      </c>
      <c r="E40" s="356"/>
      <c r="F40" s="356" t="s">
        <v>367</v>
      </c>
      <c r="G40" s="356"/>
      <c r="H40" s="368" t="s">
        <v>368</v>
      </c>
      <c r="I40" s="356"/>
    </row>
    <row r="41" spans="1:9" ht="15">
      <c r="A41" s="358" t="s">
        <v>369</v>
      </c>
      <c r="B41" s="356">
        <v>55558</v>
      </c>
      <c r="C41" s="359">
        <f aca="true" t="shared" si="11" ref="C41:C46">B41/B$46</f>
        <v>0.04514990780342992</v>
      </c>
      <c r="D41" s="356">
        <v>1246</v>
      </c>
      <c r="E41" s="359">
        <f aca="true" t="shared" si="12" ref="E41:E46">D41/D$46</f>
        <v>0.02326406392949831</v>
      </c>
      <c r="F41" s="356">
        <v>51296</v>
      </c>
      <c r="G41" s="359">
        <f aca="true" t="shared" si="13" ref="G41:G46">F41/F$46</f>
        <v>0.04598385329917294</v>
      </c>
      <c r="H41" s="356">
        <f aca="true" t="shared" si="14" ref="H41:H46">B41-D41-F41</f>
        <v>3016</v>
      </c>
      <c r="I41" s="359">
        <f aca="true" t="shared" si="15" ref="I41:I46">H41/H$46</f>
        <v>0.04908694378438202</v>
      </c>
    </row>
    <row r="42" spans="1:9" ht="15">
      <c r="A42" s="360" t="s">
        <v>370</v>
      </c>
      <c r="B42" s="356">
        <v>93611</v>
      </c>
      <c r="C42" s="359">
        <f t="shared" si="11"/>
        <v>0.07607415708605203</v>
      </c>
      <c r="D42" s="356">
        <v>4898</v>
      </c>
      <c r="E42" s="359">
        <f t="shared" si="12"/>
        <v>0.09145054986090106</v>
      </c>
      <c r="F42" s="356">
        <v>71558</v>
      </c>
      <c r="G42" s="359">
        <f t="shared" si="13"/>
        <v>0.06414754706765084</v>
      </c>
      <c r="H42" s="356">
        <f t="shared" si="14"/>
        <v>17155</v>
      </c>
      <c r="I42" s="359">
        <f t="shared" si="15"/>
        <v>0.27920640604147</v>
      </c>
    </row>
    <row r="43" spans="1:9" ht="15">
      <c r="A43" s="358" t="s">
        <v>346</v>
      </c>
      <c r="B43" s="356">
        <v>5876</v>
      </c>
      <c r="C43" s="359">
        <f t="shared" si="11"/>
        <v>0.0047752053395182376</v>
      </c>
      <c r="D43" s="356">
        <v>816</v>
      </c>
      <c r="E43" s="359">
        <f t="shared" si="12"/>
        <v>0.015235534644037417</v>
      </c>
      <c r="F43" s="356">
        <v>4673</v>
      </c>
      <c r="G43" s="359">
        <f t="shared" si="13"/>
        <v>0.004189070229004896</v>
      </c>
      <c r="H43" s="356">
        <f t="shared" si="14"/>
        <v>387</v>
      </c>
      <c r="I43" s="359">
        <f t="shared" si="15"/>
        <v>0.006298623091696234</v>
      </c>
    </row>
    <row r="44" spans="1:9" ht="15">
      <c r="A44" s="358" t="s">
        <v>371</v>
      </c>
      <c r="B44" s="356">
        <v>1054267</v>
      </c>
      <c r="C44" s="359">
        <f t="shared" si="11"/>
        <v>0.8567633437164522</v>
      </c>
      <c r="D44" s="356">
        <v>45856</v>
      </c>
      <c r="E44" s="359">
        <f t="shared" si="12"/>
        <v>0.8561772998002203</v>
      </c>
      <c r="F44" s="356">
        <v>969891</v>
      </c>
      <c r="G44" s="359">
        <f t="shared" si="13"/>
        <v>0.8694503559768432</v>
      </c>
      <c r="H44" s="356">
        <f t="shared" si="14"/>
        <v>38520</v>
      </c>
      <c r="I44" s="359">
        <f t="shared" si="15"/>
        <v>0.6269327170339507</v>
      </c>
    </row>
    <row r="45" spans="1:9" ht="15">
      <c r="A45" s="358" t="s">
        <v>348</v>
      </c>
      <c r="B45" s="356">
        <v>21211</v>
      </c>
      <c r="C45" s="359">
        <f t="shared" si="11"/>
        <v>0.017237386054547537</v>
      </c>
      <c r="D45" s="356">
        <v>743</v>
      </c>
      <c r="E45" s="359">
        <f t="shared" si="12"/>
        <v>0.013872551765342894</v>
      </c>
      <c r="F45" s="356">
        <v>18104</v>
      </c>
      <c r="G45" s="359">
        <f t="shared" si="13"/>
        <v>0.016229173427328193</v>
      </c>
      <c r="H45" s="356">
        <f t="shared" si="14"/>
        <v>2364</v>
      </c>
      <c r="I45" s="359">
        <f t="shared" si="15"/>
        <v>0.03847531004850103</v>
      </c>
    </row>
    <row r="46" spans="1:9" ht="15">
      <c r="A46" s="369" t="s">
        <v>372</v>
      </c>
      <c r="B46" s="356">
        <f>SUM(B41:B45)</f>
        <v>1230523</v>
      </c>
      <c r="C46" s="359">
        <f t="shared" si="11"/>
        <v>1</v>
      </c>
      <c r="D46" s="356">
        <f>SUM(D41:D45)</f>
        <v>53559</v>
      </c>
      <c r="E46" s="359">
        <f t="shared" si="12"/>
        <v>1</v>
      </c>
      <c r="F46" s="356">
        <f>SUM(F41:F45)</f>
        <v>1115522</v>
      </c>
      <c r="G46" s="359">
        <f t="shared" si="13"/>
        <v>1</v>
      </c>
      <c r="H46" s="356">
        <f t="shared" si="14"/>
        <v>61442</v>
      </c>
      <c r="I46" s="359">
        <f t="shared" si="15"/>
        <v>1</v>
      </c>
    </row>
    <row r="47" spans="1:9" ht="15">
      <c r="A47" s="356" t="s">
        <v>350</v>
      </c>
      <c r="B47" s="356"/>
      <c r="C47" s="356"/>
      <c r="D47" s="356"/>
      <c r="E47" s="356"/>
      <c r="F47" s="356"/>
      <c r="G47" s="356"/>
      <c r="H47" s="356"/>
      <c r="I47" s="356"/>
    </row>
    <row r="48" spans="1:9" ht="15">
      <c r="A48" s="358" t="s">
        <v>318</v>
      </c>
      <c r="B48" s="356">
        <v>181506</v>
      </c>
      <c r="C48" s="359">
        <f aca="true" t="shared" si="16" ref="C48:C55">B48/B$55</f>
        <v>0.11238629390737818</v>
      </c>
      <c r="D48" s="356">
        <v>24871</v>
      </c>
      <c r="E48" s="359">
        <f aca="true" t="shared" si="17" ref="E48:E55">D48/D$55</f>
        <v>0.08951425980046357</v>
      </c>
      <c r="F48" s="356">
        <v>149980</v>
      </c>
      <c r="G48" s="359">
        <f aca="true" t="shared" si="18" ref="G48:G55">F48/F$55</f>
        <v>0.15691485187878282</v>
      </c>
      <c r="H48" s="356">
        <f aca="true" t="shared" si="19" ref="H48:H55">B48-D48-F48</f>
        <v>6655</v>
      </c>
      <c r="I48" s="359">
        <f aca="true" t="shared" si="20" ref="I48:I55">H48/H$55</f>
        <v>0.017450245168733777</v>
      </c>
    </row>
    <row r="49" spans="1:9" ht="15">
      <c r="A49" s="358" t="s">
        <v>351</v>
      </c>
      <c r="B49" s="356">
        <v>29273</v>
      </c>
      <c r="C49" s="359">
        <f t="shared" si="16"/>
        <v>0.018125483353446617</v>
      </c>
      <c r="D49" s="356">
        <v>3784</v>
      </c>
      <c r="E49" s="359">
        <f t="shared" si="17"/>
        <v>0.01361915319387858</v>
      </c>
      <c r="F49" s="356">
        <v>15098</v>
      </c>
      <c r="G49" s="359">
        <f t="shared" si="18"/>
        <v>0.015796109038977615</v>
      </c>
      <c r="H49" s="356">
        <f t="shared" si="19"/>
        <v>10391</v>
      </c>
      <c r="I49" s="359">
        <f t="shared" si="20"/>
        <v>0.027246506017778012</v>
      </c>
    </row>
    <row r="50" spans="1:9" ht="15">
      <c r="A50" s="358" t="s">
        <v>352</v>
      </c>
      <c r="B50" s="356">
        <v>228568</v>
      </c>
      <c r="C50" s="359">
        <f t="shared" si="16"/>
        <v>0.14152650835686764</v>
      </c>
      <c r="D50" s="356">
        <v>17664</v>
      </c>
      <c r="E50" s="359">
        <f t="shared" si="17"/>
        <v>0.063575243661911</v>
      </c>
      <c r="F50" s="356">
        <v>142727</v>
      </c>
      <c r="G50" s="359">
        <f t="shared" si="18"/>
        <v>0.14932648395854803</v>
      </c>
      <c r="H50" s="356">
        <f t="shared" si="19"/>
        <v>68177</v>
      </c>
      <c r="I50" s="359">
        <f t="shared" si="20"/>
        <v>0.17876864986758267</v>
      </c>
    </row>
    <row r="51" spans="1:9" ht="15">
      <c r="A51" s="358" t="s">
        <v>369</v>
      </c>
      <c r="B51" s="356">
        <v>14732</v>
      </c>
      <c r="C51" s="359">
        <f t="shared" si="16"/>
        <v>0.00912187410798263</v>
      </c>
      <c r="D51" s="356">
        <v>3227</v>
      </c>
      <c r="E51" s="359">
        <f t="shared" si="17"/>
        <v>0.011614431119621082</v>
      </c>
      <c r="F51" s="356">
        <v>9005</v>
      </c>
      <c r="G51" s="359">
        <f t="shared" si="18"/>
        <v>0.009421377791495128</v>
      </c>
      <c r="H51" s="356">
        <f t="shared" si="19"/>
        <v>2500</v>
      </c>
      <c r="I51" s="359">
        <f t="shared" si="20"/>
        <v>0.006555313737315468</v>
      </c>
    </row>
    <row r="52" spans="1:9" ht="15">
      <c r="A52" s="358" t="s">
        <v>371</v>
      </c>
      <c r="B52" s="356">
        <v>503028</v>
      </c>
      <c r="C52" s="359">
        <f t="shared" si="16"/>
        <v>0.31146878148182777</v>
      </c>
      <c r="D52" s="356">
        <v>211140</v>
      </c>
      <c r="E52" s="359">
        <f t="shared" si="17"/>
        <v>0.75992283439628</v>
      </c>
      <c r="F52" s="356">
        <v>252658</v>
      </c>
      <c r="G52" s="359">
        <f t="shared" si="18"/>
        <v>0.2643405297105581</v>
      </c>
      <c r="H52" s="356">
        <f t="shared" si="19"/>
        <v>39230</v>
      </c>
      <c r="I52" s="359">
        <f t="shared" si="20"/>
        <v>0.10286598316595433</v>
      </c>
    </row>
    <row r="53" spans="1:9" ht="15">
      <c r="A53" s="358" t="s">
        <v>373</v>
      </c>
      <c r="B53" s="356">
        <v>653271</v>
      </c>
      <c r="C53" s="359">
        <f t="shared" si="16"/>
        <v>0.40449740838962267</v>
      </c>
      <c r="D53" s="356">
        <v>17016</v>
      </c>
      <c r="E53" s="359">
        <f t="shared" si="17"/>
        <v>0.06124299966887894</v>
      </c>
      <c r="F53" s="356">
        <v>382754</v>
      </c>
      <c r="G53" s="359">
        <f t="shared" si="18"/>
        <v>0.4004519750367491</v>
      </c>
      <c r="H53" s="356">
        <f t="shared" si="19"/>
        <v>253501</v>
      </c>
      <c r="I53" s="359">
        <f t="shared" si="20"/>
        <v>0.6647114350892833</v>
      </c>
    </row>
    <row r="54" spans="1:9" ht="15">
      <c r="A54" s="358" t="s">
        <v>348</v>
      </c>
      <c r="B54" s="356">
        <v>4641</v>
      </c>
      <c r="C54" s="359">
        <f t="shared" si="16"/>
        <v>0.0028736504028745173</v>
      </c>
      <c r="D54" s="356">
        <v>142</v>
      </c>
      <c r="E54" s="359">
        <f t="shared" si="17"/>
        <v>0.0005110781589669022</v>
      </c>
      <c r="F54" s="356">
        <v>3583</v>
      </c>
      <c r="G54" s="359">
        <f t="shared" si="18"/>
        <v>0.0037486725848891772</v>
      </c>
      <c r="H54" s="356">
        <f t="shared" si="19"/>
        <v>916</v>
      </c>
      <c r="I54" s="359">
        <f t="shared" si="20"/>
        <v>0.0024018669533523874</v>
      </c>
    </row>
    <row r="55" spans="1:9" ht="15">
      <c r="A55" s="369" t="s">
        <v>374</v>
      </c>
      <c r="B55" s="356">
        <f>SUM(B48:B54)</f>
        <v>1615019</v>
      </c>
      <c r="C55" s="359">
        <f t="shared" si="16"/>
        <v>1</v>
      </c>
      <c r="D55" s="356">
        <f>SUM(D48:D54)</f>
        <v>277844</v>
      </c>
      <c r="E55" s="359">
        <f t="shared" si="17"/>
        <v>1</v>
      </c>
      <c r="F55" s="356">
        <f>SUM(F48:F54)</f>
        <v>955805</v>
      </c>
      <c r="G55" s="359">
        <f t="shared" si="18"/>
        <v>1</v>
      </c>
      <c r="H55" s="356">
        <f t="shared" si="19"/>
        <v>381370</v>
      </c>
      <c r="I55" s="359">
        <f t="shared" si="20"/>
        <v>1</v>
      </c>
    </row>
    <row r="56" spans="1:9" ht="15">
      <c r="A56" s="358"/>
      <c r="B56" s="356"/>
      <c r="C56" s="359"/>
      <c r="D56" s="356"/>
      <c r="E56" s="359"/>
      <c r="F56" s="356"/>
      <c r="G56" s="359"/>
      <c r="H56" s="356"/>
      <c r="I56" s="356"/>
    </row>
    <row r="57" spans="1:9" ht="15">
      <c r="A57" s="369" t="s">
        <v>375</v>
      </c>
      <c r="B57" s="356">
        <f>B46+B55</f>
        <v>2845542</v>
      </c>
      <c r="C57" s="370">
        <f>B57/B$58</f>
        <v>0.8471703943995584</v>
      </c>
      <c r="D57" s="356">
        <f>D46+D55</f>
        <v>331403</v>
      </c>
      <c r="E57" s="370">
        <f>D57/D$58</f>
        <v>0.0986647922312153</v>
      </c>
      <c r="F57" s="356">
        <f>F46+F55</f>
        <v>2071327</v>
      </c>
      <c r="G57" s="370">
        <f>F57/F$58</f>
        <v>0.6166722935456423</v>
      </c>
      <c r="H57" s="356">
        <f>H46+H55</f>
        <v>442812</v>
      </c>
      <c r="I57" s="370">
        <f>H57/H$58</f>
        <v>0.1318333086227008</v>
      </c>
    </row>
    <row r="58" spans="1:9" ht="15">
      <c r="A58" s="369" t="s">
        <v>376</v>
      </c>
      <c r="B58" s="356">
        <f>$N36</f>
        <v>3358878</v>
      </c>
      <c r="C58" s="359">
        <f>B58/$B$58</f>
        <v>1</v>
      </c>
      <c r="D58" s="356">
        <f>$N36</f>
        <v>3358878</v>
      </c>
      <c r="E58" s="359">
        <f>D58/$B$58</f>
        <v>1</v>
      </c>
      <c r="F58" s="356">
        <f>$N36</f>
        <v>3358878</v>
      </c>
      <c r="G58" s="359">
        <f>F58/$B$58</f>
        <v>1</v>
      </c>
      <c r="H58" s="356">
        <f>$N36</f>
        <v>3358878</v>
      </c>
      <c r="I58" s="359">
        <f>H58/$B$58</f>
        <v>1</v>
      </c>
    </row>
    <row r="59" ht="15">
      <c r="B59" s="354">
        <f>B58-B57</f>
        <v>513336</v>
      </c>
    </row>
    <row r="60" ht="15">
      <c r="A60" s="353" t="s">
        <v>377</v>
      </c>
    </row>
    <row r="61" spans="1:7" ht="30">
      <c r="A61" s="371"/>
      <c r="B61" s="372" t="s">
        <v>378</v>
      </c>
      <c r="C61" s="357"/>
      <c r="D61" s="372" t="s">
        <v>379</v>
      </c>
      <c r="E61" s="357"/>
      <c r="F61" s="371" t="s">
        <v>57</v>
      </c>
      <c r="G61" s="356"/>
    </row>
    <row r="62" spans="1:7" ht="15">
      <c r="A62" s="356"/>
      <c r="B62" s="356" t="s">
        <v>342</v>
      </c>
      <c r="C62" s="356" t="s">
        <v>380</v>
      </c>
      <c r="D62" s="356" t="s">
        <v>342</v>
      </c>
      <c r="E62" s="356" t="s">
        <v>380</v>
      </c>
      <c r="F62" s="356" t="s">
        <v>342</v>
      </c>
      <c r="G62" s="356" t="s">
        <v>380</v>
      </c>
    </row>
    <row r="63" spans="1:7" ht="15">
      <c r="A63" s="356" t="s">
        <v>381</v>
      </c>
      <c r="B63" s="356">
        <f>D44</f>
        <v>45856</v>
      </c>
      <c r="C63" s="359">
        <f>B63/B$66</f>
        <v>0.1626866571822881</v>
      </c>
      <c r="D63" s="356">
        <f>F44</f>
        <v>969891</v>
      </c>
      <c r="E63" s="359">
        <f>D63/D$66</f>
        <v>0.7066451783532443</v>
      </c>
      <c r="F63" s="356">
        <f>B63+D63</f>
        <v>1015747</v>
      </c>
      <c r="G63" s="359">
        <f>F63/F$66</f>
        <v>0.6139684815485531</v>
      </c>
    </row>
    <row r="64" spans="1:7" ht="15">
      <c r="A64" s="356" t="s">
        <v>382</v>
      </c>
      <c r="B64" s="356">
        <f>D48</f>
        <v>24871</v>
      </c>
      <c r="C64" s="359">
        <f>B64/B$66</f>
        <v>0.08823665061890892</v>
      </c>
      <c r="D64" s="356">
        <f>F48</f>
        <v>149980</v>
      </c>
      <c r="E64" s="359">
        <f>D64/D$66</f>
        <v>0.10927273667805926</v>
      </c>
      <c r="F64" s="356">
        <f>B64+D64</f>
        <v>174851</v>
      </c>
      <c r="G64" s="359">
        <f>F64/F$66</f>
        <v>0.10568872265165051</v>
      </c>
    </row>
    <row r="65" spans="1:7" ht="15">
      <c r="A65" s="356" t="s">
        <v>383</v>
      </c>
      <c r="B65" s="356">
        <f>D52</f>
        <v>211140</v>
      </c>
      <c r="C65" s="359">
        <f>B65/B$66</f>
        <v>0.749076692198803</v>
      </c>
      <c r="D65" s="356">
        <f>F52</f>
        <v>252658</v>
      </c>
      <c r="E65" s="359">
        <f>D65/D$66</f>
        <v>0.18408208496869646</v>
      </c>
      <c r="F65" s="356">
        <f>B65+D65</f>
        <v>463798</v>
      </c>
      <c r="G65" s="359">
        <f>F65/F$66</f>
        <v>0.28034279579979643</v>
      </c>
    </row>
    <row r="66" spans="1:7" ht="15">
      <c r="A66" s="356" t="s">
        <v>57</v>
      </c>
      <c r="B66" s="356">
        <f>SUM(B63:B65)</f>
        <v>281867</v>
      </c>
      <c r="C66" s="359">
        <f>B66/B$66</f>
        <v>1</v>
      </c>
      <c r="D66" s="356">
        <f>SUM(D63:D65)</f>
        <v>1372529</v>
      </c>
      <c r="E66" s="359">
        <f>D66/D$66</f>
        <v>1</v>
      </c>
      <c r="F66" s="356">
        <f>B66+D66</f>
        <v>1654396</v>
      </c>
      <c r="G66" s="359">
        <f>F66/F$66</f>
        <v>1</v>
      </c>
    </row>
    <row r="67" spans="1:7" ht="15">
      <c r="A67" s="368" t="s">
        <v>23</v>
      </c>
      <c r="B67" s="359">
        <f>B66/F66</f>
        <v>0.1703745657025283</v>
      </c>
      <c r="C67" s="359"/>
      <c r="D67" s="359">
        <f>D66/F66</f>
        <v>0.8296254342974717</v>
      </c>
      <c r="E67" s="359"/>
      <c r="F67" s="356"/>
      <c r="G67" s="359"/>
    </row>
    <row r="68" spans="1:7" ht="15">
      <c r="A68" s="373" t="s">
        <v>384</v>
      </c>
      <c r="C68" s="374"/>
      <c r="E68" s="374"/>
      <c r="G68" s="374"/>
    </row>
    <row r="69" spans="1:7" ht="15">
      <c r="A69" s="368"/>
      <c r="B69" s="368" t="s">
        <v>378</v>
      </c>
      <c r="C69" s="359"/>
      <c r="D69" s="368" t="s">
        <v>379</v>
      </c>
      <c r="E69" s="359"/>
      <c r="F69" s="368" t="s">
        <v>325</v>
      </c>
      <c r="G69" s="374"/>
    </row>
    <row r="70" spans="1:7" ht="15">
      <c r="A70" s="368" t="s">
        <v>385</v>
      </c>
      <c r="B70" s="375">
        <v>16</v>
      </c>
      <c r="C70" s="359">
        <v>0.85</v>
      </c>
      <c r="D70" s="356">
        <v>124</v>
      </c>
      <c r="E70" s="359">
        <v>0.26</v>
      </c>
      <c r="F70" s="359">
        <f>(B$67*C70)+(D$67*E70)</f>
        <v>0.3605209937644917</v>
      </c>
      <c r="G70" s="374"/>
    </row>
    <row r="71" spans="1:7" ht="15">
      <c r="A71" s="368" t="s">
        <v>386</v>
      </c>
      <c r="B71" s="375">
        <v>148</v>
      </c>
      <c r="C71" s="359">
        <v>0.09</v>
      </c>
      <c r="D71" s="356">
        <v>192</v>
      </c>
      <c r="E71" s="359">
        <v>0.41</v>
      </c>
      <c r="F71" s="359">
        <f>(B$67*C71)+(D$67*E71)</f>
        <v>0.35548013897519093</v>
      </c>
      <c r="G71" s="374"/>
    </row>
    <row r="72" spans="1:7" ht="15">
      <c r="A72" s="368" t="s">
        <v>57</v>
      </c>
      <c r="B72" s="375">
        <f>SUM(B70:B71)</f>
        <v>164</v>
      </c>
      <c r="C72" s="376">
        <f>SUM(C70:C71)</f>
        <v>0.94</v>
      </c>
      <c r="D72" s="375">
        <f>SUM(D70:D71)</f>
        <v>316</v>
      </c>
      <c r="E72" s="376">
        <f>SUM(E70:E71)</f>
        <v>0.6699999999999999</v>
      </c>
      <c r="F72" s="359">
        <f>(B$67*C72)+(D$67*E72)</f>
        <v>0.7160011327396826</v>
      </c>
      <c r="G72" s="374"/>
    </row>
    <row r="73" ht="15">
      <c r="A73" s="373"/>
    </row>
    <row r="74" spans="1:7" ht="15">
      <c r="A74" s="368" t="s">
        <v>387</v>
      </c>
      <c r="B74" s="368" t="s">
        <v>388</v>
      </c>
      <c r="C74" s="359"/>
      <c r="D74" s="377" t="s">
        <v>365</v>
      </c>
      <c r="E74" s="356"/>
      <c r="F74" s="368" t="s">
        <v>350</v>
      </c>
      <c r="G74" s="356"/>
    </row>
    <row r="75" spans="1:7" ht="15">
      <c r="A75" s="368" t="s">
        <v>389</v>
      </c>
      <c r="B75" s="375">
        <f>B58</f>
        <v>3358878</v>
      </c>
      <c r="C75" s="359">
        <v>1</v>
      </c>
      <c r="D75" s="375">
        <f>B46</f>
        <v>1230523</v>
      </c>
      <c r="E75" s="359">
        <v>0.3663494178710867</v>
      </c>
      <c r="F75" s="375">
        <f>B55</f>
        <v>1615019</v>
      </c>
      <c r="G75" s="359">
        <v>0.4808209765284717</v>
      </c>
    </row>
    <row r="76" spans="1:7" ht="15">
      <c r="A76" s="368" t="s">
        <v>390</v>
      </c>
      <c r="B76" s="375">
        <f>N38</f>
        <v>2787380</v>
      </c>
      <c r="C76" s="359">
        <v>0.829854493077748</v>
      </c>
      <c r="D76" s="375">
        <f>N32+N33</f>
        <v>1172562</v>
      </c>
      <c r="E76" s="359">
        <v>0.42066815432413235</v>
      </c>
      <c r="F76" s="375">
        <f>N34</f>
        <v>1614818</v>
      </c>
      <c r="G76" s="359">
        <v>0.5793318456758677</v>
      </c>
    </row>
    <row r="77" spans="1:7" ht="15">
      <c r="A77" s="368" t="s">
        <v>391</v>
      </c>
      <c r="B77" s="375">
        <f>D57+F57</f>
        <v>2402730</v>
      </c>
      <c r="C77" s="359">
        <v>0.7153370857768576</v>
      </c>
      <c r="D77" s="375">
        <f>D46+F46</f>
        <v>1169081</v>
      </c>
      <c r="E77" s="359">
        <v>0.486563617218747</v>
      </c>
      <c r="F77" s="375">
        <f>D55+F55</f>
        <v>1233649</v>
      </c>
      <c r="G77" s="359">
        <v>0.513436382781253</v>
      </c>
    </row>
    <row r="78" spans="1:7" ht="15">
      <c r="A78" s="368" t="s">
        <v>392</v>
      </c>
      <c r="B78" s="375">
        <f>F66</f>
        <v>1654396</v>
      </c>
      <c r="C78" s="359">
        <v>0.4925442364980211</v>
      </c>
      <c r="D78" s="375">
        <f>F63</f>
        <v>1015747</v>
      </c>
      <c r="E78" s="359">
        <v>0.6139684815485531</v>
      </c>
      <c r="F78" s="375">
        <f>F64+F65</f>
        <v>638649</v>
      </c>
      <c r="G78" s="359">
        <v>0.38603151845144695</v>
      </c>
    </row>
    <row r="79" spans="1:7" ht="15">
      <c r="A79" s="368" t="s">
        <v>393</v>
      </c>
      <c r="B79" s="375">
        <f>B75*C79</f>
        <v>1158077.2</v>
      </c>
      <c r="C79" s="359">
        <v>0.34478096554861476</v>
      </c>
      <c r="D79" s="375">
        <f>B79*E78</f>
        <v>711022.9</v>
      </c>
      <c r="E79" s="359">
        <v>0.6139684815485531</v>
      </c>
      <c r="F79" s="378">
        <f>G79*B79</f>
        <v>447054.3</v>
      </c>
      <c r="G79" s="359">
        <v>0.38603151845144695</v>
      </c>
    </row>
    <row r="80" spans="1:7" ht="15">
      <c r="A80" s="368" t="s">
        <v>394</v>
      </c>
      <c r="B80" s="375">
        <f>B75*C80</f>
        <v>694846.3200000001</v>
      </c>
      <c r="C80" s="359">
        <v>0.20686857932916886</v>
      </c>
      <c r="D80" s="375">
        <f>B80*E79</f>
        <v>426613.74000000005</v>
      </c>
      <c r="E80" s="359">
        <v>0.6139684815485531</v>
      </c>
      <c r="F80" s="378">
        <f>G80*B80</f>
        <v>268232.58</v>
      </c>
      <c r="G80" s="359">
        <v>0.38603151845144695</v>
      </c>
    </row>
    <row r="81" ht="15"/>
    <row r="82" ht="15"/>
    <row r="83" spans="1:7" ht="15">
      <c r="A83" s="368" t="s">
        <v>395</v>
      </c>
      <c r="B83" s="368" t="s">
        <v>388</v>
      </c>
      <c r="C83" s="359"/>
      <c r="D83" s="377" t="s">
        <v>365</v>
      </c>
      <c r="E83" s="356"/>
      <c r="F83" s="368" t="s">
        <v>350</v>
      </c>
      <c r="G83" s="356"/>
    </row>
    <row r="84" spans="1:7" ht="15">
      <c r="A84" s="368" t="s">
        <v>389</v>
      </c>
      <c r="B84" s="375">
        <v>4000000</v>
      </c>
      <c r="C84" s="359">
        <v>1</v>
      </c>
      <c r="D84" s="375">
        <f aca="true" t="shared" si="21" ref="D84:D89">B84*E84</f>
        <v>1465397.671484347</v>
      </c>
      <c r="E84" s="359">
        <v>0.3663494178710867</v>
      </c>
      <c r="F84" s="375">
        <f aca="true" t="shared" si="22" ref="F84:F89">B84*G84</f>
        <v>1923283.906113887</v>
      </c>
      <c r="G84" s="359">
        <v>0.4808209765284717</v>
      </c>
    </row>
    <row r="85" spans="1:7" ht="15">
      <c r="A85" s="368" t="s">
        <v>390</v>
      </c>
      <c r="B85" s="375">
        <f>B$84*C85</f>
        <v>3319417.972310992</v>
      </c>
      <c r="C85" s="359">
        <v>0.829854493077748</v>
      </c>
      <c r="D85" s="375">
        <f t="shared" si="21"/>
        <v>1396373.4318424189</v>
      </c>
      <c r="E85" s="359">
        <v>0.42066815432413235</v>
      </c>
      <c r="F85" s="375">
        <f t="shared" si="22"/>
        <v>1923044.5404685733</v>
      </c>
      <c r="G85" s="359">
        <v>0.5793318456758677</v>
      </c>
    </row>
    <row r="86" spans="1:7" ht="15">
      <c r="A86" s="368" t="s">
        <v>391</v>
      </c>
      <c r="B86" s="375">
        <f>B$84*C86</f>
        <v>2861348.3431074303</v>
      </c>
      <c r="C86" s="359">
        <v>0.7153370857768576</v>
      </c>
      <c r="D86" s="375">
        <f t="shared" si="21"/>
        <v>1392227.9999452198</v>
      </c>
      <c r="E86" s="359">
        <v>0.486563617218747</v>
      </c>
      <c r="F86" s="375">
        <f t="shared" si="22"/>
        <v>1469120.3431622107</v>
      </c>
      <c r="G86" s="359">
        <v>0.513436382781253</v>
      </c>
    </row>
    <row r="87" spans="1:7" ht="15">
      <c r="A87" s="368" t="s">
        <v>392</v>
      </c>
      <c r="B87" s="375">
        <f>B$84*C87</f>
        <v>1970176.9459920845</v>
      </c>
      <c r="C87" s="359">
        <v>0.4925442364980211</v>
      </c>
      <c r="D87" s="375">
        <f t="shared" si="21"/>
        <v>1209626.5479127257</v>
      </c>
      <c r="E87" s="359">
        <v>0.6139684815485531</v>
      </c>
      <c r="F87" s="375">
        <f t="shared" si="22"/>
        <v>760550.3980793587</v>
      </c>
      <c r="G87" s="359">
        <v>0.38603151845144695</v>
      </c>
    </row>
    <row r="88" spans="1:7" ht="15">
      <c r="A88" s="368" t="s">
        <v>393</v>
      </c>
      <c r="B88" s="375">
        <f>B$84*C88</f>
        <v>1379123.862194459</v>
      </c>
      <c r="C88" s="359">
        <v>0.34478096554861476</v>
      </c>
      <c r="D88" s="375">
        <f t="shared" si="21"/>
        <v>846738.5835389079</v>
      </c>
      <c r="E88" s="359">
        <v>0.6139684815485531</v>
      </c>
      <c r="F88" s="375">
        <f t="shared" si="22"/>
        <v>532385.278655551</v>
      </c>
      <c r="G88" s="359">
        <v>0.38603151845144695</v>
      </c>
    </row>
    <row r="89" spans="1:7" ht="15">
      <c r="A89" s="368" t="s">
        <v>394</v>
      </c>
      <c r="B89" s="375">
        <f>B$84*C89</f>
        <v>827474.3173166754</v>
      </c>
      <c r="C89" s="359">
        <v>0.20686857932916886</v>
      </c>
      <c r="D89" s="375">
        <f t="shared" si="21"/>
        <v>508043.1501233448</v>
      </c>
      <c r="E89" s="359">
        <v>0.6139684815485531</v>
      </c>
      <c r="F89" s="375">
        <f t="shared" si="22"/>
        <v>319431.16719333065</v>
      </c>
      <c r="G89" s="359">
        <v>0.38603151845144695</v>
      </c>
    </row>
    <row r="92" spans="1:8" ht="15">
      <c r="A92" s="423" t="s">
        <v>396</v>
      </c>
      <c r="B92" s="423"/>
      <c r="C92" s="423"/>
      <c r="D92" s="423"/>
      <c r="E92" s="423"/>
      <c r="F92" s="423"/>
      <c r="G92" s="424"/>
      <c r="H92" s="424"/>
    </row>
    <row r="93" spans="1:8" ht="30">
      <c r="A93" s="363" t="s">
        <v>397</v>
      </c>
      <c r="B93" s="379" t="s">
        <v>398</v>
      </c>
      <c r="C93" s="379" t="s">
        <v>399</v>
      </c>
      <c r="D93" s="379" t="s">
        <v>400</v>
      </c>
      <c r="E93" s="379" t="s">
        <v>401</v>
      </c>
      <c r="F93" s="363" t="s">
        <v>338</v>
      </c>
      <c r="G93" s="379" t="s">
        <v>402</v>
      </c>
      <c r="H93" s="379" t="s">
        <v>403</v>
      </c>
    </row>
    <row r="94" spans="1:8" ht="15">
      <c r="A94" s="363" t="s">
        <v>404</v>
      </c>
      <c r="B94" s="380">
        <v>0.021038274226686377</v>
      </c>
      <c r="C94" s="380">
        <v>0.05533873015450813</v>
      </c>
      <c r="D94" s="380">
        <v>0.22462560811904378</v>
      </c>
      <c r="E94" s="380">
        <v>0.10944713721177088</v>
      </c>
      <c r="F94" s="380">
        <v>0.09790311217935435</v>
      </c>
      <c r="G94" s="381">
        <v>0.030747973650154227</v>
      </c>
      <c r="H94" s="381">
        <v>0.06712866164789795</v>
      </c>
    </row>
    <row r="95" spans="1:8" ht="15">
      <c r="A95" s="363" t="s">
        <v>405</v>
      </c>
      <c r="B95" s="380">
        <v>0.004742609510983969</v>
      </c>
      <c r="C95" s="380">
        <v>0.010376587358016305</v>
      </c>
      <c r="D95" s="380">
        <v>0.012005293372811485</v>
      </c>
      <c r="E95" s="380">
        <v>0.008549358638241274</v>
      </c>
      <c r="F95" s="380">
        <v>0.013302391115163069</v>
      </c>
      <c r="G95" s="380">
        <v>0.003269404793180956</v>
      </c>
      <c r="H95" s="381">
        <v>0.008210634995598527</v>
      </c>
    </row>
    <row r="96" spans="1:8" ht="15">
      <c r="A96" s="363" t="s">
        <v>406</v>
      </c>
      <c r="B96" s="380">
        <v>0.0020658440476996817</v>
      </c>
      <c r="C96" s="380">
        <v>0.007844589555483488</v>
      </c>
      <c r="D96" s="380">
        <v>0.031607909593762196</v>
      </c>
      <c r="E96" s="380">
        <v>0.03960073152328213</v>
      </c>
      <c r="F96" s="380">
        <v>0.056946976917657786</v>
      </c>
      <c r="G96" s="380">
        <v>0.028461336369209212</v>
      </c>
      <c r="H96" s="381">
        <v>0.015544356815745664</v>
      </c>
    </row>
    <row r="97" spans="1:8" ht="15">
      <c r="A97" s="363" t="s">
        <v>318</v>
      </c>
      <c r="B97" s="380">
        <v>0.036005184863492266</v>
      </c>
      <c r="C97" s="380">
        <v>0.09232942774803604</v>
      </c>
      <c r="D97" s="380">
        <v>0.08104763083484867</v>
      </c>
      <c r="E97" s="380">
        <v>0.07058176563119462</v>
      </c>
      <c r="F97" s="380">
        <v>0.04638742696117028</v>
      </c>
      <c r="G97" s="380">
        <v>0.00799836529760341</v>
      </c>
      <c r="H97" s="381">
        <v>0.05869400802296656</v>
      </c>
    </row>
    <row r="98" spans="1:8" ht="15">
      <c r="A98" s="363" t="s">
        <v>407</v>
      </c>
      <c r="B98" s="380">
        <v>0.9354229501926394</v>
      </c>
      <c r="C98" s="380">
        <v>0.8284614967534162</v>
      </c>
      <c r="D98" s="380">
        <v>0.6397888363148224</v>
      </c>
      <c r="E98" s="380">
        <v>0.7664944432366069</v>
      </c>
      <c r="F98" s="380">
        <v>0.7820386639592226</v>
      </c>
      <c r="G98" s="380">
        <v>0.927372507808623</v>
      </c>
      <c r="H98" s="381">
        <v>0.8465959876150103</v>
      </c>
    </row>
    <row r="99" spans="1:8" ht="15">
      <c r="A99" s="363" t="s">
        <v>408</v>
      </c>
      <c r="B99" s="380">
        <v>0.00040971577545184944</v>
      </c>
      <c r="C99" s="380">
        <v>0.0056184775480849405</v>
      </c>
      <c r="D99" s="380">
        <v>0.01085331835448461</v>
      </c>
      <c r="E99" s="380">
        <v>0.00509636412466589</v>
      </c>
      <c r="F99" s="380">
        <v>0.0034214288674319342</v>
      </c>
      <c r="G99" s="380">
        <v>0.0021504120812291406</v>
      </c>
      <c r="H99" s="381">
        <v>0.0036654519878765064</v>
      </c>
    </row>
    <row r="100" spans="1:8" ht="15">
      <c r="A100" s="363" t="s">
        <v>409</v>
      </c>
      <c r="B100" s="380">
        <v>0.0003154213830463995</v>
      </c>
      <c r="C100" s="380">
        <v>3.0690882454943224E-05</v>
      </c>
      <c r="D100" s="380">
        <v>7.140341022687243E-05</v>
      </c>
      <c r="E100" s="380">
        <v>0.00023019963423835893</v>
      </c>
      <c r="F100" s="380">
        <v>0</v>
      </c>
      <c r="G100" s="380">
        <v>0</v>
      </c>
      <c r="H100" s="381">
        <v>0.0001608989149044807</v>
      </c>
    </row>
    <row r="101" spans="1:8" ht="15">
      <c r="A101" s="363" t="s">
        <v>57</v>
      </c>
      <c r="B101" s="380">
        <f aca="true" t="shared" si="23" ref="B101:H101">SUM(B94:B100)</f>
        <v>1</v>
      </c>
      <c r="C101" s="380">
        <f t="shared" si="23"/>
        <v>1</v>
      </c>
      <c r="D101" s="380">
        <f t="shared" si="23"/>
        <v>1</v>
      </c>
      <c r="E101" s="380">
        <f t="shared" si="23"/>
        <v>1</v>
      </c>
      <c r="F101" s="380">
        <f t="shared" si="23"/>
        <v>1</v>
      </c>
      <c r="G101" s="380">
        <f t="shared" si="23"/>
        <v>0.9999999999999999</v>
      </c>
      <c r="H101" s="380">
        <f t="shared" si="23"/>
        <v>1</v>
      </c>
    </row>
    <row r="102" spans="1:8" ht="15">
      <c r="A102" s="425" t="s">
        <v>410</v>
      </c>
      <c r="B102" s="425"/>
      <c r="C102" s="425"/>
      <c r="D102" s="425"/>
      <c r="E102" s="425"/>
      <c r="F102" s="425"/>
      <c r="G102" s="424"/>
      <c r="H102" s="424"/>
    </row>
    <row r="103" spans="1:8" ht="15">
      <c r="A103" s="425"/>
      <c r="B103" s="425"/>
      <c r="C103" s="425"/>
      <c r="D103" s="425"/>
      <c r="E103" s="425"/>
      <c r="F103" s="425"/>
      <c r="G103" s="424"/>
      <c r="H103" s="424"/>
    </row>
    <row r="104" spans="1:8" ht="15">
      <c r="A104" s="382"/>
      <c r="B104" s="382"/>
      <c r="C104" s="382"/>
      <c r="D104" s="382"/>
      <c r="E104" s="382"/>
      <c r="F104" s="382"/>
      <c r="G104" s="382"/>
      <c r="H104" s="382"/>
    </row>
    <row r="105" spans="1:8" ht="15">
      <c r="A105" s="423" t="s">
        <v>396</v>
      </c>
      <c r="B105" s="423"/>
      <c r="C105" s="423"/>
      <c r="D105" s="423"/>
      <c r="E105" s="423"/>
      <c r="F105" s="423"/>
      <c r="G105" s="424"/>
      <c r="H105" s="424"/>
    </row>
    <row r="106" spans="1:8" ht="30">
      <c r="A106" s="363" t="s">
        <v>397</v>
      </c>
      <c r="B106" s="379" t="s">
        <v>398</v>
      </c>
      <c r="C106" s="379" t="s">
        <v>399</v>
      </c>
      <c r="D106" s="379" t="s">
        <v>400</v>
      </c>
      <c r="E106" s="379" t="s">
        <v>401</v>
      </c>
      <c r="F106" s="363" t="s">
        <v>338</v>
      </c>
      <c r="G106" s="379" t="s">
        <v>402</v>
      </c>
      <c r="H106" s="379" t="s">
        <v>403</v>
      </c>
    </row>
    <row r="107" spans="1:8" ht="15">
      <c r="A107" s="363" t="s">
        <v>404</v>
      </c>
      <c r="B107" s="380">
        <v>0.021038274226686377</v>
      </c>
      <c r="C107" s="380">
        <v>0.05533873015450813</v>
      </c>
      <c r="D107" s="380">
        <v>0.22462560811904378</v>
      </c>
      <c r="E107" s="380">
        <v>0.10944713721177088</v>
      </c>
      <c r="F107" s="380">
        <v>0.09790311217935435</v>
      </c>
      <c r="G107" s="381">
        <v>0.030747973650154227</v>
      </c>
      <c r="H107" s="381">
        <v>0.06712866164789795</v>
      </c>
    </row>
    <row r="108" spans="1:8" ht="15">
      <c r="A108" s="363" t="s">
        <v>318</v>
      </c>
      <c r="B108" s="380">
        <v>0.036005184863492266</v>
      </c>
      <c r="C108" s="380">
        <v>0.09232942774803604</v>
      </c>
      <c r="D108" s="380">
        <v>0.08104763083484867</v>
      </c>
      <c r="E108" s="380">
        <v>0.07058176563119462</v>
      </c>
      <c r="F108" s="380">
        <v>0.04638742696117028</v>
      </c>
      <c r="G108" s="380">
        <v>0.00799836529760341</v>
      </c>
      <c r="H108" s="381">
        <v>0.05869400802296656</v>
      </c>
    </row>
    <row r="109" spans="1:8" ht="15">
      <c r="A109" s="363" t="s">
        <v>411</v>
      </c>
      <c r="B109" s="364">
        <f aca="true" t="shared" si="24" ref="B109:H109">B95+B96</f>
        <v>0.0068084535586836505</v>
      </c>
      <c r="C109" s="364">
        <f t="shared" si="24"/>
        <v>0.018221176913499795</v>
      </c>
      <c r="D109" s="364">
        <f t="shared" si="24"/>
        <v>0.04361320296657368</v>
      </c>
      <c r="E109" s="364">
        <f t="shared" si="24"/>
        <v>0.048150090161523405</v>
      </c>
      <c r="F109" s="364">
        <f t="shared" si="24"/>
        <v>0.07024936803282085</v>
      </c>
      <c r="G109" s="364">
        <f t="shared" si="24"/>
        <v>0.03173074116239017</v>
      </c>
      <c r="H109" s="364">
        <f t="shared" si="24"/>
        <v>0.02375499181134419</v>
      </c>
    </row>
    <row r="110" spans="1:8" ht="15">
      <c r="A110" s="363" t="s">
        <v>412</v>
      </c>
      <c r="B110" s="364">
        <f aca="true" t="shared" si="25" ref="B110:H110">1-(SUM(B107:B109))</f>
        <v>0.9361480873511377</v>
      </c>
      <c r="C110" s="364">
        <f t="shared" si="25"/>
        <v>0.834110665183956</v>
      </c>
      <c r="D110" s="364">
        <f t="shared" si="25"/>
        <v>0.6507135580795339</v>
      </c>
      <c r="E110" s="364">
        <f t="shared" si="25"/>
        <v>0.7718210069955111</v>
      </c>
      <c r="F110" s="364">
        <f t="shared" si="25"/>
        <v>0.7854600928266545</v>
      </c>
      <c r="G110" s="364">
        <f t="shared" si="25"/>
        <v>0.9295229198898523</v>
      </c>
      <c r="H110" s="364">
        <f t="shared" si="25"/>
        <v>0.8504223385177914</v>
      </c>
    </row>
    <row r="111" spans="1:8" ht="15">
      <c r="A111" s="382"/>
      <c r="B111" s="382"/>
      <c r="C111" s="382"/>
      <c r="D111" s="382"/>
      <c r="E111" s="382"/>
      <c r="F111" s="382"/>
      <c r="G111" s="382"/>
      <c r="H111" s="382"/>
    </row>
    <row r="112" spans="1:8" ht="15.75">
      <c r="A112" s="363" t="s">
        <v>397</v>
      </c>
      <c r="B112" s="383" t="s">
        <v>413</v>
      </c>
      <c r="C112" s="383" t="s">
        <v>414</v>
      </c>
      <c r="D112" s="383" t="s">
        <v>415</v>
      </c>
      <c r="E112" s="383" t="s">
        <v>416</v>
      </c>
      <c r="F112" s="383" t="s">
        <v>417</v>
      </c>
      <c r="G112" s="382"/>
      <c r="H112" s="382"/>
    </row>
    <row r="113" spans="1:8" ht="15">
      <c r="A113" s="363" t="s">
        <v>404</v>
      </c>
      <c r="B113" s="364">
        <f>C107</f>
        <v>0.05533873015450813</v>
      </c>
      <c r="C113" s="364">
        <f>B107</f>
        <v>0.021038274226686377</v>
      </c>
      <c r="D113" s="380">
        <f>F107</f>
        <v>0.09790311217935435</v>
      </c>
      <c r="E113" s="380">
        <f>D107</f>
        <v>0.22462560811904378</v>
      </c>
      <c r="F113" s="380">
        <f>G107</f>
        <v>0.030747973650154227</v>
      </c>
      <c r="G113" s="382"/>
      <c r="H113" s="382"/>
    </row>
    <row r="114" spans="1:8" ht="15">
      <c r="A114" s="363" t="s">
        <v>318</v>
      </c>
      <c r="B114" s="364">
        <f>C108</f>
        <v>0.09232942774803604</v>
      </c>
      <c r="C114" s="364">
        <f>B108</f>
        <v>0.036005184863492266</v>
      </c>
      <c r="D114" s="380">
        <f>F108</f>
        <v>0.04638742696117028</v>
      </c>
      <c r="E114" s="380">
        <f>D108</f>
        <v>0.08104763083484867</v>
      </c>
      <c r="F114" s="380">
        <f>G108</f>
        <v>0.00799836529760341</v>
      </c>
      <c r="G114" s="382"/>
      <c r="H114" s="382"/>
    </row>
    <row r="115" spans="1:8" ht="15">
      <c r="A115" s="363" t="s">
        <v>411</v>
      </c>
      <c r="B115" s="364">
        <f>C109</f>
        <v>0.018221176913499795</v>
      </c>
      <c r="C115" s="364">
        <f>B109</f>
        <v>0.0068084535586836505</v>
      </c>
      <c r="D115" s="380">
        <f>F109</f>
        <v>0.07024936803282085</v>
      </c>
      <c r="E115" s="380">
        <f>D109</f>
        <v>0.04361320296657368</v>
      </c>
      <c r="F115" s="380">
        <f>G109</f>
        <v>0.03173074116239017</v>
      </c>
      <c r="G115" s="382"/>
      <c r="H115" s="382"/>
    </row>
    <row r="116" spans="1:8" ht="15">
      <c r="A116" s="363" t="s">
        <v>412</v>
      </c>
      <c r="B116" s="364">
        <f>1-(SUM(B113:B115))</f>
        <v>0.834110665183956</v>
      </c>
      <c r="C116" s="364">
        <f>1-(SUM(C113:C115))</f>
        <v>0.9361480873511377</v>
      </c>
      <c r="D116" s="364">
        <f>1-(SUM(D113:D115))</f>
        <v>0.7854600928266545</v>
      </c>
      <c r="E116" s="364">
        <f>1-(SUM(E113:E115))</f>
        <v>0.6507135580795339</v>
      </c>
      <c r="F116" s="364">
        <f>1-(SUM(F113:F115))</f>
        <v>0.9295229198898523</v>
      </c>
      <c r="G116" s="382"/>
      <c r="H116" s="382"/>
    </row>
  </sheetData>
  <mergeCells count="3">
    <mergeCell ref="A92:H92"/>
    <mergeCell ref="A102:H103"/>
    <mergeCell ref="A105:H105"/>
  </mergeCells>
  <printOptions gridLines="1"/>
  <pageMargins left="0.75" right="0.75" top="1" bottom="1" header="0.5" footer="0.5"/>
  <pageSetup horizontalDpi="600" verticalDpi="600" orientation="landscape"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Compact Flourescent Fixtures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2003-01-17T19:29:20Z</dcterms:modified>
  <cp:category/>
  <cp:version/>
  <cp:contentType/>
  <cp:contentStatus/>
</cp:coreProperties>
</file>