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firstSheet="1" activeTab="1"/>
  </bookViews>
  <sheets>
    <sheet name="Pre-Part  Load MeasureTable" sheetId="1" r:id="rId1"/>
    <sheet name="MeasureTable" sheetId="2" r:id="rId2"/>
    <sheet name="ProData" sheetId="3" r:id="rId3"/>
    <sheet name="CAC and HP Upgrades" sheetId="4" r:id="rId4"/>
    <sheet name="CAC &amp; HP Use &amp; Savings" sheetId="5" r:id="rId5"/>
    <sheet name="Central AC and HP Cost vs SEER" sheetId="6" r:id="rId6"/>
    <sheet name="SGC SubMetered Use " sheetId="7" r:id="rId7"/>
    <sheet name="LookupTable" sheetId="8" r:id="rId8"/>
  </sheets>
  <externalReferences>
    <externalReference r:id="rId11"/>
    <externalReference r:id="rId12"/>
    <externalReference r:id="rId13"/>
    <externalReference r:id="rId14"/>
  </externalReference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 localSheetId="0">'Pre-Part  Load MeasureTable'!PC_Main</definedName>
    <definedName name="PC_Main">[0]!PC_Main</definedName>
    <definedName name="_xlnm.Print_Area" localSheetId="3">'CAC and HP Upgrades'!#REF!</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3.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4.xml><?xml version="1.0" encoding="utf-8"?>
<comments xmlns="http://schemas.openxmlformats.org/spreadsheetml/2006/main">
  <authors>
    <author>Tom Eckman</author>
  </authors>
  <commentList>
    <comment ref="D6" authorId="0">
      <text>
        <r>
          <rPr>
            <b/>
            <sz val="8"/>
            <rFont val="Tahoma"/>
            <family val="0"/>
          </rPr>
          <t>Tom Eckman:</t>
        </r>
        <r>
          <rPr>
            <sz val="8"/>
            <rFont val="Tahoma"/>
            <family val="0"/>
          </rPr>
          <t xml:space="preserve">
Based on DOE Central Air Conditioner and Heat Pump Standards ANOPR
</t>
        </r>
      </text>
    </comment>
    <comment ref="E6" authorId="0">
      <text>
        <r>
          <rPr>
            <b/>
            <sz val="8"/>
            <rFont val="Tahoma"/>
            <family val="0"/>
          </rPr>
          <t>Tom Eckman:</t>
        </r>
        <r>
          <rPr>
            <sz val="8"/>
            <rFont val="Tahoma"/>
            <family val="0"/>
          </rPr>
          <t xml:space="preserve">
Incremental Cost over SEER 11</t>
        </r>
      </text>
    </comment>
    <comment ref="J19" authorId="0">
      <text>
        <r>
          <rPr>
            <b/>
            <sz val="6"/>
            <rFont val="Tahoma"/>
            <family val="0"/>
          </rPr>
          <t>Tom Eckman:</t>
        </r>
        <r>
          <rPr>
            <sz val="6"/>
            <rFont val="Tahoma"/>
            <family val="0"/>
          </rPr>
          <t xml:space="preserve">
Source: Central Air Conditioner and Heat Pump Standards Technical Support Document, June 2000</t>
        </r>
      </text>
    </comment>
    <comment ref="F19" authorId="0">
      <text>
        <r>
          <rPr>
            <b/>
            <sz val="10"/>
            <rFont val="Tahoma"/>
            <family val="2"/>
          </rPr>
          <t>Tom Eckman: Based on DOE estimate of annual maintenance cost supplied by ARI.</t>
        </r>
        <r>
          <rPr>
            <sz val="8"/>
            <rFont val="Tahoma"/>
            <family val="0"/>
          </rPr>
          <t xml:space="preserve">
</t>
        </r>
      </text>
    </comment>
    <comment ref="D19" authorId="0">
      <text>
        <r>
          <rPr>
            <b/>
            <sz val="8"/>
            <rFont val="Tahoma"/>
            <family val="0"/>
          </rPr>
          <t>Tom Eckman:</t>
        </r>
        <r>
          <rPr>
            <sz val="8"/>
            <rFont val="Tahoma"/>
            <family val="0"/>
          </rPr>
          <t xml:space="preserve">
Base on DOE ANOPR</t>
        </r>
      </text>
    </comment>
    <comment ref="J15" authorId="0">
      <text>
        <r>
          <rPr>
            <b/>
            <sz val="6"/>
            <rFont val="Tahoma"/>
            <family val="0"/>
          </rPr>
          <t>Tom Eckman:</t>
        </r>
        <r>
          <rPr>
            <sz val="6"/>
            <rFont val="Tahoma"/>
            <family val="0"/>
          </rPr>
          <t xml:space="preserve">
Source: Central Air Conditioner and Heat Pump Standards Technical Support Document, June 2000</t>
        </r>
      </text>
    </comment>
    <comment ref="F15" authorId="0">
      <text>
        <r>
          <rPr>
            <b/>
            <sz val="10"/>
            <rFont val="Tahoma"/>
            <family val="2"/>
          </rPr>
          <t>Tom Eckman: Based on DOE estimate of annual maintenance cost supplied by ARI.</t>
        </r>
        <r>
          <rPr>
            <sz val="8"/>
            <rFont val="Tahoma"/>
            <family val="0"/>
          </rPr>
          <t xml:space="preserve">
</t>
        </r>
      </text>
    </comment>
    <comment ref="E15" authorId="0">
      <text>
        <r>
          <rPr>
            <b/>
            <sz val="8"/>
            <rFont val="Tahoma"/>
            <family val="0"/>
          </rPr>
          <t>Tom Eckman:</t>
        </r>
        <r>
          <rPr>
            <sz val="8"/>
            <rFont val="Tahoma"/>
            <family val="0"/>
          </rPr>
          <t xml:space="preserve">
Based on DOE Central Air Condtioner and Heat Pump SANOPR, as revised 6/2000.</t>
        </r>
      </text>
    </comment>
    <comment ref="D15" authorId="0">
      <text>
        <r>
          <rPr>
            <b/>
            <sz val="8"/>
            <rFont val="Tahoma"/>
            <family val="0"/>
          </rPr>
          <t>Tom Eckman:</t>
        </r>
        <r>
          <rPr>
            <sz val="8"/>
            <rFont val="Tahoma"/>
            <family val="0"/>
          </rPr>
          <t xml:space="preserve">
Base on DOE ANOPR</t>
        </r>
      </text>
    </comment>
    <comment ref="E33" authorId="0">
      <text>
        <r>
          <rPr>
            <b/>
            <sz val="8"/>
            <rFont val="Tahoma"/>
            <family val="0"/>
          </rPr>
          <t>Tom Eckman:</t>
        </r>
        <r>
          <rPr>
            <sz val="8"/>
            <rFont val="Tahoma"/>
            <family val="0"/>
          </rPr>
          <t xml:space="preserve">
Based on DOE Central Air Condtioner and Heat Pump SANOPR, as revised 6/2000.</t>
        </r>
      </text>
    </comment>
    <comment ref="E17" authorId="0">
      <text>
        <r>
          <rPr>
            <b/>
            <sz val="8"/>
            <rFont val="Tahoma"/>
            <family val="0"/>
          </rPr>
          <t>Tom Eckman:</t>
        </r>
        <r>
          <rPr>
            <sz val="8"/>
            <rFont val="Tahoma"/>
            <family val="0"/>
          </rPr>
          <t xml:space="preserve">
Based on DOE Central Air Condtioner and Heat Pump SANOPR, as revised 6/2000.</t>
        </r>
      </text>
    </comment>
    <comment ref="E19" authorId="0">
      <text>
        <r>
          <rPr>
            <b/>
            <sz val="8"/>
            <rFont val="Tahoma"/>
            <family val="0"/>
          </rPr>
          <t>Tom Eckman:</t>
        </r>
        <r>
          <rPr>
            <sz val="8"/>
            <rFont val="Tahoma"/>
            <family val="0"/>
          </rPr>
          <t xml:space="preserve">
Based on DOE Central Air Condtioner and Heat Pump SANOPR, as revised 6/2000.</t>
        </r>
      </text>
    </comment>
    <comment ref="E35" authorId="0">
      <text>
        <r>
          <rPr>
            <b/>
            <sz val="8"/>
            <rFont val="Tahoma"/>
            <family val="0"/>
          </rPr>
          <t>Tom Eckman:</t>
        </r>
        <r>
          <rPr>
            <sz val="8"/>
            <rFont val="Tahoma"/>
            <family val="0"/>
          </rPr>
          <t xml:space="preserve">
Based on DOE Central Air Condtioner and Heat Pump SANOPR, as revised 6/2000.</t>
        </r>
      </text>
    </comment>
    <comment ref="E37" authorId="0">
      <text>
        <r>
          <rPr>
            <b/>
            <sz val="8"/>
            <rFont val="Tahoma"/>
            <family val="0"/>
          </rPr>
          <t>Tom Eckman:</t>
        </r>
        <r>
          <rPr>
            <sz val="8"/>
            <rFont val="Tahoma"/>
            <family val="0"/>
          </rPr>
          <t xml:space="preserve">
Based on DOE Central Air Condtioner and Heat Pump SANOPR, as revised 6/2000.</t>
        </r>
      </text>
    </comment>
    <comment ref="E51" authorId="0">
      <text>
        <r>
          <rPr>
            <b/>
            <sz val="8"/>
            <rFont val="Tahoma"/>
            <family val="0"/>
          </rPr>
          <t>Tom Eckman:</t>
        </r>
        <r>
          <rPr>
            <sz val="8"/>
            <rFont val="Tahoma"/>
            <family val="0"/>
          </rPr>
          <t xml:space="preserve">
Based on DOE Central Air Condtioner and Heat Pump SANOPR, as revised 6/2000.</t>
        </r>
      </text>
    </comment>
    <comment ref="E53" authorId="0">
      <text>
        <r>
          <rPr>
            <b/>
            <sz val="8"/>
            <rFont val="Tahoma"/>
            <family val="0"/>
          </rPr>
          <t>Tom Eckman:</t>
        </r>
        <r>
          <rPr>
            <sz val="8"/>
            <rFont val="Tahoma"/>
            <family val="0"/>
          </rPr>
          <t xml:space="preserve">
Based on DOE Central Air Condtioner and Heat Pump SANOPR, as revised 6/2000.</t>
        </r>
      </text>
    </comment>
    <comment ref="E55" authorId="0">
      <text>
        <r>
          <rPr>
            <b/>
            <sz val="8"/>
            <rFont val="Tahoma"/>
            <family val="0"/>
          </rPr>
          <t>Tom Eckman:</t>
        </r>
        <r>
          <rPr>
            <sz val="8"/>
            <rFont val="Tahoma"/>
            <family val="0"/>
          </rPr>
          <t xml:space="preserve">
Based on DOE Central Air Condtioner and Heat Pump SANOPR, as revised 6/2000.</t>
        </r>
      </text>
    </comment>
  </commentList>
</comments>
</file>

<file path=xl/comments5.xml><?xml version="1.0" encoding="utf-8"?>
<comments xmlns="http://schemas.openxmlformats.org/spreadsheetml/2006/main">
  <authors>
    <author>Tom Eckman</author>
  </authors>
  <commentList>
    <comment ref="H73" authorId="0">
      <text>
        <r>
          <rPr>
            <b/>
            <sz val="10"/>
            <rFont val="Tahoma"/>
            <family val="2"/>
          </rPr>
          <t>Tom Eckman: SGC metered use for Heat Pumps in Zone 1 averaged 3.6 kWh/sf/yr for combined heating and cooling use. See SGC SubMetered Use tab. This makes savings estimate conservative. Ecotope baseline study estimated HP homes in WA use 2.6 kWh and OR use 2.2 kWh/sf/yr. Base case average total space conditioning use for Zone 1 is 2.4 kWh/sf/yr asssuming HSPF 6.8 and SEER 10.</t>
        </r>
      </text>
    </comment>
    <comment ref="I73" authorId="0">
      <text>
        <r>
          <rPr>
            <b/>
            <sz val="10"/>
            <rFont val="Tahoma"/>
            <family val="2"/>
          </rPr>
          <t>Tom Eckman: SGC metered use for Heat Pumps in Zone 2 averaged 3.4 kWh/sf/yr. See SGC SubMetered Use tab. Base case total space conditioning use for Zone 2 is 3.2 kWh/Sf/yr with HSPF 6.8 and SEER 10.</t>
        </r>
        <r>
          <rPr>
            <sz val="8"/>
            <rFont val="Tahoma"/>
            <family val="0"/>
          </rPr>
          <t xml:space="preserve">
</t>
        </r>
      </text>
    </comment>
  </commentList>
</comments>
</file>

<file path=xl/sharedStrings.xml><?xml version="1.0" encoding="utf-8"?>
<sst xmlns="http://schemas.openxmlformats.org/spreadsheetml/2006/main" count="1896" uniqueCount="546">
  <si>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</si>
  <si>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</si>
  <si>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</si>
  <si>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</si>
  <si>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</si>
  <si>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</si>
  <si>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</si>
  <si>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</si>
  <si>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</si>
  <si>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</si>
  <si>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</si>
  <si>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</si>
  <si>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</si>
  <si>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</si>
  <si>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</si>
  <si>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</si>
  <si>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</si>
  <si>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</si>
  <si>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</si>
  <si>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</si>
  <si>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</si>
  <si>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</si>
  <si>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</si>
  <si>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</si>
  <si>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</si>
  <si>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</si>
  <si>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</si>
  <si>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</si>
  <si>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</si>
  <si>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</si>
  <si>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</si>
  <si>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</si>
  <si>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</si>
  <si>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</si>
  <si>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</si>
  <si>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</si>
  <si>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</si>
  <si>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</si>
  <si>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</si>
  <si>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</si>
  <si>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</si>
  <si>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</si>
  <si>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</si>
  <si>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</si>
  <si>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</si>
  <si>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</si>
  <si>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</si>
  <si>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</si>
  <si>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</si>
  <si>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</si>
  <si>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</si>
  <si>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</si>
  <si>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</si>
  <si>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</si>
  <si>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</si>
  <si>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</si>
  <si>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</si>
  <si>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</si>
  <si>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</si>
  <si>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</si>
  <si>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</si>
  <si>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</si>
  <si>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</si>
  <si>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</si>
  <si>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</si>
  <si>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</si>
  <si>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</si>
  <si>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</si>
  <si>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</si>
  <si>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</si>
  <si>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</si>
  <si>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</si>
  <si>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</si>
  <si>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</si>
  <si>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</si>
  <si>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</si>
  <si>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</si>
  <si>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</si>
  <si>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</si>
  <si>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</si>
  <si>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</si>
  <si>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</si>
  <si>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</si>
  <si>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</si>
  <si>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</si>
  <si>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</si>
  <si>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</si>
  <si>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</si>
  <si>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</si>
  <si>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</si>
  <si>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</si>
  <si>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</si>
  <si>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</si>
  <si>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</si>
  <si>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</si>
  <si>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</si>
  <si>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</si>
  <si>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</si>
  <si>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</si>
  <si>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</si>
  <si>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</si>
  <si>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</si>
  <si>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</si>
  <si>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</si>
  <si>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</si>
  <si>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</si>
  <si>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</si>
  <si>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</si>
  <si>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</si>
  <si>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</si>
  <si>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</si>
  <si>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</si>
  <si>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</si>
  <si>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</si>
  <si>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</si>
  <si>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</si>
  <si>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</si>
  <si>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</si>
  <si>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</si>
  <si>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</si>
  <si>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</si>
  <si>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</si>
  <si>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</si>
  <si>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</si>
  <si>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</si>
  <si>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</si>
  <si>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</si>
  <si>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</si>
  <si>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</si>
  <si>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</si>
  <si>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</si>
  <si>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</si>
  <si>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</si>
  <si>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</si>
  <si>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</si>
  <si>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</si>
  <si>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</si>
  <si>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</si>
  <si>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</si>
  <si>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</si>
  <si>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</si>
  <si>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</si>
  <si>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</si>
  <si>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</si>
  <si>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</si>
  <si>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</si>
  <si>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</si>
  <si>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</si>
  <si>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</si>
  <si>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</si>
  <si>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</si>
  <si>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</si>
  <si>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</si>
  <si>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</si>
  <si>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</si>
  <si>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</si>
  <si>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Single Family Dwellings with existing air source heat pump built between to 1980 and 1992</t>
  </si>
  <si>
    <t>Heating Zone 3 - Cooling Zone 3</t>
  </si>
  <si>
    <t>Deemed</t>
  </si>
  <si>
    <t>Increased comfort</t>
  </si>
  <si>
    <t>Reduced environmental impacts from electricity generation</t>
  </si>
  <si>
    <t>The Environmental Protection Agency maintains a list of qualifying Energy Star models at www.epa.gov/energystar</t>
  </si>
  <si>
    <t>The Department of Energy revised its standards for central air conditioners and heat pumps. These standards will require a minimum SEER 13 and HSPF 7.7 effective January 21, 2006.</t>
  </si>
  <si>
    <t>Single Family Dwellings with existing air source heat pump built prior to 1980</t>
  </si>
  <si>
    <t>Heating Zone 2 - Cooling Zone 3</t>
  </si>
  <si>
    <t>Heating Zone 2 - Cooling Zone 2</t>
  </si>
  <si>
    <t>Single Family Dwellings with existing or proposed air source heat pump system built after 1992</t>
  </si>
  <si>
    <t>Heating Zone 1 - Cooling Zone 3</t>
  </si>
  <si>
    <t>Heating Zone 1 - Cooling Zone 2</t>
  </si>
  <si>
    <t>Heating Zone 1 - Cooling Zone 1</t>
  </si>
  <si>
    <t>Single Family Dwellings with existing central air conditioning system built between to 1980 and 1992</t>
  </si>
  <si>
    <t>Cooling Zone 3</t>
  </si>
  <si>
    <t>Single Family Dwellings with existing or proposed central air conditioning system built after 1992</t>
  </si>
  <si>
    <t>Single Family Dwellings with existing central air conditioning system built prior to 1980</t>
  </si>
  <si>
    <t>Cooling Zone 2</t>
  </si>
  <si>
    <t>Cooling Zone 1</t>
  </si>
  <si>
    <t>Central AC Upgrade</t>
  </si>
  <si>
    <t>Savings (kwh/yr)</t>
  </si>
  <si>
    <t>Phys Life (yrs)</t>
  </si>
  <si>
    <t>Non-E Val ($/yr)</t>
  </si>
  <si>
    <t>ResCACZ1</t>
  </si>
  <si>
    <t>ResCACZ2</t>
  </si>
  <si>
    <t>ResCACZ3</t>
  </si>
  <si>
    <t>ResSpHtHPZ1</t>
  </si>
  <si>
    <t>ResSpHtHPZ2</t>
  </si>
  <si>
    <t>ResSpHtHPZ3</t>
  </si>
  <si>
    <t>Central Air Conditioner and Heat Pump Use Assumptions</t>
  </si>
  <si>
    <t>User Inputs=&gt;</t>
  </si>
  <si>
    <t>Portland</t>
  </si>
  <si>
    <t>Seattle</t>
  </si>
  <si>
    <t>Boise</t>
  </si>
  <si>
    <t>Spokane</t>
  </si>
  <si>
    <t>Missoula</t>
  </si>
  <si>
    <t>Region</t>
  </si>
  <si>
    <t>Calculated=&gt;</t>
  </si>
  <si>
    <t>Regional Weight - Heating</t>
  </si>
  <si>
    <t>Heating Zone 1</t>
  </si>
  <si>
    <t>Heating Zone 2</t>
  </si>
  <si>
    <t>Heating Zone 3</t>
  </si>
  <si>
    <t>Zone Weights</t>
  </si>
  <si>
    <t>Zone 1</t>
  </si>
  <si>
    <t>Zone 2</t>
  </si>
  <si>
    <t>Zone 3</t>
  </si>
  <si>
    <t>Heat Degree Days*</t>
  </si>
  <si>
    <t>Regional Weight - Cooling</t>
  </si>
  <si>
    <t>Cooling Degree Hours*</t>
  </si>
  <si>
    <t>*Computed from hourly temperatures using SUNCODE &amp; TMY2 Weather Files</t>
  </si>
  <si>
    <t>Base Case Central AC Use</t>
  </si>
  <si>
    <t>Annual Space Cooling Use (kWh/yr) w/SEER =&gt;</t>
  </si>
  <si>
    <t>Building Type</t>
  </si>
  <si>
    <t>Cooling Zone  2</t>
  </si>
  <si>
    <t>Pre79 Construction</t>
  </si>
  <si>
    <t>Note: ELCAP CAC average metered use in Pre80 Construction = 1014 kWh/yr</t>
  </si>
  <si>
    <t>Post79/Pre93 Construction</t>
  </si>
  <si>
    <t>With SEER = 10, Pre80 CAC Regional Avg. Use = 1015 kWh/yr.</t>
  </si>
  <si>
    <t>Post92 Construction</t>
  </si>
  <si>
    <t>*National sales weighted average SEER according to ARI data as reported by DOE in Central Air Conditioning and Heat Pump Standards NOPR.</t>
  </si>
  <si>
    <t>Upgrade Central AC Use</t>
  </si>
  <si>
    <t>Central AC Savings</t>
  </si>
  <si>
    <t>Annual Space Cooling Savings (kWh/yr) w/SEER =&gt;</t>
  </si>
  <si>
    <t>Base Case Electric Zonal Heat</t>
  </si>
  <si>
    <t>Annual Space Heating Use (kWh/yr) w/Zonal Heating</t>
  </si>
  <si>
    <t>Pre79 Construction, FullyWX (1600 SF)</t>
  </si>
  <si>
    <t>Post79/Pre93 Construction (2200 SF)</t>
  </si>
  <si>
    <t>Post92 Construction (2300 SF)</t>
  </si>
  <si>
    <t>Note: Post92 Construction Base Case zonal use calibrated</t>
  </si>
  <si>
    <t>to SGC submetered use of 3.1 kWh.sf for zone 1.</t>
  </si>
  <si>
    <t>Base Case Heat Pump Use</t>
  </si>
  <si>
    <t>Annual Space Heating Use (kWh/yr) w/HSPF =&gt;</t>
  </si>
  <si>
    <t>*National sales weighted average HSPF according to ARI data as reported by DOE in Central Air Conditioning and Heat Pump Standards NOPR.</t>
  </si>
  <si>
    <t>Upgrade Heat Pump Use</t>
  </si>
  <si>
    <t>Heat Pump Upgrade Savings</t>
  </si>
  <si>
    <t>Space Heating Savings (kWh/yr) w/HSPF =&gt;</t>
  </si>
  <si>
    <t>Base Case Heat Pump Total Space Conditioning Use</t>
  </si>
  <si>
    <t>Annual Space Conditioning Use) w/HSPF =&gt;</t>
  </si>
  <si>
    <t>w/SEER =&gt;</t>
  </si>
  <si>
    <t>Post92 kWh/SF</t>
  </si>
  <si>
    <t>Heat Pump Upgrade Total Space Conditioning Use</t>
  </si>
  <si>
    <t>Heat Pump Upgrade Total Space Conditioning Savings</t>
  </si>
  <si>
    <t>Pre80</t>
  </si>
  <si>
    <t>Post79/Pre93</t>
  </si>
  <si>
    <t>Post92</t>
  </si>
  <si>
    <t>Annual Loads</t>
  </si>
  <si>
    <t>Space Heating Load (kWh/yr)*</t>
  </si>
  <si>
    <t>Space Cooling Load (kWh/yr)</t>
  </si>
  <si>
    <t>*Pre79 and Post79/Pre93 Use for SGCSF.xls &amp; ResWX.xls</t>
  </si>
  <si>
    <t>Base Case System Efficiency</t>
  </si>
  <si>
    <t>Heating (HSPF)</t>
  </si>
  <si>
    <t>Heating (COP)</t>
  </si>
  <si>
    <t>Cooling (SEER)</t>
  </si>
  <si>
    <t>Duct (%)*</t>
  </si>
  <si>
    <t>*Source:Ecotope NEEA Baseline Study</t>
  </si>
  <si>
    <t>Upgrade Case System Efficiency</t>
  </si>
  <si>
    <t>Base Case Annual Energy Use</t>
  </si>
  <si>
    <t>Space Heating Use (kWh/yr)</t>
  </si>
  <si>
    <t>Space Cooling Use (kWh/yr)</t>
  </si>
  <si>
    <t>Space Heating Use (kWh/sq.ft./yr)</t>
  </si>
  <si>
    <t>Space Cooling Use (kWh/sq.ft./yr)</t>
  </si>
  <si>
    <t>Total Space Conditioning Use (kWh/yr)</t>
  </si>
  <si>
    <t>Total Space Conditioning Use (kWh/sq.ft./yr)</t>
  </si>
  <si>
    <t>Upgrade Case Annual Energy Use</t>
  </si>
  <si>
    <t>Nominal HSPF</t>
  </si>
  <si>
    <t>Nominal SEER</t>
  </si>
  <si>
    <t>Base Case Duct Efficiency Assumptions</t>
  </si>
  <si>
    <t>Pre80 SF</t>
  </si>
  <si>
    <t>Post79/Pre93 SF</t>
  </si>
  <si>
    <t>Post 92 SF</t>
  </si>
  <si>
    <t>Existing MH</t>
  </si>
  <si>
    <t>New MH (non-SGC)</t>
  </si>
  <si>
    <t>New MH (SGC)</t>
  </si>
  <si>
    <t>Sources:</t>
  </si>
  <si>
    <t>New SF Construction - Ecotope Baseline Study for Alliance</t>
  </si>
  <si>
    <t xml:space="preserve">Existing SF - RCDP </t>
  </si>
  <si>
    <t>Existing MH - RCDP</t>
  </si>
  <si>
    <t>New SGC MH - Ecotope Study for IDWR</t>
  </si>
  <si>
    <t>Upgrade Duct Efficiency Assumptions</t>
  </si>
  <si>
    <t>Eff Gain</t>
  </si>
  <si>
    <t>Duct System Efficiency Improvement Calibrated to Match Savings</t>
  </si>
  <si>
    <t>Assmptions for PTCS. See PTCS Cost &amp; Savings Estimate Tab</t>
  </si>
  <si>
    <t>State</t>
  </si>
  <si>
    <t>Degree Days</t>
  </si>
  <si>
    <t>Idaho</t>
  </si>
  <si>
    <t xml:space="preserve">  Boise</t>
  </si>
  <si>
    <t xml:space="preserve">  Other</t>
  </si>
  <si>
    <t>Montana</t>
  </si>
  <si>
    <t>Oregon</t>
  </si>
  <si>
    <t>Washington</t>
  </si>
  <si>
    <t xml:space="preserve">  Zone One</t>
  </si>
  <si>
    <t xml:space="preserve">  Zone Two</t>
  </si>
  <si>
    <t>Annual Space Heating Use w/o Heating System &amp; Duct Efficiency*</t>
  </si>
  <si>
    <t>Current Practice</t>
  </si>
  <si>
    <t>Code Minimum</t>
  </si>
  <si>
    <t>Electric (kWh)</t>
  </si>
  <si>
    <t>Heat Pump (kWh)</t>
  </si>
  <si>
    <t>Electric (kWh/SF)</t>
  </si>
  <si>
    <t>Heat Pump (kWh/SF)</t>
  </si>
  <si>
    <t>Annual Space Heating Use w/Heating System &amp; Duct Efficiency*</t>
  </si>
  <si>
    <t>Electric</t>
  </si>
  <si>
    <t>Heat Pump**</t>
  </si>
  <si>
    <t>KWH</t>
  </si>
  <si>
    <t>KWH/ft2</t>
  </si>
  <si>
    <t>Assumes HSPF 7.4</t>
  </si>
  <si>
    <t>Average House Size*</t>
  </si>
  <si>
    <t>Heat Pump</t>
  </si>
  <si>
    <t>Source: Baseline Characteristics of the Residential Sector in Idaho, Montana, Oregon &amp; Washington</t>
  </si>
  <si>
    <t>Ecotope, Inc. for the Northwest Energy Efficiency Alliance</t>
  </si>
  <si>
    <t>February, 2000</t>
  </si>
  <si>
    <t xml:space="preserve">Benton County PUD Heat Pump Program Savings Results from PRISM </t>
  </si>
  <si>
    <t>Average House Size = &gt;</t>
  </si>
  <si>
    <t>Total (kWh/yr)</t>
  </si>
  <si>
    <t>kwh/sf</t>
  </si>
  <si>
    <t>All High Efficiency Conversions (HSPF 8.0)</t>
  </si>
  <si>
    <t>All High Efficiency Conversions (HSPF 8.0) from FAF w/AC</t>
  </si>
  <si>
    <t>All High Efficiency Conversions (HSPF 8.0) from Zonal w/o AC</t>
  </si>
  <si>
    <t xml:space="preserve"> </t>
  </si>
  <si>
    <t>Air Source Heat Pump and Central Air Conditioner Retail Prices</t>
  </si>
  <si>
    <t>Site Built Housing</t>
  </si>
  <si>
    <t>Heat Pump w/ Outdoor Unit, Indoor Coil, Electric, Thermostat Installed wo/ Ductwork.</t>
  </si>
  <si>
    <t>Price Range</t>
  </si>
  <si>
    <t>Incremental Cost</t>
  </si>
  <si>
    <t>Outdoor Unit Model Number</t>
  </si>
  <si>
    <t>Capacity (tons)</t>
  </si>
  <si>
    <t>HSPF</t>
  </si>
  <si>
    <t>SEER</t>
  </si>
  <si>
    <t>Low</t>
  </si>
  <si>
    <t>High</t>
  </si>
  <si>
    <t>HP 29 030</t>
  </si>
  <si>
    <t>HP 29 036</t>
  </si>
  <si>
    <t>HP 29 042</t>
  </si>
  <si>
    <t>HP 29 048</t>
  </si>
  <si>
    <t>HP 26 030</t>
  </si>
  <si>
    <t>HP 26 036</t>
  </si>
  <si>
    <t>HP 26 042</t>
  </si>
  <si>
    <t>HP 26 048</t>
  </si>
  <si>
    <t xml:space="preserve">Equipment Brand    Lennox     </t>
  </si>
  <si>
    <t>Central Air w/ Outdoor Unit, Indoor Coil, Elec. Furnace, Thermostat Installed wo/ Ductwork.</t>
  </si>
  <si>
    <t>10 ACB 030</t>
  </si>
  <si>
    <t>10 ACB 036</t>
  </si>
  <si>
    <t>10 ACB 042</t>
  </si>
  <si>
    <t>10 ACB 048</t>
  </si>
  <si>
    <t>HS 29 030</t>
  </si>
  <si>
    <t>HS 29 036</t>
  </si>
  <si>
    <t>HS 29 042</t>
  </si>
  <si>
    <t>HS 29 048</t>
  </si>
  <si>
    <t>HS 26 030</t>
  </si>
  <si>
    <t>HS 26 036</t>
  </si>
  <si>
    <t>HS 26 042</t>
  </si>
  <si>
    <t>HS 26 048</t>
  </si>
  <si>
    <t>Source:Personal Communication William Gatchell, Umatilla Electric Cooperative with Campbell &amp; Bruce Refrigeration in Hermiston, OR (5/11/00)</t>
  </si>
  <si>
    <t>Manufactured Housing</t>
  </si>
  <si>
    <t>Central AC (10 SEER)</t>
  </si>
  <si>
    <t>Capacity</t>
  </si>
  <si>
    <t>Installed Cost</t>
  </si>
  <si>
    <t>3-Ton</t>
  </si>
  <si>
    <t>3.5 - Ton</t>
  </si>
  <si>
    <t>4-Ton</t>
  </si>
  <si>
    <t>Heat Pump w/6.8 HSPF &amp; 10 SEER AC</t>
  </si>
  <si>
    <t>Heat Pump w/ 8.0 HSPF &amp; 12 SEER AC</t>
  </si>
  <si>
    <t>Source: Art Berger, Valley Homes, Yakima, WA</t>
  </si>
  <si>
    <t>Level</t>
  </si>
  <si>
    <t>Description</t>
  </si>
  <si>
    <t>SEER (Btu/Whr)</t>
  </si>
  <si>
    <t>HPSF (Btu/Whr)</t>
  </si>
  <si>
    <t>% Change over Base Case SEER</t>
  </si>
  <si>
    <t>Incremental Repair &amp; Maintenance Cost</t>
  </si>
  <si>
    <t>Compressor Replacement Cost</t>
  </si>
  <si>
    <t>Incremental Compressor Replacement Cost</t>
  </si>
  <si>
    <t>Baseline (SEER=10)</t>
  </si>
  <si>
    <t>10% Impr. (SEER=11)</t>
  </si>
  <si>
    <t>20% Impr. (SEER=12)</t>
  </si>
  <si>
    <t>30% Impr. (SEER=13)</t>
  </si>
  <si>
    <t>40% Impr. (SEER=14)</t>
  </si>
  <si>
    <t>50% Impr. (SEER=15)</t>
  </si>
  <si>
    <t>SPLIT SYSTEM CENTRAL AIR CONDITIONERS:   COST AND EFFICIENCY DATA (REVERSE ENGINEERING) As Revised 6/2000</t>
  </si>
  <si>
    <t>% Improvement over Baseline SEER</t>
  </si>
  <si>
    <t>Current Practice*</t>
  </si>
  <si>
    <t>Super Good Cents Annual Electricity Use Based on Submetering</t>
  </si>
  <si>
    <t xml:space="preserve">Heating System Type </t>
  </si>
  <si>
    <t>Climate Zone</t>
  </si>
  <si>
    <t>Characteristic</t>
  </si>
  <si>
    <t>Forced-Air Furnace</t>
  </si>
  <si>
    <t>Zonal</t>
  </si>
  <si>
    <t>All</t>
  </si>
  <si>
    <t>Number of Homes</t>
  </si>
  <si>
    <t>Percent</t>
  </si>
  <si>
    <t>Average Size (sq.ft.)</t>
  </si>
  <si>
    <t>Average UA (Btu/F)</t>
  </si>
  <si>
    <t>Average UA/sq.ft. (Btu/F)</t>
  </si>
  <si>
    <t>Average Total Use (kWh/yr)</t>
  </si>
  <si>
    <t>Average Total Use (kWh/sq.ft./yr)</t>
  </si>
  <si>
    <t>Average Heating Use (kWh/yr)</t>
  </si>
  <si>
    <t>Average Heating Use (kWh/sq.ft./yr)</t>
  </si>
  <si>
    <t>Source: Bonneville's Super Good Cents Sub-Metering Project Data Set Through December 1990.</t>
  </si>
  <si>
    <t>CAC and HP Upgrades</t>
  </si>
  <si>
    <t>CAC &amp; HP Use &amp; Savings</t>
  </si>
  <si>
    <t>Central AC and HP Cost vs SEER</t>
  </si>
  <si>
    <t xml:space="preserve">SGC SubMetered Use </t>
  </si>
  <si>
    <t>Heating Zone 2 - Cooling Zone 1</t>
  </si>
  <si>
    <t>Heating Zone 3 - Cooling Zone 1</t>
  </si>
  <si>
    <t>Heating Zone 3 - Cooling Zone 2</t>
  </si>
  <si>
    <t>Central AC must be rated SEER 13 or higher and be installed in substantial compliance with  the applicable specifications for Air Source Heating Pump Installation provided in the RTF's Appendix H - "Air Source Heat Pump Installation Standards.".</t>
  </si>
  <si>
    <t xml:space="preserve">Heat Pump must be rated HSPF 8.0 and SEER 13 or higher and be installed in substantial compliance with  the applicable specifications for Air Source Heating Pump Installation provided in the RTF's Appendix H - "Air Source Heat Pump Installation Standards.". </t>
  </si>
  <si>
    <t>LookupTable</t>
  </si>
  <si>
    <t>Pre80 Single Family Construction CAC Upgrade SEER w/PTCS - Cooling Zone 2</t>
  </si>
  <si>
    <t>Pre80 Single Family Construction CAC Upgrade SEER w/PTCS - Cooling Zone 3</t>
  </si>
  <si>
    <t>Post79/Pre93 Single Family Construction CAC Upgrade SEER w/PTCS - Cooling Zone 1</t>
  </si>
  <si>
    <t>Post79/Pre93 Single Family Construction CAC Upgrade SEER w/PTCS - Cooling Zone 2</t>
  </si>
  <si>
    <t>Post79/Pre93 Single Family Construction CAC Upgrade SEER w/PTCS - Cooling Zone 3</t>
  </si>
  <si>
    <t>Post92 Single Family Construction CAC Upgrade SEER w/PTCS - Cooling Zone 1</t>
  </si>
  <si>
    <t>Post92 Single Family Construction CAC Upgrade SEER w/PTCS - Cooling Zone 2</t>
  </si>
  <si>
    <t>Post92 Single Family Construction CAC Upgrade SEER w/PTCS - Cooling Zone 3</t>
  </si>
  <si>
    <t>Pre80 Single Family Construction HP Upgrade w/PTCS  - Zone 1 Heat - Zone 1 Cool</t>
  </si>
  <si>
    <t>Pre80 Single Family Construction HP Upgrade w/PTCS  - Zone 2 Heat - Zone 2 Cool</t>
  </si>
  <si>
    <t>Pre80 Single Family Construction HP Upgrade w/PTCS  - Zone 3 Heat - Zone 3 Cool</t>
  </si>
  <si>
    <t>Pre80 Single Family Construction HP Upgrade w/PTCS  - Zone 1 Heat - Zone 2 Cool</t>
  </si>
  <si>
    <t>Pre80 Single Family Construction HP Upgrade w/PTCS  - Zone 1 Heat - Zone 3 Cool</t>
  </si>
  <si>
    <t>Pre80 Single Family Construction HP Upgrade w/PTCS  - Zone 2 Heat - Zone 3 Cool</t>
  </si>
  <si>
    <t>Pre80 Single Family Construction HP Upgrade w/PTCS  - Zone 2 Heat - Zone 1 Cool</t>
  </si>
  <si>
    <t>Pre80 Single Family Construction HP Upgrade w/PTCS  - Zone 3 Heat - Zone 1 Cool</t>
  </si>
  <si>
    <t>Pre80 Single Family Construction HP Upgrade w/PTCS  - Zone 3 Heat - Zone 2 Cool</t>
  </si>
  <si>
    <t>Post79/Pre93 Single Family Construction HP Upgrade w/PTCS  - Zone 1 Heat - Zone 1 Cool</t>
  </si>
  <si>
    <t>Post79/Pre93 Single Family Construction HP Upgrade w/PTCS  - Zone 2 Heat - Zone 2 Cool</t>
  </si>
  <si>
    <t>Post79/Pre93 Single Family Construction HP Upgrade w/PTCS  - Zone 3 Heat - Zone 3 Cool</t>
  </si>
  <si>
    <t>Post79/Pre93 Single Family Construction HP Upgrade w/PTCS  - Zone 1 Heat - Zone 2 Cool</t>
  </si>
  <si>
    <t>Post79/Pre93 Single Family Construction HP Upgrade w/PTCS  - Zone 1 Heat - Zone 3 Cool</t>
  </si>
  <si>
    <t>Post79/Pre93 Single Family Construction HP Upgrade w/PTCS  - Zone 2 Heat - Zone 3 Cool</t>
  </si>
  <si>
    <t>Post79/Pre93 Single Family Construction HP Upgrade w/PTCS  - Zone 2 Heat - Zone 1 Cool</t>
  </si>
  <si>
    <t>Post79/Pre93 Single Family Construction HP Upgrade w/PTCS  - Zone 3 Heat - Zone 1 Cool</t>
  </si>
  <si>
    <t>Post79/Pre93 Single Family Construction HP Upgrade w/PTCS  - Zone 3 Heat - Zone 2 Cool</t>
  </si>
  <si>
    <t>Post92 Single Family Construction HP Upgrade w/PTCS  - Zone 1 Heat - Zone 1 Cool</t>
  </si>
  <si>
    <t>Post92 Single Family Construction HP Upgrade w/PTCS  - Zone 2 Heat - Zone 2 Cool</t>
  </si>
  <si>
    <t>Post92 Single Family Construction HP Upgrade w/PTCS  - Zone 3 Heat - Zone 3 Cool</t>
  </si>
  <si>
    <t>Post92 Single Family Construction HP Upgrade w/PTCS  - Zone 1 Heat - Zone 2 Cool</t>
  </si>
  <si>
    <t>Post92 Single Family Construction HP Upgrade w/PTCS  - Zone 1 Heat - Zone 3 Cool</t>
  </si>
  <si>
    <t>Post92 Single Family Construction HP Upgrade w/PTCS  - Zone 2 Heat - Zone 3 Cool</t>
  </si>
  <si>
    <t>Post92 Single Family Construction HP Upgrade w/PTCS  - Zone 2 Heat - Zone 1 Cool</t>
  </si>
  <si>
    <t>Post92 Single Family Construction HP Upgrade w/PTCS  - Zone 3 Heat - Zone 1 Cool</t>
  </si>
  <si>
    <t>Post92 Single Family Construction HP Upgrade w/PTCS  - Zone 3 Heat - Zone 2 Cool</t>
  </si>
  <si>
    <t>Pre80 Single Family Construction CAC Upgrade SEER w/PTCS - Cooling Zone 1</t>
  </si>
  <si>
    <t>Pre80 Single Family Construction CAC Upgrade SEER - Cooling Zone 1</t>
  </si>
  <si>
    <t>Pre80 Single Family Construction CAC Upgrade SEER - Cooling Zone 2</t>
  </si>
  <si>
    <t>Pre80 Single Family Construction CAC Upgrade SEER - Cooling Zone 3</t>
  </si>
  <si>
    <t>Post79/Pre93 Single Family Construction CAC Upgrade SEER - Cooling Zone 1</t>
  </si>
  <si>
    <t>Post79/Pre93 Single Family Construction CAC Upgrade SEER - Cooling Zone 2</t>
  </si>
  <si>
    <t>Post79/Pre93 Single Family Construction CAC Upgrade SEER - Cooling Zone 3</t>
  </si>
  <si>
    <t>Post92 Single Family Construction CAC Upgrade SEER - Cooling Zone 1</t>
  </si>
  <si>
    <t>Post92 Single Family Construction CAC Upgrade SEER - Cooling Zone 2</t>
  </si>
  <si>
    <t>Post92 Single Family Construction CAC Upgrade SEER - Cooling Zone 3</t>
  </si>
  <si>
    <t>Pre80 Single Family Construction HP Upgrade HSPF 8 - Heating Zone 1</t>
  </si>
  <si>
    <t>Pre80 Single Family Construction AC Upgrade SEER 13 - Cooling Zone 1</t>
  </si>
  <si>
    <t>Pre80 Single Family Construction HP Upgrade HSPF 8 - Heating Zone 2</t>
  </si>
  <si>
    <t>Pre80 Single Family Construction AC Upgrade SEER 13  - Cooling Zone 2</t>
  </si>
  <si>
    <t>Pre80 Single Family Construction HP Upgrade HSPF 8 - Heating Zone 3</t>
  </si>
  <si>
    <t>Pre80 Single Family Construction AC Upgrade SEER 13 - Cooling Zone 3</t>
  </si>
  <si>
    <t>Post79/Pre93 Single Family Construction HP Upgrade HSPF 8 -  Heating Zone 1</t>
  </si>
  <si>
    <t>Post79/Pre93 Single Family Construction AC Upgrade SEER 13 - Cooling Zone 1</t>
  </si>
  <si>
    <t>Post79/Pre93 Single Family Construction HP Upgrade HSPF 8 - Heating Zone 2</t>
  </si>
  <si>
    <t>Post79/Pre93 Single Family Construction AC Upgrade SEER 13 - Cooling Zone 2</t>
  </si>
  <si>
    <t>Post79/Pre93 Single Family Construction HP Upgrade HSPF 8 - Heating Zone 3</t>
  </si>
  <si>
    <t>Post79/Pre93 Single Family Construction AC Upgrade SEER 13 - Cooling Zone 3</t>
  </si>
  <si>
    <t>Post92 Single Family Construction HP Upgrade HSPF 8 - Heating Zone 1</t>
  </si>
  <si>
    <t>Post92 Single Family Construction AC Upgrade SEER 13 - Cooling Zone 1</t>
  </si>
  <si>
    <t>Post92 Single Family Construction HP Upgrade HSPF 8 - Heating Zone 2</t>
  </si>
  <si>
    <t>Post92 Single Family Construction AC Upgrade SEER 13 - Cooling Zone 2</t>
  </si>
  <si>
    <t>Post92 Single Family Construction HP Upgrade HSPF 8 - Heating Zone 3</t>
  </si>
  <si>
    <t>Post92 Single Family Construction AC Upgrade SEER 13 - Cooling Zone 3</t>
  </si>
  <si>
    <t>Duct Sealing</t>
  </si>
  <si>
    <t>Base Case Efficiency Equipment Assumptions</t>
  </si>
  <si>
    <t>Real HSPF</t>
  </si>
  <si>
    <t>Real SEER</t>
  </si>
  <si>
    <t>Part Load HSPF Efficiency w/o PTCS</t>
  </si>
  <si>
    <t>Part Load HSPF Efficiency Rating w/PTCS</t>
  </si>
  <si>
    <t>Part Load SEER Efficiency w/o PTCS</t>
  </si>
  <si>
    <t>Part Load SEER Efficiency Rating w/PTCS</t>
  </si>
  <si>
    <t>High Efficiency Case Equipment Assumptions</t>
  </si>
  <si>
    <t>YES</t>
  </si>
  <si>
    <t>NO</t>
  </si>
  <si>
    <t>`</t>
  </si>
  <si>
    <t>R:\TE\New Plan\Residential Resource Assessment\MC_AND_LOADSHAPE.XLS</t>
  </si>
  <si>
    <t>5th Plan Draft 092802</t>
  </si>
  <si>
    <t>Zone 1 Weight</t>
  </si>
  <si>
    <t>Zone 2 Weight</t>
  </si>
  <si>
    <t>Zone 3 Weight</t>
  </si>
  <si>
    <t>PNW Weight</t>
  </si>
  <si>
    <t>Base Case</t>
  </si>
  <si>
    <t>Duct System Efficiency By Climate Zone</t>
  </si>
  <si>
    <t>PNW</t>
  </si>
  <si>
    <t>Upgrade Case</t>
  </si>
  <si>
    <t>Heat Pump HSPF by Climate Zone</t>
  </si>
  <si>
    <t>w/o PTCS</t>
  </si>
  <si>
    <t>w/PTCS</t>
  </si>
  <si>
    <t>Total System Efficiency w/o PTCS</t>
  </si>
  <si>
    <t>Total System Efficiency w/ PTCS</t>
  </si>
  <si>
    <t>Weighted Average</t>
  </si>
  <si>
    <t>Gas (sq.ft.)</t>
  </si>
  <si>
    <t>Electric Zonal (sq.ft.)</t>
  </si>
  <si>
    <t>Heat Pump (sq.ft.)</t>
  </si>
  <si>
    <t>Weighted Aveage Electric Heated</t>
  </si>
  <si>
    <t>Use PTCS Duct Sealing Assumptions</t>
  </si>
  <si>
    <t>Use PTCS Heat Pump Commissioning Assumptions</t>
  </si>
  <si>
    <t>PTCS Ducts?</t>
  </si>
  <si>
    <t>PTCS Heat Pump Spec?</t>
  </si>
  <si>
    <t>1988&gt;2000$</t>
  </si>
  <si>
    <t xml:space="preserve">Cost Lookup Table </t>
  </si>
  <si>
    <t>Annual Repair &amp; Maintenance (2000$)</t>
  </si>
  <si>
    <t>Compressor Replacement</t>
  </si>
  <si>
    <t>Pre94 Manufactured Home Convert FAF w/o CAC to HP HSPF 8/SEER 12 - Heating</t>
  </si>
  <si>
    <t>Pre94 Manufactured Home Convert FAF w/o CAC to HP HSPF 8/SEER 12 - AC</t>
  </si>
  <si>
    <t>Post93 Manufactured Home NonSGC Convert FAF w/o CAC to HP HSPF 8/SEER 12 - Heating</t>
  </si>
  <si>
    <t>Post93 Manufactured Home NonSGC Convert FAF w/o CAC to HP HSPF 8/SEER 12 - AC</t>
  </si>
  <si>
    <t>RSEP Conversion Cost=&gt;</t>
  </si>
  <si>
    <t>SGC Manufactured Home Convert FAF w/o CAC to HP HSPF 8/SEER 12 - Heating</t>
  </si>
  <si>
    <t>year 2000$</t>
  </si>
  <si>
    <t>SGC Manufactured Home Convert FAF w/o CAC to HP HSPF 8/SEER 12 - AC</t>
  </si>
  <si>
    <t>Pre94 Manufactured Home Convert FAF w/CAC to HP HSPF 8/SEER 12 - Heating</t>
  </si>
  <si>
    <t>Pre94 Manufactured Home Convert FAF w/CAC to HP HSPF 8/SEER 12 - AC</t>
  </si>
  <si>
    <t>Post93 Manufactured Home NonSGC Convert FAF w/CAC to HP HSPF 8/SEER 12 - Heating</t>
  </si>
  <si>
    <t>Post93 Manufactured Home NonSGC Convert FAF w/CAC to HP HSPF 8/SEER 12 - AC</t>
  </si>
  <si>
    <t>SGC Manufactured Home Convert FAF w/CAC to HP HSPF 8/SEER 12 - Heating</t>
  </si>
  <si>
    <t>Incremental PTCS Measure Cost</t>
  </si>
  <si>
    <t>SGC Manufactured Home Convert FAF w/CAC to HP HSPF 8/SEER 12 - AC</t>
  </si>
  <si>
    <t>Pre94 Manufactured Home Convert Zonal w/o CAC to HP HSPF 8/SEER 12 - Heat</t>
  </si>
  <si>
    <t>System Commissioning</t>
  </si>
  <si>
    <t>Pre94 Manufactured Home Convert Zonal w/o CAC to HP HSPF 8/SEER 12 - AC</t>
  </si>
  <si>
    <t>Post93 Manufactured Home NonSGC Convert Zonal w/o CAC to HP HSPF 8/SEER 12 - Heat</t>
  </si>
  <si>
    <t>Post93 Manufactured Home NonSGC Convert Zonal w/o CAC to HP HSPF 8/SEER 12 - AC</t>
  </si>
  <si>
    <t>2000$ to 2000$</t>
  </si>
  <si>
    <t>SGC Manufactured Home Convert Zonal w/o CAC to HP HSPF 8/SEER 12 - Heat</t>
  </si>
  <si>
    <t>SGC Manufactured Home Convert Zonal w/o CAC to HP HSPF 8/SEER 12 - AC</t>
  </si>
  <si>
    <t>SPLIT HEAT PUMPS:   COST AND EFFICIENCY DATA (REVERSE ENGINEERING)</t>
  </si>
  <si>
    <t>Source: DOE Central Air Conditioners and Heat Pumps, Revised Life Cycle Cost Analysis June 2000. Reverse Enginneering Estimates</t>
  </si>
  <si>
    <t>Total Installed Price (2000$)</t>
  </si>
  <si>
    <t>Incremental Price (2000$)</t>
  </si>
  <si>
    <t>Annual Repair (2000$)</t>
  </si>
  <si>
    <t>Annual Maintenance (2000$)</t>
  </si>
  <si>
    <t>80% Impr. (SEER=16)</t>
  </si>
  <si>
    <t xml:space="preserve">PACKAGE HEAT PUMPS:   COST AND EFFICIENCY DATA (REVERSE ENGINEERING) </t>
  </si>
  <si>
    <t>0% Impr. (SEER=)</t>
  </si>
  <si>
    <t>Annual Repair Cost (2000$)</t>
  </si>
  <si>
    <t>Annual Maintenance Cost (2000$)</t>
  </si>
  <si>
    <t>Annual Repair &amp; Maintenance Cost (2000$)</t>
  </si>
  <si>
    <t>*Based on DOE ANPOR as Revised June 2000</t>
  </si>
  <si>
    <t>PACKAGE SYSTEM CENTRAL AIR CONDITIONERS:   COST AND EFFICIENCY DATA (REVERSE ENGINEERING)</t>
  </si>
  <si>
    <t>Central AC must be rated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t>
  </si>
  <si>
    <t xml:space="preserve">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t>
  </si>
  <si>
    <t>ProCost Results, Version 1.70a: JPH 03/07/01, 04:25 PM 1/9/2003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</si>
</sst>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_(* #,##0.0_);_(* \(#,##0.0\);_(* &quot;-&quot;??_);_(@_)"/>
    <numFmt numFmtId="179" formatCode="#,##0.0"/>
    <numFmt numFmtId="180" formatCode="\ \ @"/>
    <numFmt numFmtId="181" formatCode="0%\ \ \ \ \ \ "/>
    <numFmt numFmtId="182" formatCode="&quot;$&quot;#,##0\ \ \ \ "/>
    <numFmt numFmtId="183" formatCode="_(&quot;$&quot;* #,##0.0_);_(&quot;$&quot;* \(#,##0.0\);_(&quot;$&quot;* &quot;-&quot;??_);_(@_)"/>
    <numFmt numFmtId="184" formatCode="0.000%"/>
    <numFmt numFmtId="185" formatCode="0.000000000000000%"/>
  </numFmts>
  <fonts count="39">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6"/>
      <name val="Tahoma"/>
      <family val="0"/>
    </font>
    <font>
      <sz val="12"/>
      <name val="Arial"/>
      <family val="0"/>
    </font>
    <font>
      <sz val="10"/>
      <color indexed="8"/>
      <name val="MS Sans Serif"/>
      <family val="0"/>
    </font>
    <font>
      <sz val="10"/>
      <color indexed="16"/>
      <name val="Arial"/>
      <family val="2"/>
    </font>
    <font>
      <b/>
      <sz val="12"/>
      <color indexed="9"/>
      <name val="Times New Roman"/>
      <family val="1"/>
    </font>
    <font>
      <sz val="12"/>
      <name val="Times New Roman"/>
      <family val="1"/>
    </font>
    <font>
      <b/>
      <sz val="10"/>
      <color indexed="61"/>
      <name val="Arial"/>
      <family val="2"/>
    </font>
    <font>
      <sz val="9"/>
      <name val="Times New Roman"/>
      <family val="1"/>
    </font>
    <font>
      <sz val="8"/>
      <name val="Times New Roman"/>
      <family val="1"/>
    </font>
    <font>
      <b/>
      <sz val="12"/>
      <name val="Times New Roman"/>
      <family val="1"/>
    </font>
    <font>
      <b/>
      <sz val="14"/>
      <color indexed="61"/>
      <name val="Times New Roman"/>
      <family val="1"/>
    </font>
    <font>
      <sz val="10"/>
      <name val="Times New Roman"/>
      <family val="1"/>
    </font>
    <font>
      <b/>
      <sz val="9"/>
      <name val="Times New Roman"/>
      <family val="1"/>
    </font>
    <font>
      <b/>
      <sz val="6"/>
      <name val="Tahoma"/>
      <family val="0"/>
    </font>
    <font>
      <sz val="12"/>
      <color indexed="9"/>
      <name val="Times New Roman"/>
      <family val="1"/>
    </font>
    <font>
      <i/>
      <sz val="9"/>
      <name val="Times New Roman"/>
      <family val="1"/>
    </font>
  </fonts>
  <fills count="17">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40"/>
        <bgColor indexed="64"/>
      </patternFill>
    </fill>
  </fills>
  <borders count="64">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medium"/>
    </border>
    <border>
      <left style="thin"/>
      <right>
        <color indexed="63"/>
      </right>
      <top style="medium"/>
      <bottom style="thin"/>
    </border>
    <border>
      <left style="thin"/>
      <right style="medium"/>
      <top style="medium"/>
      <bottom style="thin"/>
    </border>
    <border>
      <left style="thin"/>
      <right>
        <color indexed="63"/>
      </right>
      <top>
        <color indexed="63"/>
      </top>
      <bottom style="medium"/>
    </border>
    <border>
      <left style="medium"/>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style="thin"/>
      <bottom style="medium"/>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4" fillId="0" borderId="0">
      <alignment/>
      <protection/>
    </xf>
    <xf numFmtId="0" fontId="25" fillId="0" borderId="0" applyNumberFormat="0" applyFont="0" applyFill="0" applyBorder="0" applyAlignment="0" applyProtection="0"/>
    <xf numFmtId="0" fontId="0" fillId="0" borderId="0">
      <alignment/>
      <protection/>
    </xf>
    <xf numFmtId="9" fontId="0" fillId="0" borderId="0" applyFont="0" applyFill="0" applyBorder="0" applyAlignment="0" applyProtection="0"/>
  </cellStyleXfs>
  <cellXfs count="520">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9" fontId="0" fillId="0" borderId="0" xfId="15" applyNumberFormat="1" applyAlignment="1">
      <alignment/>
    </xf>
    <xf numFmtId="168" fontId="0" fillId="0" borderId="0" xfId="17" applyNumberFormat="1" applyAlignment="1">
      <alignment/>
    </xf>
    <xf numFmtId="0" fontId="18" fillId="11" borderId="13" xfId="0" applyFont="1" applyFill="1" applyBorder="1" applyAlignment="1">
      <alignment horizontal="center" wrapText="1"/>
    </xf>
    <xf numFmtId="0" fontId="20" fillId="0" borderId="9" xfId="0" applyFont="1" applyBorder="1" applyAlignment="1">
      <alignment wrapText="1"/>
    </xf>
    <xf numFmtId="0" fontId="0" fillId="0" borderId="0" xfId="0" applyFont="1" applyAlignment="1">
      <alignment wrapText="1"/>
    </xf>
    <xf numFmtId="177" fontId="0" fillId="0" borderId="0" xfId="25" applyNumberFormat="1" applyFont="1" applyAlignment="1" applyProtection="1">
      <alignment horizontal="left"/>
      <protection/>
    </xf>
    <xf numFmtId="169" fontId="0" fillId="0" borderId="0" xfId="15" applyNumberFormat="1" applyAlignment="1" applyProtection="1">
      <alignment horizontal="right"/>
      <protection/>
    </xf>
    <xf numFmtId="177" fontId="0" fillId="0" borderId="0" xfId="25" applyNumberFormat="1" applyAlignment="1" applyProtection="1">
      <alignment horizontal="right"/>
      <protection/>
    </xf>
    <xf numFmtId="168" fontId="0" fillId="0" borderId="0" xfId="17" applyNumberFormat="1" applyAlignment="1" applyProtection="1">
      <alignment horizontal="right"/>
      <protection/>
    </xf>
    <xf numFmtId="168" fontId="0" fillId="0" borderId="0" xfId="17" applyNumberFormat="1" applyFont="1" applyAlignment="1">
      <alignment/>
    </xf>
    <xf numFmtId="1" fontId="0" fillId="0" borderId="0" xfId="0" applyNumberFormat="1" applyAlignment="1">
      <alignment/>
    </xf>
    <xf numFmtId="165" fontId="0" fillId="0" borderId="0" xfId="0" applyNumberFormat="1" applyFont="1" applyAlignment="1">
      <alignment horizontal="right"/>
    </xf>
    <xf numFmtId="0" fontId="17" fillId="0" borderId="0" xfId="0" applyFont="1" applyAlignment="1">
      <alignment/>
    </xf>
    <xf numFmtId="0" fontId="0" fillId="12" borderId="13" xfId="0" applyFill="1" applyBorder="1" applyAlignment="1">
      <alignment/>
    </xf>
    <xf numFmtId="9" fontId="17" fillId="2" borderId="19" xfId="0" applyNumberFormat="1" applyFont="1" applyFill="1" applyBorder="1" applyAlignment="1">
      <alignment/>
    </xf>
    <xf numFmtId="9" fontId="17" fillId="2" borderId="20" xfId="0" applyNumberFormat="1" applyFont="1" applyFill="1" applyBorder="1" applyAlignment="1">
      <alignment/>
    </xf>
    <xf numFmtId="0" fontId="17" fillId="2" borderId="21" xfId="0" applyFont="1" applyFill="1" applyBorder="1" applyAlignment="1">
      <alignment/>
    </xf>
    <xf numFmtId="0" fontId="0" fillId="13" borderId="13" xfId="0" applyFill="1" applyBorder="1" applyAlignment="1">
      <alignment/>
    </xf>
    <xf numFmtId="0" fontId="17" fillId="0" borderId="16" xfId="0" applyFont="1" applyBorder="1" applyAlignment="1">
      <alignment/>
    </xf>
    <xf numFmtId="9" fontId="0" fillId="12" borderId="22" xfId="26" applyFill="1" applyBorder="1" applyAlignment="1">
      <alignment/>
    </xf>
    <xf numFmtId="9" fontId="0" fillId="2" borderId="22" xfId="0" applyNumberFormat="1" applyFill="1" applyBorder="1" applyAlignment="1">
      <alignment/>
    </xf>
    <xf numFmtId="0" fontId="0" fillId="2" borderId="16" xfId="0" applyFill="1" applyBorder="1" applyAlignment="1">
      <alignment/>
    </xf>
    <xf numFmtId="0" fontId="0" fillId="2" borderId="22" xfId="0" applyFill="1" applyBorder="1" applyAlignment="1">
      <alignment/>
    </xf>
    <xf numFmtId="0" fontId="0" fillId="2" borderId="23" xfId="0" applyFill="1" applyBorder="1" applyAlignment="1">
      <alignment/>
    </xf>
    <xf numFmtId="9" fontId="0" fillId="0" borderId="0" xfId="0" applyNumberFormat="1" applyAlignment="1">
      <alignment/>
    </xf>
    <xf numFmtId="0" fontId="17" fillId="12" borderId="24" xfId="0" applyFont="1" applyFill="1" applyBorder="1" applyAlignment="1">
      <alignment/>
    </xf>
    <xf numFmtId="9" fontId="0" fillId="2" borderId="9" xfId="26" applyNumberFormat="1" applyFill="1" applyBorder="1" applyAlignment="1">
      <alignment/>
    </xf>
    <xf numFmtId="9" fontId="0" fillId="2" borderId="9" xfId="26" applyFill="1" applyBorder="1" applyAlignment="1">
      <alignment/>
    </xf>
    <xf numFmtId="0" fontId="0" fillId="2" borderId="9" xfId="0" applyFill="1" applyBorder="1" applyAlignment="1">
      <alignment/>
    </xf>
    <xf numFmtId="0" fontId="0" fillId="2" borderId="25" xfId="0" applyFill="1" applyBorder="1" applyAlignment="1">
      <alignment/>
    </xf>
    <xf numFmtId="0" fontId="17" fillId="12" borderId="26" xfId="0" applyFont="1" applyFill="1" applyBorder="1" applyAlignment="1">
      <alignment/>
    </xf>
    <xf numFmtId="9" fontId="0" fillId="12" borderId="9" xfId="26" applyNumberFormat="1" applyFill="1" applyBorder="1" applyAlignment="1">
      <alignment/>
    </xf>
    <xf numFmtId="9" fontId="0" fillId="12" borderId="9" xfId="26" applyFill="1" applyBorder="1" applyAlignment="1">
      <alignment/>
    </xf>
    <xf numFmtId="9" fontId="0" fillId="13" borderId="3" xfId="26" applyFill="1" applyBorder="1" applyAlignment="1">
      <alignment/>
    </xf>
    <xf numFmtId="0" fontId="0" fillId="2" borderId="3" xfId="0" applyFill="1" applyBorder="1" applyAlignment="1">
      <alignment/>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169" fontId="0" fillId="13" borderId="29" xfId="15" applyNumberFormat="1" applyFill="1" applyBorder="1" applyAlignment="1">
      <alignment/>
    </xf>
    <xf numFmtId="169" fontId="0" fillId="13" borderId="30" xfId="15" applyNumberFormat="1" applyFill="1" applyBorder="1" applyAlignment="1">
      <alignment/>
    </xf>
    <xf numFmtId="0" fontId="17" fillId="2" borderId="16" xfId="0" applyFont="1" applyFill="1" applyBorder="1" applyAlignment="1">
      <alignment/>
    </xf>
    <xf numFmtId="9" fontId="17" fillId="2" borderId="22" xfId="0" applyNumberFormat="1" applyFont="1" applyFill="1" applyBorder="1" applyAlignment="1">
      <alignment/>
    </xf>
    <xf numFmtId="0" fontId="17" fillId="2" borderId="23" xfId="0" applyFont="1" applyFill="1" applyBorder="1" applyAlignment="1">
      <alignment/>
    </xf>
    <xf numFmtId="0" fontId="17" fillId="0" borderId="24" xfId="0" applyFont="1" applyBorder="1" applyAlignment="1">
      <alignment/>
    </xf>
    <xf numFmtId="9" fontId="0" fillId="13" borderId="9" xfId="26" applyFill="1" applyBorder="1" applyAlignment="1">
      <alignment/>
    </xf>
    <xf numFmtId="0" fontId="17" fillId="12" borderId="31" xfId="0" applyFont="1" applyFill="1" applyBorder="1" applyAlignment="1">
      <alignment/>
    </xf>
    <xf numFmtId="9" fontId="0" fillId="2" borderId="3" xfId="26" applyFill="1" applyBorder="1" applyAlignment="1">
      <alignment/>
    </xf>
    <xf numFmtId="9" fontId="17" fillId="0" borderId="0" xfId="0" applyNumberFormat="1" applyFont="1" applyAlignment="1">
      <alignment/>
    </xf>
    <xf numFmtId="9" fontId="17" fillId="0" borderId="0" xfId="26" applyFont="1" applyAlignment="1">
      <alignment/>
    </xf>
    <xf numFmtId="0" fontId="17" fillId="2" borderId="10" xfId="0" applyFont="1" applyFill="1" applyBorder="1" applyAlignment="1">
      <alignment horizontal="center"/>
    </xf>
    <xf numFmtId="0" fontId="17" fillId="2" borderId="13" xfId="0" applyFont="1" applyFill="1" applyBorder="1" applyAlignment="1">
      <alignment horizontal="center"/>
    </xf>
    <xf numFmtId="169" fontId="0" fillId="13" borderId="32" xfId="15" applyNumberFormat="1" applyFill="1" applyBorder="1" applyAlignment="1">
      <alignment/>
    </xf>
    <xf numFmtId="169" fontId="0" fillId="13" borderId="33" xfId="15" applyNumberFormat="1" applyFill="1" applyBorder="1" applyAlignment="1">
      <alignment/>
    </xf>
    <xf numFmtId="169" fontId="0" fillId="13" borderId="9" xfId="15" applyNumberFormat="1" applyFill="1" applyBorder="1" applyAlignment="1">
      <alignment/>
    </xf>
    <xf numFmtId="169" fontId="0" fillId="13" borderId="25" xfId="15" applyNumberFormat="1" applyFill="1" applyBorder="1" applyAlignment="1">
      <alignment/>
    </xf>
    <xf numFmtId="169" fontId="0" fillId="0" borderId="0" xfId="0" applyNumberFormat="1" applyAlignment="1">
      <alignment/>
    </xf>
    <xf numFmtId="169" fontId="0" fillId="13" borderId="31" xfId="15" applyNumberFormat="1" applyFill="1" applyBorder="1" applyAlignment="1">
      <alignment/>
    </xf>
    <xf numFmtId="169" fontId="0" fillId="13" borderId="3" xfId="15" applyNumberFormat="1" applyFill="1" applyBorder="1" applyAlignment="1">
      <alignment/>
    </xf>
    <xf numFmtId="169" fontId="0" fillId="13" borderId="27" xfId="15" applyNumberFormat="1" applyFill="1" applyBorder="1" applyAlignment="1">
      <alignment/>
    </xf>
    <xf numFmtId="169" fontId="0" fillId="13" borderId="28" xfId="15" applyNumberFormat="1" applyFill="1" applyBorder="1" applyAlignment="1">
      <alignment/>
    </xf>
    <xf numFmtId="169" fontId="0" fillId="0" borderId="0" xfId="15" applyNumberFormat="1" applyBorder="1" applyAlignment="1">
      <alignment/>
    </xf>
    <xf numFmtId="0" fontId="17" fillId="2" borderId="11" xfId="0" applyFont="1" applyFill="1" applyBorder="1" applyAlignment="1">
      <alignment horizontal="center"/>
    </xf>
    <xf numFmtId="0" fontId="0" fillId="2" borderId="34" xfId="0" applyFill="1" applyBorder="1" applyAlignment="1">
      <alignment/>
    </xf>
    <xf numFmtId="169" fontId="0" fillId="13" borderId="35" xfId="15" applyNumberFormat="1" applyFill="1" applyBorder="1" applyAlignment="1">
      <alignment/>
    </xf>
    <xf numFmtId="169" fontId="0" fillId="13" borderId="36" xfId="15" applyNumberFormat="1" applyFill="1" applyBorder="1" applyAlignment="1">
      <alignment/>
    </xf>
    <xf numFmtId="169" fontId="0" fillId="13" borderId="8" xfId="15" applyNumberFormat="1" applyFill="1" applyBorder="1" applyAlignment="1">
      <alignment/>
    </xf>
    <xf numFmtId="169" fontId="0" fillId="13" borderId="37" xfId="15" applyNumberFormat="1" applyFill="1" applyBorder="1" applyAlignment="1">
      <alignment/>
    </xf>
    <xf numFmtId="0" fontId="17" fillId="0" borderId="0" xfId="0" applyFont="1" applyBorder="1" applyAlignment="1">
      <alignment/>
    </xf>
    <xf numFmtId="0" fontId="0" fillId="2" borderId="12" xfId="0" applyFill="1" applyBorder="1" applyAlignment="1">
      <alignment/>
    </xf>
    <xf numFmtId="178" fontId="0" fillId="0" borderId="0" xfId="15" applyNumberFormat="1" applyBorder="1" applyAlignment="1">
      <alignment/>
    </xf>
    <xf numFmtId="178" fontId="0" fillId="13" borderId="3" xfId="15" applyNumberFormat="1" applyFill="1" applyBorder="1" applyAlignment="1">
      <alignment/>
    </xf>
    <xf numFmtId="165" fontId="17" fillId="2" borderId="13" xfId="0" applyNumberFormat="1" applyFont="1" applyFill="1" applyBorder="1" applyAlignment="1">
      <alignment horizontal="center"/>
    </xf>
    <xf numFmtId="0" fontId="0" fillId="13" borderId="32" xfId="0" applyFill="1" applyBorder="1" applyAlignment="1">
      <alignment/>
    </xf>
    <xf numFmtId="0" fontId="0" fillId="13" borderId="31" xfId="0" applyFill="1" applyBorder="1" applyAlignment="1">
      <alignment/>
    </xf>
    <xf numFmtId="0" fontId="0" fillId="13" borderId="28" xfId="0" applyFill="1" applyBorder="1" applyAlignment="1">
      <alignment/>
    </xf>
    <xf numFmtId="178" fontId="0" fillId="0" borderId="29" xfId="15" applyNumberFormat="1" applyBorder="1" applyAlignment="1">
      <alignment/>
    </xf>
    <xf numFmtId="178" fontId="0" fillId="0" borderId="30" xfId="15" applyNumberFormat="1" applyBorder="1" applyAlignment="1">
      <alignment/>
    </xf>
    <xf numFmtId="0" fontId="0" fillId="2" borderId="38" xfId="0" applyFill="1" applyBorder="1" applyAlignment="1">
      <alignment/>
    </xf>
    <xf numFmtId="0" fontId="0" fillId="2" borderId="20" xfId="0" applyFill="1" applyBorder="1" applyAlignment="1">
      <alignment/>
    </xf>
    <xf numFmtId="0" fontId="0" fillId="2" borderId="39" xfId="0" applyFill="1" applyBorder="1" applyAlignment="1">
      <alignment/>
    </xf>
    <xf numFmtId="0" fontId="17" fillId="2" borderId="3" xfId="0" applyFont="1" applyFill="1" applyBorder="1" applyAlignment="1">
      <alignment/>
    </xf>
    <xf numFmtId="0" fontId="17" fillId="0" borderId="0" xfId="0" applyFont="1" applyFill="1" applyBorder="1" applyAlignment="1">
      <alignment/>
    </xf>
    <xf numFmtId="0" fontId="17" fillId="2" borderId="9" xfId="0" applyFont="1" applyFill="1" applyBorder="1" applyAlignment="1">
      <alignment/>
    </xf>
    <xf numFmtId="0" fontId="0" fillId="0" borderId="3" xfId="0" applyBorder="1" applyAlignment="1">
      <alignment/>
    </xf>
    <xf numFmtId="169" fontId="0" fillId="0" borderId="3" xfId="15" applyNumberFormat="1" applyBorder="1" applyAlignment="1">
      <alignment/>
    </xf>
    <xf numFmtId="0" fontId="0" fillId="0" borderId="3" xfId="0" applyBorder="1" applyAlignment="1">
      <alignment horizontal="right"/>
    </xf>
    <xf numFmtId="169" fontId="0" fillId="0" borderId="3" xfId="15" applyNumberFormat="1" applyFont="1" applyBorder="1" applyAlignment="1">
      <alignment/>
    </xf>
    <xf numFmtId="0" fontId="17" fillId="0" borderId="3" xfId="0" applyFont="1" applyBorder="1" applyAlignment="1">
      <alignment/>
    </xf>
    <xf numFmtId="165" fontId="0" fillId="14" borderId="3" xfId="0" applyNumberFormat="1" applyFill="1" applyBorder="1" applyAlignment="1">
      <alignment/>
    </xf>
    <xf numFmtId="9" fontId="0" fillId="14" borderId="3" xfId="0" applyNumberFormat="1" applyFill="1" applyBorder="1" applyAlignment="1">
      <alignment/>
    </xf>
    <xf numFmtId="165" fontId="0" fillId="12" borderId="3" xfId="0" applyNumberFormat="1" applyFill="1" applyBorder="1" applyAlignment="1">
      <alignment/>
    </xf>
    <xf numFmtId="169" fontId="0" fillId="14" borderId="3" xfId="15" applyNumberFormat="1" applyFill="1" applyBorder="1" applyAlignment="1">
      <alignment/>
    </xf>
    <xf numFmtId="169" fontId="0" fillId="14" borderId="3" xfId="15" applyNumberFormat="1" applyFill="1" applyBorder="1" applyAlignment="1">
      <alignment horizontal="right"/>
    </xf>
    <xf numFmtId="178" fontId="0" fillId="14" borderId="3" xfId="15" applyNumberFormat="1" applyFill="1" applyBorder="1" applyAlignment="1">
      <alignment horizontal="right"/>
    </xf>
    <xf numFmtId="0" fontId="0" fillId="0" borderId="0" xfId="0" applyBorder="1" applyAlignment="1">
      <alignment horizontal="right"/>
    </xf>
    <xf numFmtId="169" fontId="0" fillId="0" borderId="0" xfId="15" applyNumberFormat="1" applyBorder="1" applyAlignment="1">
      <alignment horizontal="right"/>
    </xf>
    <xf numFmtId="169" fontId="0" fillId="0" borderId="0" xfId="15" applyNumberFormat="1" applyFont="1" applyBorder="1" applyAlignment="1">
      <alignment/>
    </xf>
    <xf numFmtId="0" fontId="0" fillId="0" borderId="40" xfId="0" applyBorder="1" applyAlignment="1">
      <alignment horizontal="right"/>
    </xf>
    <xf numFmtId="165" fontId="0" fillId="12" borderId="36" xfId="0" applyNumberFormat="1" applyFill="1" applyBorder="1" applyAlignment="1">
      <alignment/>
    </xf>
    <xf numFmtId="0" fontId="0" fillId="0" borderId="41" xfId="0" applyBorder="1" applyAlignment="1">
      <alignment horizontal="right"/>
    </xf>
    <xf numFmtId="165" fontId="0" fillId="12" borderId="27" xfId="0" applyNumberFormat="1" applyFill="1" applyBorder="1" applyAlignment="1">
      <alignment/>
    </xf>
    <xf numFmtId="0" fontId="0" fillId="0" borderId="12" xfId="0" applyBorder="1" applyAlignment="1">
      <alignment/>
    </xf>
    <xf numFmtId="0" fontId="0" fillId="0" borderId="10" xfId="0" applyBorder="1" applyAlignment="1">
      <alignment/>
    </xf>
    <xf numFmtId="0" fontId="0" fillId="0" borderId="11" xfId="0" applyBorder="1" applyAlignment="1">
      <alignment/>
    </xf>
    <xf numFmtId="0" fontId="0" fillId="0" borderId="24" xfId="0" applyBorder="1" applyAlignment="1">
      <alignment/>
    </xf>
    <xf numFmtId="0" fontId="0" fillId="0" borderId="31" xfId="0" applyBorder="1" applyAlignment="1">
      <alignment/>
    </xf>
    <xf numFmtId="0" fontId="0" fillId="0" borderId="26" xfId="0" applyBorder="1" applyAlignment="1">
      <alignment/>
    </xf>
    <xf numFmtId="0" fontId="0" fillId="2" borderId="42" xfId="0" applyFill="1" applyBorder="1" applyAlignment="1">
      <alignment/>
    </xf>
    <xf numFmtId="0" fontId="0" fillId="2" borderId="0" xfId="0" applyFill="1" applyBorder="1" applyAlignment="1">
      <alignment/>
    </xf>
    <xf numFmtId="0" fontId="0" fillId="2" borderId="43" xfId="0" applyFill="1" applyBorder="1" applyAlignment="1">
      <alignment/>
    </xf>
    <xf numFmtId="0" fontId="0" fillId="2" borderId="44" xfId="0" applyFill="1" applyBorder="1" applyAlignment="1">
      <alignment/>
    </xf>
    <xf numFmtId="9" fontId="0" fillId="12" borderId="3" xfId="26" applyFill="1" applyBorder="1" applyAlignment="1">
      <alignment/>
    </xf>
    <xf numFmtId="0" fontId="0" fillId="7" borderId="12" xfId="0" applyFill="1" applyBorder="1" applyAlignment="1">
      <alignment/>
    </xf>
    <xf numFmtId="0" fontId="0" fillId="7" borderId="13" xfId="0" applyFill="1" applyBorder="1" applyAlignment="1">
      <alignment/>
    </xf>
    <xf numFmtId="3" fontId="0" fillId="0" borderId="25" xfId="0" applyNumberFormat="1" applyBorder="1" applyAlignment="1">
      <alignment/>
    </xf>
    <xf numFmtId="3" fontId="0" fillId="0" borderId="0" xfId="0" applyNumberFormat="1" applyAlignment="1">
      <alignment/>
    </xf>
    <xf numFmtId="3" fontId="0" fillId="0" borderId="27" xfId="0" applyNumberFormat="1" applyBorder="1" applyAlignment="1">
      <alignment/>
    </xf>
    <xf numFmtId="4" fontId="0" fillId="0" borderId="0" xfId="0" applyNumberFormat="1" applyAlignment="1">
      <alignment/>
    </xf>
    <xf numFmtId="3" fontId="0" fillId="0" borderId="30" xfId="0" applyNumberFormat="1" applyBorder="1" applyAlignment="1">
      <alignment/>
    </xf>
    <xf numFmtId="0" fontId="0" fillId="7" borderId="45" xfId="0" applyFill="1" applyBorder="1" applyAlignment="1">
      <alignment/>
    </xf>
    <xf numFmtId="0" fontId="0" fillId="0" borderId="32" xfId="0" applyBorder="1" applyAlignment="1">
      <alignment/>
    </xf>
    <xf numFmtId="0" fontId="0" fillId="0" borderId="33" xfId="0" applyBorder="1" applyAlignment="1">
      <alignment wrapText="1"/>
    </xf>
    <xf numFmtId="0" fontId="0" fillId="0" borderId="35" xfId="0" applyBorder="1" applyAlignment="1">
      <alignment wrapText="1"/>
    </xf>
    <xf numFmtId="0" fontId="0" fillId="0" borderId="36" xfId="0" applyBorder="1" applyAlignment="1">
      <alignment wrapText="1"/>
    </xf>
    <xf numFmtId="169" fontId="0" fillId="0" borderId="5" xfId="15" applyNumberFormat="1" applyBorder="1" applyAlignment="1">
      <alignment/>
    </xf>
    <xf numFmtId="43" fontId="0" fillId="0" borderId="3" xfId="0" applyNumberFormat="1" applyBorder="1" applyAlignment="1">
      <alignment/>
    </xf>
    <xf numFmtId="43" fontId="0" fillId="0" borderId="27" xfId="0" applyNumberFormat="1" applyBorder="1" applyAlignment="1">
      <alignment/>
    </xf>
    <xf numFmtId="169" fontId="0" fillId="0" borderId="29" xfId="15" applyNumberFormat="1" applyBorder="1" applyAlignment="1">
      <alignment/>
    </xf>
    <xf numFmtId="169" fontId="0" fillId="0" borderId="46" xfId="15" applyNumberFormat="1" applyBorder="1" applyAlignment="1">
      <alignment/>
    </xf>
    <xf numFmtId="43" fontId="0" fillId="0" borderId="29" xfId="0" applyNumberFormat="1" applyBorder="1" applyAlignment="1">
      <alignment/>
    </xf>
    <xf numFmtId="43" fontId="0" fillId="0" borderId="30" xfId="0" applyNumberFormat="1" applyBorder="1" applyAlignment="1">
      <alignment/>
    </xf>
    <xf numFmtId="179" fontId="0" fillId="0" borderId="0" xfId="0" applyNumberFormat="1" applyBorder="1" applyAlignment="1">
      <alignment/>
    </xf>
    <xf numFmtId="0" fontId="0" fillId="7" borderId="24" xfId="0" applyFill="1" applyBorder="1" applyAlignment="1">
      <alignment/>
    </xf>
    <xf numFmtId="0" fontId="0" fillId="7" borderId="9" xfId="0" applyFill="1" applyBorder="1" applyAlignment="1">
      <alignment horizontal="center"/>
    </xf>
    <xf numFmtId="0" fontId="0" fillId="7" borderId="25" xfId="0" applyFill="1" applyBorder="1" applyAlignment="1">
      <alignment horizontal="center"/>
    </xf>
    <xf numFmtId="0" fontId="0" fillId="0" borderId="9" xfId="0" applyBorder="1" applyAlignment="1">
      <alignment/>
    </xf>
    <xf numFmtId="0" fontId="0" fillId="0" borderId="25" xfId="0" applyBorder="1" applyAlignment="1">
      <alignment/>
    </xf>
    <xf numFmtId="3" fontId="0" fillId="0" borderId="3" xfId="0" applyNumberFormat="1" applyBorder="1" applyAlignment="1">
      <alignment/>
    </xf>
    <xf numFmtId="0" fontId="0" fillId="0" borderId="27" xfId="0" applyBorder="1" applyAlignment="1">
      <alignment/>
    </xf>
    <xf numFmtId="3" fontId="0" fillId="0" borderId="29" xfId="0" applyNumberFormat="1" applyBorder="1" applyAlignment="1">
      <alignment/>
    </xf>
    <xf numFmtId="0" fontId="0" fillId="0" borderId="30" xfId="0" applyBorder="1" applyAlignment="1">
      <alignment/>
    </xf>
    <xf numFmtId="9" fontId="0" fillId="0" borderId="0" xfId="26" applyAlignment="1">
      <alignment/>
    </xf>
    <xf numFmtId="168" fontId="0" fillId="0" borderId="3" xfId="17" applyNumberFormat="1" applyBorder="1" applyAlignment="1">
      <alignment/>
    </xf>
    <xf numFmtId="0" fontId="0" fillId="0" borderId="0" xfId="23" applyFont="1">
      <alignment/>
      <protection/>
    </xf>
    <xf numFmtId="168" fontId="0" fillId="0" borderId="0" xfId="23" applyNumberFormat="1" applyFont="1">
      <alignment/>
      <protection/>
    </xf>
    <xf numFmtId="168" fontId="0" fillId="0" borderId="3" xfId="0" applyNumberFormat="1" applyBorder="1" applyAlignment="1">
      <alignment/>
    </xf>
    <xf numFmtId="0" fontId="17" fillId="0" borderId="0" xfId="23" applyFont="1" applyAlignment="1">
      <alignment horizontal="left"/>
      <protection/>
    </xf>
    <xf numFmtId="1" fontId="17" fillId="0" borderId="0" xfId="23" applyNumberFormat="1" applyFont="1">
      <alignment/>
      <protection/>
    </xf>
    <xf numFmtId="0" fontId="17" fillId="7" borderId="3" xfId="23" applyFont="1" applyFill="1" applyBorder="1" applyAlignment="1">
      <alignment horizontal="left"/>
      <protection/>
    </xf>
    <xf numFmtId="168" fontId="0" fillId="7" borderId="3" xfId="23" applyNumberFormat="1" applyFont="1" applyFill="1" applyBorder="1">
      <alignment/>
      <protection/>
    </xf>
    <xf numFmtId="0" fontId="0" fillId="0" borderId="3" xfId="23" applyFont="1" applyBorder="1" applyAlignment="1">
      <alignment wrapText="1"/>
      <protection/>
    </xf>
    <xf numFmtId="168" fontId="0" fillId="0" borderId="3" xfId="23" applyNumberFormat="1" applyFont="1" applyBorder="1" applyAlignment="1">
      <alignment wrapText="1"/>
      <protection/>
    </xf>
    <xf numFmtId="0" fontId="0" fillId="0" borderId="0" xfId="0" applyFont="1" applyAlignment="1">
      <alignment wrapText="1"/>
    </xf>
    <xf numFmtId="0" fontId="0" fillId="0" borderId="3" xfId="23" applyFont="1" applyBorder="1" applyAlignment="1">
      <alignment horizontal="right"/>
      <protection/>
    </xf>
    <xf numFmtId="168" fontId="26" fillId="0" borderId="3" xfId="23" applyNumberFormat="1" applyFont="1" applyBorder="1">
      <alignment/>
      <protection/>
    </xf>
    <xf numFmtId="168" fontId="0" fillId="0" borderId="3" xfId="23" applyNumberFormat="1" applyFont="1" applyBorder="1">
      <alignment/>
      <protection/>
    </xf>
    <xf numFmtId="0" fontId="17" fillId="7" borderId="3" xfId="23" applyFont="1" applyFill="1" applyBorder="1">
      <alignment/>
      <protection/>
    </xf>
    <xf numFmtId="0" fontId="0" fillId="7" borderId="3" xfId="0" applyFont="1" applyFill="1" applyBorder="1" applyAlignment="1">
      <alignment/>
    </xf>
    <xf numFmtId="0" fontId="0" fillId="0" borderId="3" xfId="23" applyFont="1" applyFill="1" applyBorder="1" applyAlignment="1">
      <alignment wrapText="1"/>
      <protection/>
    </xf>
    <xf numFmtId="168" fontId="0" fillId="0" borderId="3" xfId="23" applyNumberFormat="1" applyFont="1" applyFill="1" applyBorder="1" applyAlignment="1">
      <alignment wrapText="1"/>
      <protection/>
    </xf>
    <xf numFmtId="0" fontId="0" fillId="0" borderId="3" xfId="0" applyFont="1" applyFill="1" applyBorder="1" applyAlignment="1">
      <alignment wrapText="1"/>
    </xf>
    <xf numFmtId="0" fontId="0" fillId="0" borderId="3" xfId="23" applyFont="1" applyFill="1" applyBorder="1" applyAlignment="1">
      <alignment horizontal="right"/>
      <protection/>
    </xf>
    <xf numFmtId="168" fontId="26" fillId="0" borderId="3" xfId="23" applyNumberFormat="1" applyFont="1" applyFill="1" applyBorder="1">
      <alignment/>
      <protection/>
    </xf>
    <xf numFmtId="0" fontId="0" fillId="0" borderId="3" xfId="0" applyFont="1" applyFill="1" applyBorder="1" applyAlignment="1">
      <alignment/>
    </xf>
    <xf numFmtId="168" fontId="0" fillId="0" borderId="3" xfId="0" applyNumberFormat="1" applyFont="1" applyFill="1" applyBorder="1" applyAlignment="1">
      <alignment/>
    </xf>
    <xf numFmtId="168" fontId="0" fillId="0" borderId="3" xfId="23" applyNumberFormat="1" applyFont="1" applyFill="1" applyBorder="1">
      <alignment/>
      <protection/>
    </xf>
    <xf numFmtId="0" fontId="24" fillId="0" borderId="0" xfId="0" applyFont="1" applyAlignment="1">
      <alignment/>
    </xf>
    <xf numFmtId="0" fontId="28" fillId="0" borderId="0" xfId="0" applyFont="1" applyAlignment="1">
      <alignment/>
    </xf>
    <xf numFmtId="172" fontId="29" fillId="0" borderId="0" xfId="0" applyNumberFormat="1" applyFont="1" applyAlignment="1">
      <alignment/>
    </xf>
    <xf numFmtId="0" fontId="0" fillId="0" borderId="0" xfId="0" applyFont="1" applyAlignment="1">
      <alignment horizontal="center"/>
    </xf>
    <xf numFmtId="173" fontId="30" fillId="0" borderId="0" xfId="0" applyNumberFormat="1" applyFont="1" applyAlignment="1" applyProtection="1">
      <alignment/>
      <protection locked="0"/>
    </xf>
    <xf numFmtId="0" fontId="31" fillId="0" borderId="0" xfId="0" applyFont="1" applyAlignment="1">
      <alignment/>
    </xf>
    <xf numFmtId="0" fontId="0" fillId="6" borderId="9" xfId="0" applyNumberFormat="1" applyFont="1" applyFill="1" applyBorder="1" applyAlignment="1">
      <alignment horizontal="center"/>
    </xf>
    <xf numFmtId="180" fontId="0" fillId="6" borderId="9" xfId="0" applyNumberFormat="1" applyFont="1" applyFill="1" applyBorder="1" applyAlignment="1">
      <alignment/>
    </xf>
    <xf numFmtId="1" fontId="0" fillId="6" borderId="9" xfId="0" applyNumberFormat="1" applyFont="1" applyFill="1" applyBorder="1" applyAlignment="1">
      <alignment horizontal="center"/>
    </xf>
    <xf numFmtId="170" fontId="0" fillId="6" borderId="9" xfId="0" applyNumberFormat="1" applyFont="1" applyFill="1" applyBorder="1" applyAlignment="1">
      <alignment horizontal="center"/>
    </xf>
    <xf numFmtId="0" fontId="0" fillId="0" borderId="3" xfId="0" applyNumberFormat="1" applyFont="1" applyBorder="1" applyAlignment="1">
      <alignment horizontal="center"/>
    </xf>
    <xf numFmtId="180" fontId="0" fillId="0" borderId="3" xfId="0" applyNumberFormat="1" applyFont="1" applyBorder="1" applyAlignment="1">
      <alignment/>
    </xf>
    <xf numFmtId="1" fontId="0" fillId="0" borderId="3" xfId="0" applyNumberFormat="1" applyFont="1" applyFill="1" applyBorder="1" applyAlignment="1">
      <alignment horizontal="center"/>
    </xf>
    <xf numFmtId="165" fontId="0" fillId="0" borderId="3" xfId="0" applyNumberFormat="1" applyFont="1" applyFill="1" applyBorder="1" applyAlignment="1">
      <alignment horizontal="center"/>
    </xf>
    <xf numFmtId="181" fontId="0" fillId="0" borderId="3" xfId="0" applyNumberFormat="1" applyFont="1" applyBorder="1" applyAlignment="1">
      <alignment horizontal="right"/>
    </xf>
    <xf numFmtId="170" fontId="0" fillId="6" borderId="3" xfId="0" applyNumberFormat="1" applyFont="1" applyFill="1" applyBorder="1" applyAlignment="1">
      <alignment horizontal="center"/>
    </xf>
    <xf numFmtId="170" fontId="0" fillId="0" borderId="3" xfId="0" applyNumberFormat="1" applyFont="1" applyFill="1" applyBorder="1" applyAlignment="1">
      <alignment horizontal="center"/>
    </xf>
    <xf numFmtId="170" fontId="0" fillId="0" borderId="3" xfId="0" applyNumberFormat="1" applyFont="1" applyBorder="1" applyAlignment="1">
      <alignment/>
    </xf>
    <xf numFmtId="0" fontId="0" fillId="0" borderId="3" xfId="0" applyNumberFormat="1" applyFont="1" applyFill="1" applyBorder="1" applyAlignment="1">
      <alignment horizontal="center"/>
    </xf>
    <xf numFmtId="181" fontId="0" fillId="0" borderId="3" xfId="0" applyNumberFormat="1" applyFont="1" applyFill="1" applyBorder="1" applyAlignment="1">
      <alignment horizontal="right"/>
    </xf>
    <xf numFmtId="170" fontId="30" fillId="0" borderId="0" xfId="0" applyNumberFormat="1" applyFont="1" applyFill="1" applyAlignment="1">
      <alignment horizontal="center"/>
    </xf>
    <xf numFmtId="172" fontId="33" fillId="0" borderId="0" xfId="0" applyNumberFormat="1" applyFont="1" applyAlignment="1">
      <alignment/>
    </xf>
    <xf numFmtId="0" fontId="31" fillId="0" borderId="0" xfId="0" applyFont="1" applyAlignment="1">
      <alignment horizontal="center"/>
    </xf>
    <xf numFmtId="0" fontId="34" fillId="0" borderId="0" xfId="0" applyFont="1" applyAlignment="1">
      <alignment horizontal="center"/>
    </xf>
    <xf numFmtId="0" fontId="0" fillId="6" borderId="3" xfId="0" applyNumberFormat="1" applyFont="1" applyFill="1" applyBorder="1" applyAlignment="1">
      <alignment horizontal="center"/>
    </xf>
    <xf numFmtId="180" fontId="0" fillId="6" borderId="3" xfId="0" applyNumberFormat="1" applyFont="1" applyFill="1" applyBorder="1" applyAlignment="1">
      <alignment/>
    </xf>
    <xf numFmtId="1" fontId="0" fillId="6" borderId="3" xfId="0" applyNumberFormat="1" applyFont="1" applyFill="1" applyBorder="1" applyAlignment="1">
      <alignment horizontal="center"/>
    </xf>
    <xf numFmtId="165" fontId="0" fillId="6" borderId="3" xfId="0" applyNumberFormat="1" applyFont="1" applyFill="1" applyBorder="1" applyAlignment="1">
      <alignment horizontal="center"/>
    </xf>
    <xf numFmtId="181" fontId="0" fillId="6" borderId="3" xfId="0" applyNumberFormat="1" applyFont="1" applyFill="1" applyBorder="1" applyAlignment="1">
      <alignment horizontal="right"/>
    </xf>
    <xf numFmtId="0" fontId="30" fillId="0" borderId="0" xfId="0" applyFont="1" applyAlignment="1">
      <alignment/>
    </xf>
    <xf numFmtId="181" fontId="0" fillId="6" borderId="9" xfId="0" applyNumberFormat="1" applyFont="1" applyFill="1" applyBorder="1" applyAlignment="1">
      <alignment/>
    </xf>
    <xf numFmtId="182" fontId="0" fillId="6" borderId="9" xfId="17" applyNumberFormat="1" applyFont="1" applyFill="1" applyBorder="1" applyAlignment="1">
      <alignment horizontal="right"/>
    </xf>
    <xf numFmtId="182" fontId="0" fillId="0" borderId="3" xfId="0" applyNumberFormat="1" applyFont="1" applyBorder="1" applyAlignment="1">
      <alignment/>
    </xf>
    <xf numFmtId="181" fontId="0" fillId="0" borderId="3" xfId="0" applyNumberFormat="1" applyFont="1" applyBorder="1" applyAlignment="1">
      <alignment/>
    </xf>
    <xf numFmtId="181" fontId="0" fillId="0" borderId="3" xfId="0" applyNumberFormat="1" applyFont="1" applyFill="1" applyBorder="1" applyAlignment="1">
      <alignment/>
    </xf>
    <xf numFmtId="0" fontId="0" fillId="0" borderId="3" xfId="0" applyFont="1" applyBorder="1" applyAlignment="1">
      <alignment/>
    </xf>
    <xf numFmtId="0" fontId="17"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7" fillId="12" borderId="16" xfId="24" applyNumberFormat="1" applyFont="1" applyFill="1" applyBorder="1" applyAlignment="1" applyProtection="1">
      <alignment/>
      <protection/>
    </xf>
    <xf numFmtId="0" fontId="17" fillId="12" borderId="22" xfId="24" applyNumberFormat="1" applyFont="1" applyFill="1" applyBorder="1" applyAlignment="1" applyProtection="1">
      <alignment/>
      <protection/>
    </xf>
    <xf numFmtId="0" fontId="17" fillId="12" borderId="23" xfId="24" applyNumberFormat="1" applyFont="1" applyFill="1" applyBorder="1" applyAlignment="1" applyProtection="1">
      <alignment/>
      <protection/>
    </xf>
    <xf numFmtId="0" fontId="17" fillId="12" borderId="19" xfId="24" applyNumberFormat="1" applyFont="1" applyFill="1" applyBorder="1" applyAlignment="1" applyProtection="1">
      <alignment/>
      <protection/>
    </xf>
    <xf numFmtId="0" fontId="17" fillId="12" borderId="21" xfId="24" applyNumberFormat="1" applyFont="1" applyFill="1" applyBorder="1" applyAlignment="1" applyProtection="1">
      <alignment/>
      <protection/>
    </xf>
    <xf numFmtId="0" fontId="17" fillId="12" borderId="21" xfId="24" applyNumberFormat="1" applyFont="1" applyFill="1" applyBorder="1" applyAlignment="1" applyProtection="1">
      <alignment horizontal="center"/>
      <protection/>
    </xf>
    <xf numFmtId="0" fontId="0" fillId="0" borderId="47" xfId="24" applyNumberFormat="1" applyFont="1" applyFill="1" applyBorder="1" applyAlignment="1" applyProtection="1">
      <alignment horizontal="center"/>
      <protection/>
    </xf>
    <xf numFmtId="0" fontId="0" fillId="0" borderId="32" xfId="24" applyNumberFormat="1" applyFill="1" applyBorder="1" applyAlignment="1" applyProtection="1">
      <alignment/>
      <protection/>
    </xf>
    <xf numFmtId="0" fontId="0" fillId="0" borderId="33" xfId="24" applyNumberFormat="1" applyFont="1" applyFill="1" applyBorder="1" applyAlignment="1" applyProtection="1">
      <alignment/>
      <protection/>
    </xf>
    <xf numFmtId="0" fontId="0" fillId="0" borderId="36" xfId="24" applyNumberFormat="1" applyFont="1" applyFill="1" applyBorder="1" applyAlignment="1" applyProtection="1">
      <alignment/>
      <protection/>
    </xf>
    <xf numFmtId="0" fontId="0" fillId="0" borderId="48" xfId="24" applyNumberFormat="1" applyFont="1" applyFill="1" applyBorder="1" applyAlignment="1" applyProtection="1">
      <alignment horizontal="center"/>
      <protection/>
    </xf>
    <xf numFmtId="0" fontId="0" fillId="0" borderId="24" xfId="24" applyNumberFormat="1" applyFont="1" applyFill="1" applyBorder="1" applyAlignment="1" applyProtection="1">
      <alignment/>
      <protection/>
    </xf>
    <xf numFmtId="9" fontId="0" fillId="0" borderId="3" xfId="24" applyNumberFormat="1" applyFont="1" applyFill="1" applyBorder="1" applyAlignment="1" applyProtection="1">
      <alignment/>
      <protection/>
    </xf>
    <xf numFmtId="9" fontId="0" fillId="0" borderId="27" xfId="24" applyNumberFormat="1" applyFont="1" applyFill="1" applyBorder="1" applyAlignment="1" applyProtection="1">
      <alignment/>
      <protection/>
    </xf>
    <xf numFmtId="0" fontId="0" fillId="13" borderId="31" xfId="24" applyNumberFormat="1" applyFill="1" applyBorder="1" applyAlignment="1" applyProtection="1">
      <alignment/>
      <protection/>
    </xf>
    <xf numFmtId="1" fontId="0" fillId="13" borderId="3" xfId="24" applyNumberFormat="1" applyFont="1" applyFill="1" applyBorder="1" applyAlignment="1" applyProtection="1">
      <alignment/>
      <protection/>
    </xf>
    <xf numFmtId="3" fontId="0" fillId="13" borderId="27" xfId="24" applyNumberFormat="1" applyFont="1" applyFill="1" applyBorder="1" applyAlignment="1" applyProtection="1">
      <alignment/>
      <protection/>
    </xf>
    <xf numFmtId="0" fontId="0" fillId="0" borderId="31" xfId="24" applyNumberFormat="1" applyFont="1" applyFill="1" applyBorder="1" applyAlignment="1" applyProtection="1">
      <alignment/>
      <protection/>
    </xf>
    <xf numFmtId="1" fontId="0" fillId="0" borderId="3" xfId="24" applyNumberFormat="1" applyFont="1" applyFill="1" applyBorder="1" applyAlignment="1" applyProtection="1">
      <alignment/>
      <protection/>
    </xf>
    <xf numFmtId="3" fontId="0" fillId="0" borderId="27" xfId="24" applyNumberFormat="1" applyFont="1" applyFill="1" applyBorder="1" applyAlignment="1" applyProtection="1">
      <alignment/>
      <protection/>
    </xf>
    <xf numFmtId="0" fontId="0" fillId="13" borderId="31" xfId="24" applyNumberFormat="1" applyFont="1" applyFill="1" applyBorder="1" applyAlignment="1" applyProtection="1">
      <alignment/>
      <protection/>
    </xf>
    <xf numFmtId="166" fontId="0" fillId="13" borderId="3" xfId="24" applyNumberFormat="1" applyFont="1" applyFill="1" applyBorder="1" applyAlignment="1" applyProtection="1">
      <alignment/>
      <protection/>
    </xf>
    <xf numFmtId="0" fontId="0" fillId="0" borderId="31" xfId="24" applyNumberFormat="1" applyFill="1" applyBorder="1" applyAlignment="1" applyProtection="1">
      <alignment/>
      <protection/>
    </xf>
    <xf numFmtId="3" fontId="0" fillId="0" borderId="3" xfId="24" applyNumberFormat="1" applyFont="1" applyFill="1" applyBorder="1" applyAlignment="1" applyProtection="1">
      <alignment/>
      <protection/>
    </xf>
    <xf numFmtId="179" fontId="0" fillId="0" borderId="3" xfId="24" applyNumberFormat="1" applyFont="1" applyFill="1" applyBorder="1" applyAlignment="1" applyProtection="1">
      <alignment/>
      <protection/>
    </xf>
    <xf numFmtId="179" fontId="0" fillId="0" borderId="27" xfId="24" applyNumberFormat="1" applyFont="1" applyFill="1" applyBorder="1" applyAlignment="1" applyProtection="1">
      <alignment/>
      <protection/>
    </xf>
    <xf numFmtId="0" fontId="0" fillId="0" borderId="26" xfId="24" applyNumberFormat="1" applyFont="1" applyFill="1" applyBorder="1" applyAlignment="1" applyProtection="1">
      <alignment/>
      <protection/>
    </xf>
    <xf numFmtId="0" fontId="0" fillId="0" borderId="49" xfId="24" applyNumberFormat="1" applyFont="1" applyFill="1" applyBorder="1" applyAlignment="1" applyProtection="1">
      <alignment horizontal="center"/>
      <protection/>
    </xf>
    <xf numFmtId="0" fontId="0" fillId="13" borderId="26" xfId="24" applyNumberFormat="1" applyFill="1" applyBorder="1" applyAlignment="1" applyProtection="1">
      <alignment/>
      <protection/>
    </xf>
    <xf numFmtId="165" fontId="0" fillId="13" borderId="4" xfId="24" applyNumberFormat="1" applyFont="1" applyFill="1" applyBorder="1" applyAlignment="1" applyProtection="1">
      <alignment/>
      <protection/>
    </xf>
    <xf numFmtId="179" fontId="0" fillId="13" borderId="50" xfId="24" applyNumberFormat="1" applyFont="1" applyFill="1" applyBorder="1" applyAlignment="1" applyProtection="1">
      <alignment/>
      <protection/>
    </xf>
    <xf numFmtId="0" fontId="0" fillId="0" borderId="47" xfId="0" applyNumberFormat="1" applyFont="1" applyFill="1" applyBorder="1" applyAlignment="1" applyProtection="1">
      <alignment horizontal="center"/>
      <protection/>
    </xf>
    <xf numFmtId="0" fontId="0" fillId="0" borderId="48" xfId="0" applyNumberFormat="1" applyFont="1" applyFill="1" applyBorder="1" applyAlignment="1" applyProtection="1">
      <alignment horizontal="center"/>
      <protection/>
    </xf>
    <xf numFmtId="166" fontId="0" fillId="13" borderId="27" xfId="24" applyNumberFormat="1" applyFont="1" applyFill="1" applyBorder="1" applyAlignment="1" applyProtection="1">
      <alignment/>
      <protection/>
    </xf>
    <xf numFmtId="0" fontId="0" fillId="0" borderId="49" xfId="0" applyNumberFormat="1" applyFont="1" applyFill="1" applyBorder="1" applyAlignment="1" applyProtection="1">
      <alignment horizontal="center"/>
      <protection/>
    </xf>
    <xf numFmtId="0" fontId="0" fillId="13" borderId="28" xfId="24" applyNumberFormat="1" applyFill="1" applyBorder="1" applyAlignment="1" applyProtection="1">
      <alignment/>
      <protection/>
    </xf>
    <xf numFmtId="165" fontId="0" fillId="13" borderId="29" xfId="24" applyNumberFormat="1" applyFont="1" applyFill="1" applyBorder="1" applyAlignment="1" applyProtection="1">
      <alignment/>
      <protection/>
    </xf>
    <xf numFmtId="179" fontId="0" fillId="13" borderId="30" xfId="24" applyNumberFormat="1" applyFont="1" applyFill="1" applyBorder="1" applyAlignment="1" applyProtection="1">
      <alignment/>
      <protection/>
    </xf>
    <xf numFmtId="0" fontId="0" fillId="0" borderId="0" xfId="0" applyNumberFormat="1" applyFill="1" applyBorder="1" applyAlignment="1" applyProtection="1">
      <alignment/>
      <protection/>
    </xf>
    <xf numFmtId="168" fontId="0" fillId="0" borderId="3" xfId="17" applyNumberFormat="1" applyBorder="1" applyAlignment="1">
      <alignment/>
    </xf>
    <xf numFmtId="0" fontId="0" fillId="3" borderId="12" xfId="0" applyFill="1" applyBorder="1" applyAlignment="1">
      <alignment horizontal="center"/>
    </xf>
    <xf numFmtId="0" fontId="17" fillId="3" borderId="51" xfId="0" applyFont="1" applyFill="1" applyBorder="1" applyAlignment="1">
      <alignment/>
    </xf>
    <xf numFmtId="0" fontId="17" fillId="3" borderId="52" xfId="0" applyFont="1" applyFill="1" applyBorder="1" applyAlignment="1">
      <alignment/>
    </xf>
    <xf numFmtId="0" fontId="0" fillId="0" borderId="53" xfId="0" applyBorder="1" applyAlignment="1">
      <alignment horizontal="right"/>
    </xf>
    <xf numFmtId="165" fontId="0" fillId="12" borderId="32" xfId="0" applyNumberFormat="1" applyFill="1" applyBorder="1" applyAlignment="1">
      <alignment/>
    </xf>
    <xf numFmtId="165" fontId="0" fillId="12" borderId="33" xfId="0" applyNumberFormat="1" applyFill="1" applyBorder="1" applyAlignment="1">
      <alignment/>
    </xf>
    <xf numFmtId="0" fontId="0" fillId="0" borderId="54" xfId="0" applyBorder="1" applyAlignment="1">
      <alignment horizontal="right"/>
    </xf>
    <xf numFmtId="165" fontId="0" fillId="12" borderId="31" xfId="0" applyNumberFormat="1" applyFill="1" applyBorder="1" applyAlignment="1">
      <alignment/>
    </xf>
    <xf numFmtId="0" fontId="0" fillId="0" borderId="54" xfId="0" applyFill="1" applyBorder="1" applyAlignment="1">
      <alignment horizontal="right"/>
    </xf>
    <xf numFmtId="165" fontId="0" fillId="13" borderId="31" xfId="0" applyNumberFormat="1" applyFill="1" applyBorder="1" applyAlignment="1">
      <alignment/>
    </xf>
    <xf numFmtId="0" fontId="0" fillId="0" borderId="5" xfId="0" applyBorder="1" applyAlignment="1">
      <alignment horizontal="right"/>
    </xf>
    <xf numFmtId="9" fontId="0" fillId="12" borderId="31" xfId="26" applyFill="1" applyBorder="1" applyAlignment="1">
      <alignment/>
    </xf>
    <xf numFmtId="9" fontId="0" fillId="12" borderId="3" xfId="26" applyFill="1" applyBorder="1" applyAlignment="1">
      <alignment/>
    </xf>
    <xf numFmtId="9" fontId="0" fillId="12" borderId="27" xfId="26" applyFill="1" applyBorder="1" applyAlignment="1">
      <alignment/>
    </xf>
    <xf numFmtId="9" fontId="0" fillId="13" borderId="31" xfId="26" applyFont="1" applyFill="1" applyBorder="1" applyAlignment="1">
      <alignment/>
    </xf>
    <xf numFmtId="9" fontId="0" fillId="13" borderId="3" xfId="26" applyFill="1" applyBorder="1" applyAlignment="1">
      <alignment/>
    </xf>
    <xf numFmtId="9" fontId="0" fillId="13" borderId="27" xfId="26" applyFill="1" applyBorder="1" applyAlignment="1">
      <alignment/>
    </xf>
    <xf numFmtId="0" fontId="0" fillId="0" borderId="1" xfId="0" applyBorder="1" applyAlignment="1">
      <alignment horizontal="right"/>
    </xf>
    <xf numFmtId="9" fontId="0" fillId="13" borderId="28" xfId="26" applyFill="1" applyBorder="1" applyAlignment="1">
      <alignment/>
    </xf>
    <xf numFmtId="9" fontId="0" fillId="13" borderId="29" xfId="26" applyFill="1" applyBorder="1" applyAlignment="1">
      <alignment/>
    </xf>
    <xf numFmtId="9" fontId="0" fillId="13" borderId="30" xfId="26" applyFill="1" applyBorder="1" applyAlignment="1">
      <alignment/>
    </xf>
    <xf numFmtId="0" fontId="0" fillId="0" borderId="42" xfId="0" applyFill="1" applyBorder="1" applyAlignment="1">
      <alignment horizontal="center"/>
    </xf>
    <xf numFmtId="169" fontId="0" fillId="0" borderId="43" xfId="15" applyNumberFormat="1" applyFill="1" applyBorder="1" applyAlignment="1">
      <alignment horizontal="right"/>
    </xf>
    <xf numFmtId="169" fontId="0" fillId="0" borderId="44" xfId="15" applyNumberFormat="1" applyFill="1" applyBorder="1" applyAlignment="1">
      <alignment/>
    </xf>
    <xf numFmtId="9" fontId="0" fillId="0" borderId="0" xfId="26" applyFill="1" applyBorder="1" applyAlignment="1">
      <alignment horizontal="right"/>
    </xf>
    <xf numFmtId="0" fontId="17" fillId="15" borderId="13" xfId="0" applyFont="1" applyFill="1" applyBorder="1" applyAlignment="1">
      <alignment horizontal="right"/>
    </xf>
    <xf numFmtId="0" fontId="0" fillId="15" borderId="13" xfId="0" applyFill="1" applyBorder="1" applyAlignment="1">
      <alignment/>
    </xf>
    <xf numFmtId="165" fontId="11" fillId="0" borderId="0" xfId="0" applyNumberFormat="1" applyFont="1" applyAlignment="1">
      <alignment/>
    </xf>
    <xf numFmtId="44" fontId="0" fillId="0" borderId="0" xfId="0" applyNumberFormat="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9" fontId="0" fillId="12" borderId="3" xfId="0" applyNumberFormat="1" applyFill="1" applyBorder="1" applyAlignment="1">
      <alignment/>
    </xf>
    <xf numFmtId="9" fontId="0" fillId="12" borderId="5" xfId="0" applyNumberFormat="1" applyFill="1" applyBorder="1" applyAlignment="1">
      <alignment/>
    </xf>
    <xf numFmtId="9" fontId="0" fillId="0" borderId="3" xfId="0" applyNumberFormat="1" applyBorder="1" applyAlignment="1">
      <alignment/>
    </xf>
    <xf numFmtId="9" fontId="0" fillId="0" borderId="3" xfId="26" applyBorder="1" applyAlignment="1">
      <alignment/>
    </xf>
    <xf numFmtId="0" fontId="0" fillId="12" borderId="3" xfId="0" applyFill="1" applyBorder="1" applyAlignment="1">
      <alignment horizontal="right"/>
    </xf>
    <xf numFmtId="165" fontId="0" fillId="13" borderId="3" xfId="0" applyNumberFormat="1" applyFill="1" applyBorder="1" applyAlignment="1">
      <alignment/>
    </xf>
    <xf numFmtId="165" fontId="0" fillId="12" borderId="58" xfId="0" applyNumberFormat="1" applyFill="1" applyBorder="1" applyAlignment="1">
      <alignment/>
    </xf>
    <xf numFmtId="165" fontId="0" fillId="12" borderId="7" xfId="0" applyNumberFormat="1" applyFill="1" applyBorder="1" applyAlignment="1">
      <alignment/>
    </xf>
    <xf numFmtId="9" fontId="0" fillId="12" borderId="7" xfId="26" applyFill="1" applyBorder="1" applyAlignment="1">
      <alignment/>
    </xf>
    <xf numFmtId="9" fontId="0" fillId="13" borderId="7" xfId="26" applyFont="1" applyFill="1" applyBorder="1" applyAlignment="1">
      <alignment/>
    </xf>
    <xf numFmtId="9" fontId="0" fillId="13" borderId="59" xfId="26" applyFill="1" applyBorder="1" applyAlignment="1">
      <alignment/>
    </xf>
    <xf numFmtId="0" fontId="0" fillId="0" borderId="60" xfId="0" applyFill="1" applyBorder="1" applyAlignment="1">
      <alignment horizontal="center"/>
    </xf>
    <xf numFmtId="165" fontId="0" fillId="13" borderId="27" xfId="0" applyNumberFormat="1" applyFill="1" applyBorder="1" applyAlignment="1">
      <alignment/>
    </xf>
    <xf numFmtId="0" fontId="0" fillId="2" borderId="7" xfId="0" applyFill="1" applyBorder="1" applyAlignment="1">
      <alignment/>
    </xf>
    <xf numFmtId="9" fontId="0" fillId="0" borderId="7" xfId="26" applyBorder="1" applyAlignment="1">
      <alignment/>
    </xf>
    <xf numFmtId="4" fontId="0" fillId="0" borderId="3" xfId="0" applyNumberFormat="1" applyBorder="1" applyAlignment="1">
      <alignment/>
    </xf>
    <xf numFmtId="3" fontId="0" fillId="0" borderId="4" xfId="0" applyNumberFormat="1" applyBorder="1" applyAlignment="1">
      <alignment/>
    </xf>
    <xf numFmtId="3" fontId="0" fillId="0" borderId="50" xfId="0" applyNumberFormat="1" applyBorder="1" applyAlignment="1">
      <alignment/>
    </xf>
    <xf numFmtId="0" fontId="0" fillId="0" borderId="24" xfId="0" applyFill="1" applyBorder="1" applyAlignment="1">
      <alignment/>
    </xf>
    <xf numFmtId="0" fontId="0" fillId="0" borderId="24" xfId="0" applyFill="1" applyBorder="1" applyAlignment="1">
      <alignment wrapText="1"/>
    </xf>
    <xf numFmtId="0" fontId="0" fillId="0" borderId="9" xfId="0" applyFill="1" applyBorder="1" applyAlignment="1">
      <alignment wrapText="1"/>
    </xf>
    <xf numFmtId="0" fontId="0" fillId="0" borderId="25" xfId="0" applyFill="1" applyBorder="1" applyAlignment="1">
      <alignment wrapText="1"/>
    </xf>
    <xf numFmtId="0" fontId="0" fillId="11" borderId="26" xfId="0" applyFill="1" applyBorder="1" applyAlignment="1">
      <alignment/>
    </xf>
    <xf numFmtId="0" fontId="0" fillId="11" borderId="4" xfId="0" applyFill="1" applyBorder="1" applyAlignment="1">
      <alignment/>
    </xf>
    <xf numFmtId="169" fontId="0" fillId="11" borderId="4" xfId="15" applyNumberFormat="1" applyFill="1" applyBorder="1" applyAlignment="1">
      <alignment/>
    </xf>
    <xf numFmtId="169" fontId="0" fillId="11" borderId="50" xfId="15" applyNumberFormat="1" applyFill="1" applyBorder="1" applyAlignment="1">
      <alignment/>
    </xf>
    <xf numFmtId="0" fontId="0" fillId="3" borderId="3" xfId="0" applyFill="1" applyBorder="1" applyAlignment="1">
      <alignment/>
    </xf>
    <xf numFmtId="9" fontId="0" fillId="3" borderId="3" xfId="0" applyNumberFormat="1" applyFill="1" applyBorder="1" applyAlignment="1">
      <alignment/>
    </xf>
    <xf numFmtId="9" fontId="0" fillId="3" borderId="5" xfId="0" applyNumberFormat="1" applyFill="1" applyBorder="1" applyAlignment="1">
      <alignment/>
    </xf>
    <xf numFmtId="169" fontId="0" fillId="12" borderId="13" xfId="15" applyNumberFormat="1" applyFill="1" applyBorder="1" applyAlignment="1">
      <alignment/>
    </xf>
    <xf numFmtId="0" fontId="0" fillId="11" borderId="3" xfId="0" applyFill="1" applyBorder="1" applyAlignment="1">
      <alignment/>
    </xf>
    <xf numFmtId="0" fontId="0" fillId="11" borderId="3" xfId="0" applyFill="1" applyBorder="1" applyAlignment="1">
      <alignment horizontal="left"/>
    </xf>
    <xf numFmtId="0" fontId="0" fillId="7" borderId="55" xfId="0" applyFont="1" applyFill="1" applyBorder="1" applyAlignment="1">
      <alignment/>
    </xf>
    <xf numFmtId="0" fontId="0" fillId="7" borderId="56" xfId="0" applyFont="1" applyFill="1" applyBorder="1" applyAlignment="1">
      <alignment/>
    </xf>
    <xf numFmtId="0" fontId="0" fillId="0" borderId="9" xfId="0" applyFont="1" applyBorder="1" applyAlignment="1">
      <alignment wrapText="1"/>
    </xf>
    <xf numFmtId="0" fontId="0" fillId="0" borderId="9" xfId="0" applyFont="1" applyBorder="1" applyAlignment="1">
      <alignment/>
    </xf>
    <xf numFmtId="165" fontId="0" fillId="0" borderId="3" xfId="0" applyNumberFormat="1" applyFont="1" applyBorder="1" applyAlignment="1">
      <alignment/>
    </xf>
    <xf numFmtId="168" fontId="0" fillId="0" borderId="3" xfId="17" applyNumberFormat="1" applyFont="1" applyBorder="1" applyAlignment="1">
      <alignment/>
    </xf>
    <xf numFmtId="168" fontId="0" fillId="0" borderId="3" xfId="0" applyNumberFormat="1" applyFont="1" applyBorder="1" applyAlignment="1">
      <alignment/>
    </xf>
    <xf numFmtId="0" fontId="17" fillId="0" borderId="3" xfId="0" applyFont="1" applyBorder="1" applyAlignment="1">
      <alignment horizontal="center" wrapText="1"/>
    </xf>
    <xf numFmtId="177" fontId="0" fillId="0" borderId="3" xfId="25" applyNumberFormat="1" applyFont="1" applyBorder="1" applyAlignment="1" applyProtection="1">
      <alignment horizontal="left"/>
      <protection/>
    </xf>
    <xf numFmtId="6" fontId="0" fillId="0" borderId="3" xfId="0" applyNumberFormat="1" applyBorder="1" applyAlignment="1">
      <alignment/>
    </xf>
    <xf numFmtId="0" fontId="0" fillId="0" borderId="3" xfId="0" applyFont="1" applyBorder="1" applyAlignment="1">
      <alignment wrapText="1"/>
    </xf>
    <xf numFmtId="0" fontId="17" fillId="16" borderId="3" xfId="0" applyFont="1" applyFill="1" applyBorder="1" applyAlignment="1">
      <alignment/>
    </xf>
    <xf numFmtId="0" fontId="0" fillId="0" borderId="0" xfId="23" applyFont="1" applyFill="1" applyBorder="1" applyAlignment="1">
      <alignment horizontal="right"/>
      <protection/>
    </xf>
    <xf numFmtId="172" fontId="35" fillId="0" borderId="0" xfId="0" applyNumberFormat="1" applyFont="1" applyAlignment="1" applyProtection="1">
      <alignment/>
      <protection locked="0"/>
    </xf>
    <xf numFmtId="0" fontId="30" fillId="0" borderId="0" xfId="0" applyFont="1" applyAlignment="1" applyProtection="1">
      <alignment/>
      <protection locked="0"/>
    </xf>
    <xf numFmtId="0" fontId="35" fillId="0" borderId="0" xfId="0" applyFont="1" applyFill="1" applyAlignment="1" applyProtection="1">
      <alignment horizontal="center"/>
      <protection locked="0"/>
    </xf>
    <xf numFmtId="168" fontId="35" fillId="0" borderId="3" xfId="17" applyNumberFormat="1" applyFont="1" applyFill="1" applyBorder="1" applyAlignment="1" applyProtection="1">
      <alignment horizontal="center"/>
      <protection locked="0"/>
    </xf>
    <xf numFmtId="0" fontId="24" fillId="0" borderId="3" xfId="0" applyFont="1" applyBorder="1" applyAlignment="1">
      <alignment/>
    </xf>
    <xf numFmtId="0" fontId="27" fillId="4" borderId="0" xfId="0" applyFont="1" applyFill="1" applyAlignment="1">
      <alignment horizontal="left"/>
    </xf>
    <xf numFmtId="0" fontId="37" fillId="4" borderId="0" xfId="0" applyFont="1" applyFill="1" applyAlignment="1">
      <alignment horizontal="centerContinuous"/>
    </xf>
    <xf numFmtId="173" fontId="35" fillId="0" borderId="0" xfId="0" applyNumberFormat="1" applyFont="1" applyAlignment="1" applyProtection="1">
      <alignment/>
      <protection locked="0"/>
    </xf>
    <xf numFmtId="0" fontId="35" fillId="0" borderId="0" xfId="0" applyFont="1" applyAlignment="1" applyProtection="1">
      <alignment horizontal="center"/>
      <protection locked="0"/>
    </xf>
    <xf numFmtId="173" fontId="17" fillId="0" borderId="3" xfId="0" applyNumberFormat="1" applyFont="1" applyBorder="1" applyAlignment="1">
      <alignment wrapText="1"/>
    </xf>
    <xf numFmtId="181" fontId="30" fillId="6" borderId="0" xfId="0" applyNumberFormat="1" applyFont="1" applyFill="1" applyAlignment="1" applyProtection="1">
      <alignment/>
      <protection locked="0"/>
    </xf>
    <xf numFmtId="168" fontId="0" fillId="0" borderId="0" xfId="17" applyNumberFormat="1" applyAlignment="1">
      <alignment/>
    </xf>
    <xf numFmtId="181" fontId="30" fillId="0" borderId="0" xfId="0" applyNumberFormat="1" applyFont="1" applyAlignment="1" applyProtection="1">
      <alignment/>
      <protection locked="0"/>
    </xf>
    <xf numFmtId="181" fontId="30" fillId="0" borderId="0" xfId="0" applyNumberFormat="1" applyFont="1" applyFill="1" applyAlignment="1" applyProtection="1">
      <alignment/>
      <protection locked="0"/>
    </xf>
    <xf numFmtId="0" fontId="35" fillId="0" borderId="3" xfId="0" applyFont="1" applyBorder="1" applyAlignment="1">
      <alignment horizontal="center" wrapText="1"/>
    </xf>
    <xf numFmtId="173" fontId="35" fillId="0" borderId="3" xfId="0" applyNumberFormat="1" applyFont="1" applyBorder="1" applyAlignment="1">
      <alignment wrapText="1"/>
    </xf>
    <xf numFmtId="0" fontId="30" fillId="6" borderId="3" xfId="0" applyNumberFormat="1" applyFont="1" applyFill="1" applyBorder="1" applyAlignment="1">
      <alignment horizontal="center"/>
    </xf>
    <xf numFmtId="180" fontId="30" fillId="6" borderId="3" xfId="0" applyNumberFormat="1" applyFont="1" applyFill="1" applyBorder="1" applyAlignment="1">
      <alignment/>
    </xf>
    <xf numFmtId="1" fontId="30" fillId="6" borderId="3" xfId="0" applyNumberFormat="1" applyFont="1" applyFill="1" applyBorder="1" applyAlignment="1">
      <alignment horizontal="center"/>
    </xf>
    <xf numFmtId="165" fontId="30" fillId="6" borderId="3" xfId="0" applyNumberFormat="1" applyFont="1" applyFill="1" applyBorder="1" applyAlignment="1">
      <alignment horizontal="center"/>
    </xf>
    <xf numFmtId="181" fontId="30" fillId="6" borderId="3" xfId="0" applyNumberFormat="1" applyFont="1" applyFill="1" applyBorder="1" applyAlignment="1">
      <alignment horizontal="right"/>
    </xf>
    <xf numFmtId="170" fontId="30" fillId="6" borderId="3" xfId="0" applyNumberFormat="1" applyFont="1" applyFill="1" applyBorder="1" applyAlignment="1">
      <alignment horizontal="center"/>
    </xf>
    <xf numFmtId="0" fontId="38" fillId="0" borderId="3" xfId="0" applyNumberFormat="1" applyFont="1" applyBorder="1" applyAlignment="1">
      <alignment horizontal="center"/>
    </xf>
    <xf numFmtId="180" fontId="38" fillId="0" borderId="3" xfId="0" applyNumberFormat="1" applyFont="1" applyBorder="1" applyAlignment="1">
      <alignment/>
    </xf>
    <xf numFmtId="1" fontId="38" fillId="0" borderId="3" xfId="0" applyNumberFormat="1" applyFont="1" applyFill="1" applyBorder="1" applyAlignment="1">
      <alignment horizontal="center"/>
    </xf>
    <xf numFmtId="165" fontId="30" fillId="0" borderId="3" xfId="0" applyNumberFormat="1" applyFont="1" applyFill="1" applyBorder="1" applyAlignment="1">
      <alignment horizontal="center"/>
    </xf>
    <xf numFmtId="181" fontId="38" fillId="0" borderId="3" xfId="0" applyNumberFormat="1" applyFont="1" applyBorder="1" applyAlignment="1">
      <alignment horizontal="right"/>
    </xf>
    <xf numFmtId="170" fontId="38" fillId="0" borderId="3" xfId="0" applyNumberFormat="1" applyFont="1" applyFill="1" applyBorder="1" applyAlignment="1">
      <alignment horizontal="center"/>
    </xf>
    <xf numFmtId="170" fontId="30" fillId="0" borderId="3" xfId="0" applyNumberFormat="1" applyFont="1" applyFill="1" applyBorder="1" applyAlignment="1">
      <alignment horizontal="center"/>
    </xf>
    <xf numFmtId="0" fontId="30" fillId="0" borderId="3" xfId="0" applyNumberFormat="1" applyFont="1" applyBorder="1" applyAlignment="1">
      <alignment horizontal="center"/>
    </xf>
    <xf numFmtId="180" fontId="30" fillId="0" borderId="3" xfId="0" applyNumberFormat="1" applyFont="1" applyBorder="1" applyAlignment="1">
      <alignment/>
    </xf>
    <xf numFmtId="1" fontId="30" fillId="0" borderId="3" xfId="0" applyNumberFormat="1" applyFont="1" applyFill="1" applyBorder="1" applyAlignment="1">
      <alignment horizontal="center"/>
    </xf>
    <xf numFmtId="181" fontId="30" fillId="0" borderId="3" xfId="0" applyNumberFormat="1" applyFont="1" applyBorder="1" applyAlignment="1">
      <alignment horizontal="right"/>
    </xf>
    <xf numFmtId="170" fontId="0" fillId="0" borderId="3" xfId="0" applyNumberFormat="1" applyBorder="1" applyAlignment="1">
      <alignment/>
    </xf>
    <xf numFmtId="0" fontId="30" fillId="0" borderId="0" xfId="0" applyNumberFormat="1" applyFont="1" applyBorder="1" applyAlignment="1">
      <alignment horizontal="center"/>
    </xf>
    <xf numFmtId="180" fontId="30" fillId="0" borderId="0" xfId="0" applyNumberFormat="1" applyFont="1" applyBorder="1" applyAlignment="1">
      <alignment/>
    </xf>
    <xf numFmtId="1" fontId="30" fillId="0" borderId="0" xfId="0" applyNumberFormat="1" applyFont="1" applyFill="1" applyBorder="1" applyAlignment="1">
      <alignment horizontal="center"/>
    </xf>
    <xf numFmtId="165" fontId="30" fillId="0" borderId="0" xfId="0" applyNumberFormat="1" applyFont="1" applyFill="1" applyBorder="1" applyAlignment="1">
      <alignment horizontal="center"/>
    </xf>
    <xf numFmtId="181" fontId="30" fillId="0" borderId="0" xfId="0" applyNumberFormat="1" applyFont="1" applyBorder="1" applyAlignment="1">
      <alignment horizontal="right"/>
    </xf>
    <xf numFmtId="170" fontId="30" fillId="0" borderId="0" xfId="0" applyNumberFormat="1" applyFont="1" applyFill="1" applyBorder="1" applyAlignment="1">
      <alignment horizontal="center"/>
    </xf>
    <xf numFmtId="170" fontId="0" fillId="0" borderId="0" xfId="0" applyNumberFormat="1" applyBorder="1" applyAlignment="1">
      <alignment/>
    </xf>
    <xf numFmtId="0" fontId="30" fillId="0" borderId="0" xfId="0" applyFont="1" applyAlignment="1" applyProtection="1">
      <alignment horizontal="center"/>
      <protection locked="0"/>
    </xf>
    <xf numFmtId="0" fontId="17" fillId="0" borderId="16" xfId="0" applyFont="1" applyBorder="1" applyAlignment="1">
      <alignment horizontal="center"/>
    </xf>
    <xf numFmtId="173" fontId="17" fillId="0" borderId="22" xfId="0" applyNumberFormat="1" applyFont="1" applyBorder="1" applyAlignment="1">
      <alignment/>
    </xf>
    <xf numFmtId="0" fontId="17" fillId="0" borderId="22" xfId="0" applyFont="1" applyBorder="1" applyAlignment="1">
      <alignment horizontal="center" wrapText="1"/>
    </xf>
    <xf numFmtId="0" fontId="17" fillId="0" borderId="23" xfId="0" applyFont="1" applyBorder="1" applyAlignment="1">
      <alignment horizontal="center" wrapText="1"/>
    </xf>
    <xf numFmtId="0" fontId="17" fillId="0" borderId="13" xfId="0" applyFont="1" applyBorder="1" applyAlignment="1">
      <alignment horizontal="center" wrapText="1"/>
    </xf>
    <xf numFmtId="170" fontId="30" fillId="6" borderId="0" xfId="0" applyNumberFormat="1" applyFont="1" applyFill="1" applyAlignment="1" applyProtection="1">
      <alignment horizontal="center"/>
      <protection locked="0"/>
    </xf>
    <xf numFmtId="170" fontId="30" fillId="0" borderId="0" xfId="0" applyNumberFormat="1" applyFont="1" applyFill="1" applyAlignment="1" applyProtection="1">
      <alignment horizontal="center"/>
      <protection locked="0"/>
    </xf>
    <xf numFmtId="0" fontId="35" fillId="0" borderId="16" xfId="0" applyFont="1" applyBorder="1" applyAlignment="1">
      <alignment horizontal="center" wrapText="1"/>
    </xf>
    <xf numFmtId="173" fontId="35" fillId="0" borderId="22" xfId="0" applyNumberFormat="1" applyFont="1" applyBorder="1" applyAlignment="1">
      <alignment wrapText="1"/>
    </xf>
    <xf numFmtId="0" fontId="35" fillId="0" borderId="22" xfId="0" applyFont="1" applyBorder="1" applyAlignment="1">
      <alignment horizontal="center" wrapText="1"/>
    </xf>
    <xf numFmtId="0" fontId="35" fillId="0" borderId="23" xfId="0" applyFont="1" applyBorder="1" applyAlignment="1">
      <alignment horizontal="center" wrapText="1"/>
    </xf>
    <xf numFmtId="0" fontId="35" fillId="0" borderId="47" xfId="0" applyFont="1" applyBorder="1" applyAlignment="1">
      <alignment horizontal="center" wrapText="1"/>
    </xf>
    <xf numFmtId="181" fontId="30" fillId="6" borderId="3" xfId="0" applyNumberFormat="1" applyFont="1" applyFill="1" applyBorder="1" applyAlignment="1">
      <alignment/>
    </xf>
    <xf numFmtId="182" fontId="30" fillId="6" borderId="3" xfId="17" applyNumberFormat="1" applyFont="1" applyFill="1" applyBorder="1" applyAlignment="1">
      <alignment horizontal="right"/>
    </xf>
    <xf numFmtId="0" fontId="30" fillId="0" borderId="3" xfId="0" applyFont="1" applyBorder="1" applyAlignment="1">
      <alignment/>
    </xf>
    <xf numFmtId="181" fontId="38" fillId="0" borderId="3" xfId="0" applyNumberFormat="1" applyFont="1" applyBorder="1" applyAlignment="1">
      <alignment/>
    </xf>
    <xf numFmtId="182" fontId="30" fillId="0" borderId="3" xfId="0" applyNumberFormat="1" applyFont="1" applyBorder="1" applyAlignment="1">
      <alignment/>
    </xf>
    <xf numFmtId="181" fontId="30" fillId="0" borderId="3" xfId="0" applyNumberFormat="1" applyFont="1" applyBorder="1" applyAlignment="1">
      <alignment/>
    </xf>
    <xf numFmtId="0" fontId="17" fillId="3" borderId="42" xfId="0" applyFont="1" applyFill="1" applyBorder="1" applyAlignment="1">
      <alignment/>
    </xf>
    <xf numFmtId="0" fontId="17" fillId="3" borderId="43" xfId="0" applyFont="1" applyFill="1" applyBorder="1" applyAlignment="1">
      <alignment/>
    </xf>
    <xf numFmtId="0" fontId="17" fillId="7" borderId="12" xfId="0" applyFont="1" applyFill="1" applyBorder="1" applyAlignment="1">
      <alignment/>
    </xf>
    <xf numFmtId="0" fontId="18" fillId="11" borderId="47" xfId="0" applyFont="1" applyFill="1" applyBorder="1" applyAlignment="1">
      <alignment horizontal="center" wrapText="1"/>
    </xf>
    <xf numFmtId="178" fontId="0" fillId="0" borderId="3" xfId="15" applyNumberFormat="1" applyBorder="1" applyAlignment="1">
      <alignment/>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34"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0" fillId="7" borderId="32" xfId="0" applyFill="1" applyBorder="1" applyAlignment="1">
      <alignment horizontal="center"/>
    </xf>
    <xf numFmtId="0" fontId="0" fillId="7" borderId="33" xfId="0" applyFill="1" applyBorder="1" applyAlignment="1">
      <alignment horizontal="center"/>
    </xf>
    <xf numFmtId="0" fontId="0" fillId="7" borderId="36" xfId="0" applyFill="1" applyBorder="1" applyAlignment="1">
      <alignment horizontal="center"/>
    </xf>
    <xf numFmtId="0" fontId="17" fillId="3" borderId="35" xfId="0" applyFont="1" applyFill="1" applyBorder="1" applyAlignment="1">
      <alignment horizontal="center"/>
    </xf>
    <xf numFmtId="0" fontId="17" fillId="3" borderId="61" xfId="0" applyFont="1" applyFill="1" applyBorder="1" applyAlignment="1">
      <alignment horizontal="center"/>
    </xf>
    <xf numFmtId="0" fontId="17" fillId="3" borderId="58" xfId="0" applyFont="1" applyFill="1" applyBorder="1" applyAlignment="1">
      <alignment horizontal="center"/>
    </xf>
    <xf numFmtId="0" fontId="17" fillId="3" borderId="62" xfId="0" applyFont="1" applyFill="1" applyBorder="1" applyAlignment="1">
      <alignment horizontal="center"/>
    </xf>
    <xf numFmtId="0" fontId="17" fillId="7" borderId="12" xfId="0" applyFont="1" applyFill="1" applyBorder="1" applyAlignment="1">
      <alignment horizontal="center"/>
    </xf>
    <xf numFmtId="0" fontId="17" fillId="7" borderId="17" xfId="0" applyFont="1" applyFill="1" applyBorder="1" applyAlignment="1">
      <alignment horizontal="center"/>
    </xf>
    <xf numFmtId="0" fontId="0" fillId="11" borderId="3" xfId="0" applyFill="1" applyBorder="1" applyAlignment="1">
      <alignment horizontal="center"/>
    </xf>
    <xf numFmtId="0" fontId="17" fillId="2" borderId="5" xfId="0" applyFont="1" applyFill="1" applyBorder="1" applyAlignment="1">
      <alignment horizontal="center"/>
    </xf>
    <xf numFmtId="0" fontId="17" fillId="2" borderId="6" xfId="0" applyFont="1" applyFill="1" applyBorder="1" applyAlignment="1">
      <alignment horizontal="center"/>
    </xf>
    <xf numFmtId="0" fontId="17" fillId="2" borderId="7" xfId="0" applyFont="1" applyFill="1" applyBorder="1" applyAlignment="1">
      <alignment horizontal="center"/>
    </xf>
    <xf numFmtId="0" fontId="17" fillId="7" borderId="34" xfId="0" applyFont="1" applyFill="1" applyBorder="1" applyAlignment="1">
      <alignment horizontal="center"/>
    </xf>
    <xf numFmtId="0" fontId="17" fillId="7" borderId="11" xfId="0" applyFont="1" applyFill="1" applyBorder="1" applyAlignment="1">
      <alignment horizontal="center"/>
    </xf>
    <xf numFmtId="0" fontId="17" fillId="7" borderId="10" xfId="0" applyFont="1" applyFill="1" applyBorder="1" applyAlignment="1">
      <alignment horizontal="center"/>
    </xf>
    <xf numFmtId="0" fontId="17" fillId="2" borderId="12" xfId="0" applyFont="1" applyFill="1" applyBorder="1" applyAlignment="1">
      <alignment horizontal="center"/>
    </xf>
    <xf numFmtId="0" fontId="17" fillId="2" borderId="10" xfId="0" applyFont="1" applyFill="1" applyBorder="1" applyAlignment="1">
      <alignment horizontal="center"/>
    </xf>
    <xf numFmtId="0" fontId="17" fillId="2" borderId="11" xfId="0" applyFont="1" applyFill="1" applyBorder="1" applyAlignment="1">
      <alignment horizontal="center"/>
    </xf>
    <xf numFmtId="0" fontId="17" fillId="3" borderId="63" xfId="0" applyFont="1" applyFill="1" applyBorder="1" applyAlignment="1">
      <alignment horizontal="center"/>
    </xf>
    <xf numFmtId="0" fontId="0" fillId="7" borderId="51" xfId="0" applyFont="1" applyFill="1" applyBorder="1" applyAlignment="1">
      <alignment horizontal="center"/>
    </xf>
    <xf numFmtId="0" fontId="0" fillId="0" borderId="0" xfId="0" applyFont="1" applyAlignment="1">
      <alignment horizontal="left" wrapText="1"/>
    </xf>
    <xf numFmtId="0" fontId="17" fillId="7" borderId="10" xfId="0" applyFont="1" applyFill="1" applyBorder="1" applyAlignment="1">
      <alignment/>
    </xf>
    <xf numFmtId="0" fontId="17" fillId="7" borderId="11" xfId="0" applyFont="1" applyFill="1" applyBorder="1" applyAlignment="1">
      <alignment/>
    </xf>
    <xf numFmtId="0" fontId="17" fillId="7" borderId="16" xfId="0" applyFont="1" applyFill="1" applyBorder="1" applyAlignment="1">
      <alignment/>
    </xf>
    <xf numFmtId="0" fontId="17" fillId="7" borderId="22" xfId="0" applyFont="1" applyFill="1" applyBorder="1" applyAlignment="1">
      <alignment/>
    </xf>
    <xf numFmtId="0" fontId="17" fillId="7" borderId="23" xfId="0" applyFont="1" applyFill="1" applyBorder="1" applyAlignment="1">
      <alignment/>
    </xf>
    <xf numFmtId="0" fontId="0" fillId="7" borderId="52" xfId="0" applyFont="1" applyFill="1" applyBorder="1" applyAlignment="1">
      <alignment horizontal="center"/>
    </xf>
    <xf numFmtId="0" fontId="32" fillId="0" borderId="0" xfId="0" applyFont="1" applyAlignment="1">
      <alignment/>
    </xf>
    <xf numFmtId="0" fontId="27" fillId="4" borderId="0" xfId="0" applyFont="1" applyFill="1" applyAlignment="1">
      <alignment horizontal="center"/>
    </xf>
    <xf numFmtId="0" fontId="17" fillId="0" borderId="12" xfId="0" applyNumberFormat="1" applyFont="1" applyFill="1" applyBorder="1" applyAlignment="1" applyProtection="1">
      <alignment horizontal="center"/>
      <protection/>
    </xf>
    <xf numFmtId="0" fontId="17" fillId="0" borderId="10" xfId="0" applyNumberFormat="1" applyFont="1" applyFill="1" applyBorder="1" applyAlignment="1" applyProtection="1">
      <alignment horizontal="center"/>
      <protection/>
    </xf>
    <xf numFmtId="0" fontId="17" fillId="0" borderId="11" xfId="0" applyNumberFormat="1" applyFont="1" applyFill="1" applyBorder="1" applyAlignment="1" applyProtection="1">
      <alignment horizontal="center"/>
      <protection/>
    </xf>
  </cellXfs>
  <cellStyles count="13">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New Mobile Home" xfId="23"/>
    <cellStyle name="Normal_SGCSubMeterDAT" xfId="24"/>
    <cellStyle name="Normal_T_Energy Use and Saving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4.emf" /><Relationship Id="rId3" Type="http://schemas.openxmlformats.org/officeDocument/2006/relationships/image" Target="../media/image9.emf" /><Relationship Id="rId4" Type="http://schemas.openxmlformats.org/officeDocument/2006/relationships/image" Target="../media/image3.emf" /><Relationship Id="rId5" Type="http://schemas.openxmlformats.org/officeDocument/2006/relationships/image" Target="../media/image6.emf" /><Relationship Id="rId6" Type="http://schemas.openxmlformats.org/officeDocument/2006/relationships/image" Target="../media/image2.emf" /><Relationship Id="rId7" Type="http://schemas.openxmlformats.org/officeDocument/2006/relationships/image" Target="../media/image13.emf" /><Relationship Id="rId8" Type="http://schemas.openxmlformats.org/officeDocument/2006/relationships/image" Target="../media/image7.emf" /><Relationship Id="rId9" Type="http://schemas.openxmlformats.org/officeDocument/2006/relationships/image" Target="../media/image5.emf" /><Relationship Id="rId10" Type="http://schemas.openxmlformats.org/officeDocument/2006/relationships/image" Target="../media/image11.emf" /><Relationship Id="rId11" Type="http://schemas.openxmlformats.org/officeDocument/2006/relationships/image" Target="../media/image10.emf" /><Relationship Id="rId12" Type="http://schemas.openxmlformats.org/officeDocument/2006/relationships/image" Target="../media/image1.emf" /><Relationship Id="rId13" Type="http://schemas.openxmlformats.org/officeDocument/2006/relationships/image" Target="../media/image12.emf" /><Relationship Id="rId14"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7"/>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7"/>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7"/>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8"/>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9"/>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10"/>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9"/>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1"/>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2"/>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3"/>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4"/>
        <a:stretch>
          <a:fillRect/>
        </a:stretch>
      </xdr:blipFill>
      <xdr:spPr>
        <a:xfrm>
          <a:off x="6915150" y="1152525"/>
          <a:ext cx="5619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ew%20Plan\Residential%20Resource%20Assessment\PNWResSectorSupplyCurveUni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WXS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GCS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E\RTF\Proposed%20Measures\Heat%20Pump%20&amp;%20CAC%20Revisions\HPumpCnvertMHNoPTCSre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of Residential Units"/>
      <sheetName val="Total Housing Units"/>
      <sheetName val="Existing Space Heating Units"/>
      <sheetName val="New Space Heating Units"/>
      <sheetName val="DHW &amp; Appliance Units"/>
      <sheetName val="Housing Units by Climate Zone"/>
      <sheetName val="Pre-1980 Space Heating Unit"/>
      <sheetName val="Post79 - Pre93 Units"/>
    </sheetNames>
    <sheetDataSet>
      <sheetData sheetId="0">
        <row r="40">
          <cell r="H40">
            <v>0.6635657272978711</v>
          </cell>
        </row>
        <row r="41">
          <cell r="H41">
            <v>0.33643427270212883</v>
          </cell>
        </row>
      </sheetData>
      <sheetData sheetId="1">
        <row r="56">
          <cell r="AE56">
            <v>0.16753742329322738</v>
          </cell>
        </row>
        <row r="60">
          <cell r="AE60">
            <v>0.01536160391415204</v>
          </cell>
        </row>
        <row r="64">
          <cell r="AE64">
            <v>0.2575726819289561</v>
          </cell>
        </row>
        <row r="68">
          <cell r="AE68">
            <v>0.566366175238462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asureTable"/>
      <sheetName val="ProData"/>
      <sheetName val="SFResWX"/>
      <sheetName val="850SF"/>
      <sheetName val="1350SF"/>
      <sheetName val="2184SF"/>
      <sheetName val="UA Optimizer"/>
      <sheetName val="Cost-Effectiveness Level"/>
      <sheetName val="Lookup Table"/>
      <sheetName val="RESWX ECM Inflation DGP"/>
      <sheetName val="UECResWXCst"/>
      <sheetName val="PacPUDResWXCst"/>
      <sheetName val="Retrofit Cost Data"/>
      <sheetName val="Set Up Cost Analysis"/>
      <sheetName val="EWEB+PUGET SF AVG"/>
      <sheetName val="Summary Table"/>
      <sheetName val="ResWX Base Case"/>
      <sheetName val="LocalSubs"/>
      <sheetName val="M_ProCost"/>
      <sheetName val="ModAPI"/>
      <sheetName val="UtilSubs"/>
    </sheetNames>
    <sheetDataSet>
      <sheetData sheetId="7">
        <row r="7">
          <cell r="CK7">
            <v>1052.6088383925746</v>
          </cell>
          <cell r="CL7">
            <v>499.56799256143074</v>
          </cell>
          <cell r="CM7">
            <v>2895.7258307997</v>
          </cell>
          <cell r="CN7">
            <v>1717.9158287329228</v>
          </cell>
          <cell r="CO7">
            <v>1537.3994687672894</v>
          </cell>
        </row>
        <row r="25">
          <cell r="T25">
            <v>6676.048753208302</v>
          </cell>
        </row>
        <row r="26">
          <cell r="T26">
            <v>7399.634044799308</v>
          </cell>
        </row>
        <row r="27">
          <cell r="T27">
            <v>9490.853108686319</v>
          </cell>
        </row>
        <row r="28">
          <cell r="T28">
            <v>11133.953801740427</v>
          </cell>
        </row>
        <row r="29">
          <cell r="T29">
            <v>12714.3828501494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asureTable"/>
      <sheetName val="ProData"/>
      <sheetName val="LTSGC"/>
      <sheetName val="1344SF"/>
      <sheetName val="2200SF"/>
      <sheetName val="2283SF"/>
      <sheetName val="UA Optimizer "/>
      <sheetName val="Cost-Effectiveness"/>
      <sheetName val="SF Measure Cost"/>
      <sheetName val="WALLS-ABOVE GRADE"/>
      <sheetName val="WALLS-BELOW GRADE"/>
      <sheetName val="ATTICS"/>
      <sheetName val="VAULTS"/>
      <sheetName val="FLOORS"/>
      <sheetName val="WINDOWS"/>
      <sheetName val="SLAB ON GRADE"/>
      <sheetName val="SGC SubMetered Use "/>
      <sheetName val="Lookup Table"/>
    </sheetNames>
    <sheetDataSet>
      <sheetData sheetId="7">
        <row r="42">
          <cell r="B42">
            <v>10735.024896363098</v>
          </cell>
          <cell r="D42">
            <v>7116.937794016425</v>
          </cell>
        </row>
        <row r="43">
          <cell r="B43">
            <v>12289.735283911758</v>
          </cell>
          <cell r="D43">
            <v>8167.86430206662</v>
          </cell>
        </row>
        <row r="44">
          <cell r="B44">
            <v>15298.060170790783</v>
          </cell>
          <cell r="D44">
            <v>10438.97447861429</v>
          </cell>
        </row>
        <row r="45">
          <cell r="B45">
            <v>17661.74401048133</v>
          </cell>
          <cell r="D45">
            <v>12223.418188758948</v>
          </cell>
        </row>
        <row r="46">
          <cell r="B46">
            <v>20838.435557151035</v>
          </cell>
          <cell r="D46">
            <v>14553.22073348928</v>
          </cell>
        </row>
        <row r="109">
          <cell r="AF109">
            <v>1814.8178595539273</v>
          </cell>
          <cell r="AG109">
            <v>916.0839630190364</v>
          </cell>
          <cell r="AH109">
            <v>4485.383667062</v>
          </cell>
          <cell r="AI109">
            <v>2739.907458964782</v>
          </cell>
          <cell r="AJ109">
            <v>2556.3855621422003</v>
          </cell>
        </row>
        <row r="117">
          <cell r="AF117">
            <v>1344.8736501619906</v>
          </cell>
          <cell r="AG117">
            <v>661.9287532975859</v>
          </cell>
          <cell r="AH117">
            <v>3444.723808704605</v>
          </cell>
          <cell r="AI117">
            <v>2079.987959474042</v>
          </cell>
          <cell r="AJ117">
            <v>1901.9390386076884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asure Table - Part Load Adj."/>
      <sheetName val="MeasureTable"/>
      <sheetName val="ProData"/>
      <sheetName val="HP Conversions"/>
      <sheetName val="CAC &amp; HP Convert Use &amp; Savings"/>
      <sheetName val="CAC &amp; HP Use &amp; Savings"/>
      <sheetName val="Central AC and HP Cost vs SEER"/>
      <sheetName val="Zonal to Ducted System Cost"/>
      <sheetName val="Energy Star Central AC Models"/>
      <sheetName val="Energy Star Heat Pump Models"/>
      <sheetName val="SGC SubMetered Use "/>
      <sheetName val="Sales Wght Avg SEER by Vintage "/>
      <sheetName val="LookupTable"/>
    </sheetNames>
    <sheetDataSet>
      <sheetData sheetId="7">
        <row r="4">
          <cell r="E4">
            <v>2080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8"/>
  <dimension ref="A2:AL39"/>
  <sheetViews>
    <sheetView workbookViewId="0" topLeftCell="A1">
      <selection activeCell="B93" sqref="B93"/>
    </sheetView>
  </sheetViews>
  <sheetFormatPr defaultColWidth="9.140625" defaultRowHeight="12.75"/>
  <cols>
    <col min="1" max="1" width="27.57421875" style="0" customWidth="1"/>
    <col min="2" max="2" width="41.7109375" style="0" customWidth="1"/>
    <col min="3" max="3" width="18.421875" style="0" customWidth="1"/>
    <col min="4" max="4" width="8.421875" style="0" customWidth="1"/>
    <col min="5" max="5" width="11.57421875" style="0" customWidth="1"/>
    <col min="6" max="6" width="10.8515625" style="0" customWidth="1"/>
    <col min="7" max="7" width="11.8515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3.0039062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17.5742187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1.28125" style="0" bestFit="1" customWidth="1"/>
  </cols>
  <sheetData>
    <row r="1" ht="13.5" thickBot="1"/>
    <row r="2" spans="1:36" s="76" customFormat="1" ht="33" customHeight="1" thickBot="1">
      <c r="A2" s="479" t="s">
        <v>111</v>
      </c>
      <c r="B2" s="480"/>
      <c r="C2" s="480"/>
      <c r="D2" s="480"/>
      <c r="E2" s="480"/>
      <c r="F2" s="480"/>
      <c r="G2" s="480"/>
      <c r="H2" s="480"/>
      <c r="I2" s="480"/>
      <c r="J2" s="480"/>
      <c r="K2" s="480"/>
      <c r="L2" s="480"/>
      <c r="M2" s="480"/>
      <c r="N2" s="480"/>
      <c r="O2" s="480"/>
      <c r="P2" s="480"/>
      <c r="Q2" s="480"/>
      <c r="R2" s="480"/>
      <c r="S2" s="480"/>
      <c r="T2" s="480"/>
      <c r="U2" s="480"/>
      <c r="V2" s="480"/>
      <c r="W2" s="481"/>
      <c r="X2" s="479" t="s">
        <v>112</v>
      </c>
      <c r="Y2" s="480"/>
      <c r="Z2" s="481"/>
      <c r="AA2" s="480" t="s">
        <v>113</v>
      </c>
      <c r="AB2" s="480"/>
      <c r="AC2" s="480"/>
      <c r="AD2" s="483"/>
      <c r="AE2" s="482" t="s">
        <v>114</v>
      </c>
      <c r="AF2" s="480"/>
      <c r="AG2" s="480"/>
      <c r="AH2" s="483"/>
      <c r="AI2" s="74"/>
      <c r="AJ2" s="75"/>
    </row>
    <row r="3" spans="1:38" s="80" customFormat="1" ht="79.5" thickBot="1">
      <c r="A3" s="77" t="s">
        <v>115</v>
      </c>
      <c r="B3" s="78" t="s">
        <v>116</v>
      </c>
      <c r="C3" s="78" t="s">
        <v>117</v>
      </c>
      <c r="D3" s="78" t="s">
        <v>118</v>
      </c>
      <c r="E3" s="78" t="s">
        <v>148</v>
      </c>
      <c r="F3" s="78" t="s">
        <v>149</v>
      </c>
      <c r="G3" s="78" t="s">
        <v>150</v>
      </c>
      <c r="H3" s="78" t="s">
        <v>119</v>
      </c>
      <c r="I3" s="78" t="s">
        <v>151</v>
      </c>
      <c r="J3" s="78" t="s">
        <v>120</v>
      </c>
      <c r="K3" s="78" t="s">
        <v>121</v>
      </c>
      <c r="L3" s="78" t="s">
        <v>122</v>
      </c>
      <c r="M3" s="78" t="s">
        <v>123</v>
      </c>
      <c r="N3" s="78" t="s">
        <v>152</v>
      </c>
      <c r="O3" s="78" t="s">
        <v>124</v>
      </c>
      <c r="P3" s="78" t="s">
        <v>153</v>
      </c>
      <c r="Q3" s="78" t="s">
        <v>125</v>
      </c>
      <c r="R3" s="78" t="s">
        <v>126</v>
      </c>
      <c r="S3" s="78" t="s">
        <v>130</v>
      </c>
      <c r="T3" s="78" t="s">
        <v>131</v>
      </c>
      <c r="U3" s="78" t="s">
        <v>132</v>
      </c>
      <c r="V3" s="78" t="s">
        <v>133</v>
      </c>
      <c r="W3" s="78" t="s">
        <v>134</v>
      </c>
      <c r="X3" s="77" t="s">
        <v>135</v>
      </c>
      <c r="Y3" s="77" t="s">
        <v>136</v>
      </c>
      <c r="Z3" s="78" t="s">
        <v>137</v>
      </c>
      <c r="AA3" s="78" t="s">
        <v>138</v>
      </c>
      <c r="AB3" s="78" t="s">
        <v>139</v>
      </c>
      <c r="AC3" s="78" t="s">
        <v>140</v>
      </c>
      <c r="AD3" s="78" t="s">
        <v>141</v>
      </c>
      <c r="AE3" s="78" t="s">
        <v>142</v>
      </c>
      <c r="AF3" s="78" t="s">
        <v>143</v>
      </c>
      <c r="AG3" s="78" t="s">
        <v>144</v>
      </c>
      <c r="AH3" s="79" t="s">
        <v>134</v>
      </c>
      <c r="AI3" s="95" t="s">
        <v>145</v>
      </c>
      <c r="AJ3" s="95" t="s">
        <v>146</v>
      </c>
      <c r="AK3" s="76"/>
      <c r="AL3" s="76"/>
    </row>
    <row r="4" spans="1:37" ht="67.5">
      <c r="A4" s="88" t="s">
        <v>422</v>
      </c>
      <c r="B4" s="81" t="s">
        <v>401</v>
      </c>
      <c r="C4" s="81" t="s">
        <v>156</v>
      </c>
      <c r="D4" s="81" t="s">
        <v>157</v>
      </c>
      <c r="E4" s="82">
        <v>1025.86</v>
      </c>
      <c r="F4" s="82">
        <v>15.008332737965063</v>
      </c>
      <c r="G4" s="82">
        <v>14.473712921142578</v>
      </c>
      <c r="H4" s="83">
        <v>18</v>
      </c>
      <c r="I4" s="83" t="s">
        <v>158</v>
      </c>
      <c r="J4" s="83">
        <v>3277.113596117425</v>
      </c>
      <c r="K4" s="83">
        <v>3526.9935078213784</v>
      </c>
      <c r="L4" s="85">
        <v>0.3140313923358917</v>
      </c>
      <c r="M4" s="85">
        <v>0.8002332087267879</v>
      </c>
      <c r="N4" s="89">
        <v>0.2908604500194016</v>
      </c>
      <c r="O4" s="89">
        <v>0.05072845893130609</v>
      </c>
      <c r="P4" s="89">
        <v>0.004103697069202427</v>
      </c>
      <c r="Q4" s="89">
        <v>0.2908604500194016</v>
      </c>
      <c r="R4" s="84">
        <v>0.35275129055541693</v>
      </c>
      <c r="S4" s="84">
        <v>0.008114411397382358</v>
      </c>
      <c r="T4" s="84">
        <v>0.052360987967368905</v>
      </c>
      <c r="U4" s="84">
        <v>0.41285873247713434</v>
      </c>
      <c r="V4" s="84">
        <v>0.12199828245773275</v>
      </c>
      <c r="W4" s="85">
        <v>1.4194392274700633</v>
      </c>
      <c r="X4" s="85">
        <v>0.1838880254124076</v>
      </c>
      <c r="Y4" s="90">
        <v>2.5274996757507324</v>
      </c>
      <c r="Z4" s="85">
        <v>0.17085995392558198</v>
      </c>
      <c r="AA4" s="84" t="s">
        <v>159</v>
      </c>
      <c r="AB4" s="91" t="s">
        <v>160</v>
      </c>
      <c r="AC4" s="84">
        <v>0</v>
      </c>
      <c r="AD4" s="84">
        <v>0.07152783786170096</v>
      </c>
      <c r="AE4" s="84">
        <v>0.34569261682239627</v>
      </c>
      <c r="AF4" s="84">
        <v>0.6552465401038643</v>
      </c>
      <c r="AG4" s="84">
        <v>0.309553923281468</v>
      </c>
      <c r="AH4" s="85">
        <v>1.8954600365112948</v>
      </c>
      <c r="AI4" s="96" t="s">
        <v>161</v>
      </c>
      <c r="AJ4" s="96" t="s">
        <v>162</v>
      </c>
      <c r="AK4" s="365">
        <f>K4*U4*0.8</f>
        <v>1164.920055275373</v>
      </c>
    </row>
    <row r="5" spans="1:37" ht="67.5">
      <c r="A5" s="88" t="s">
        <v>428</v>
      </c>
      <c r="B5" s="81" t="s">
        <v>401</v>
      </c>
      <c r="C5" s="81" t="s">
        <v>156</v>
      </c>
      <c r="D5" s="81" t="s">
        <v>399</v>
      </c>
      <c r="E5" s="82">
        <v>1025.86</v>
      </c>
      <c r="F5" s="82">
        <v>15.008332737965063</v>
      </c>
      <c r="G5" s="82">
        <v>14.473712921142578</v>
      </c>
      <c r="H5" s="83">
        <v>18</v>
      </c>
      <c r="I5" s="83" t="s">
        <v>158</v>
      </c>
      <c r="J5" s="83">
        <v>3145.3818000358106</v>
      </c>
      <c r="K5" s="83">
        <v>3385.2171622885407</v>
      </c>
      <c r="L5" s="85">
        <v>0.3271833658218384</v>
      </c>
      <c r="M5" s="85">
        <v>0.8002332087267879</v>
      </c>
      <c r="N5" s="89">
        <v>0.3030419821595463</v>
      </c>
      <c r="O5" s="89">
        <v>0.052853018502229177</v>
      </c>
      <c r="P5" s="89">
        <v>0.004275564085631001</v>
      </c>
      <c r="Q5" s="89">
        <v>0.3030419821595463</v>
      </c>
      <c r="R5" s="84">
        <v>0.3398598091198201</v>
      </c>
      <c r="S5" s="84">
        <v>0.008454251218262014</v>
      </c>
      <c r="T5" s="84">
        <v>0.05114728997794575</v>
      </c>
      <c r="U5" s="84">
        <v>0.399077981313327</v>
      </c>
      <c r="V5" s="84">
        <v>0.0960359991537807</v>
      </c>
      <c r="W5" s="85">
        <v>1.316906583270761</v>
      </c>
      <c r="X5" s="85">
        <v>0.1843728588565516</v>
      </c>
      <c r="Y5" s="90">
        <v>2.4322967529296875</v>
      </c>
      <c r="Z5" s="85">
        <v>0.17131043796195275</v>
      </c>
      <c r="AA5" s="84" t="s">
        <v>159</v>
      </c>
      <c r="AB5" s="91" t="s">
        <v>160</v>
      </c>
      <c r="AC5" s="84">
        <v>0</v>
      </c>
      <c r="AD5" s="84">
        <v>0.07152783786170096</v>
      </c>
      <c r="AE5" s="84">
        <v>0.3601705760023118</v>
      </c>
      <c r="AF5" s="84">
        <v>0.6419162419220392</v>
      </c>
      <c r="AG5" s="84">
        <v>0.28174566591972744</v>
      </c>
      <c r="AH5" s="85">
        <v>1.7822561994012498</v>
      </c>
      <c r="AI5" s="96" t="s">
        <v>161</v>
      </c>
      <c r="AJ5" s="96" t="s">
        <v>162</v>
      </c>
      <c r="AK5" s="365">
        <f aca="true" t="shared" si="0" ref="AK5:AK39">K5*U5*0.8</f>
        <v>1080.772505146672</v>
      </c>
    </row>
    <row r="6" spans="1:37" ht="56.25">
      <c r="A6" s="88" t="s">
        <v>427</v>
      </c>
      <c r="B6" s="81" t="s">
        <v>401</v>
      </c>
      <c r="C6" s="81" t="s">
        <v>156</v>
      </c>
      <c r="D6" s="81" t="s">
        <v>398</v>
      </c>
      <c r="E6" s="82">
        <v>1025.86</v>
      </c>
      <c r="F6" s="82">
        <v>15.008332737965063</v>
      </c>
      <c r="G6" s="82">
        <v>14.473712921142578</v>
      </c>
      <c r="H6" s="83">
        <v>18</v>
      </c>
      <c r="I6" s="83" t="s">
        <v>158</v>
      </c>
      <c r="J6" s="83">
        <v>3071.750656556749</v>
      </c>
      <c r="K6" s="83">
        <v>3305.9716441192013</v>
      </c>
      <c r="L6" s="85">
        <v>0.3350260853767395</v>
      </c>
      <c r="M6" s="85">
        <v>0.8002332087267879</v>
      </c>
      <c r="N6" s="89">
        <v>0.31030602477346747</v>
      </c>
      <c r="O6" s="89">
        <v>0.05411992738375975</v>
      </c>
      <c r="P6" s="89">
        <v>0.004378051138729219</v>
      </c>
      <c r="Q6" s="89">
        <v>0.31030602477346747</v>
      </c>
      <c r="R6" s="84">
        <v>0.3356330544488052</v>
      </c>
      <c r="S6" s="84">
        <v>0.008656903143518753</v>
      </c>
      <c r="T6" s="84">
        <v>0.05076960211948586</v>
      </c>
      <c r="U6" s="84">
        <v>0.394667005232917</v>
      </c>
      <c r="V6" s="84">
        <v>0.08436098045944951</v>
      </c>
      <c r="W6" s="85">
        <v>1.2718638174074626</v>
      </c>
      <c r="X6" s="85">
        <v>0.1846619723046812</v>
      </c>
      <c r="Y6" s="90">
        <v>2.3790831565856934</v>
      </c>
      <c r="Z6" s="85">
        <v>0.1715790683434901</v>
      </c>
      <c r="AA6" s="84" t="s">
        <v>159</v>
      </c>
      <c r="AB6" s="91" t="s">
        <v>160</v>
      </c>
      <c r="AC6" s="84">
        <v>0</v>
      </c>
      <c r="AD6" s="84">
        <v>0.07152783786170096</v>
      </c>
      <c r="AE6" s="84">
        <v>0.3688040148206465</v>
      </c>
      <c r="AF6" s="84">
        <v>0.6377738920097424</v>
      </c>
      <c r="AG6" s="84">
        <v>0.26896987718909593</v>
      </c>
      <c r="AH6" s="85">
        <v>1.7293030075063012</v>
      </c>
      <c r="AI6" s="96" t="s">
        <v>161</v>
      </c>
      <c r="AJ6" s="96" t="s">
        <v>162</v>
      </c>
      <c r="AK6" s="365">
        <f t="shared" si="0"/>
        <v>1043.8063425355745</v>
      </c>
    </row>
    <row r="7" spans="1:37" ht="56.25">
      <c r="A7" s="88" t="s">
        <v>413</v>
      </c>
      <c r="B7" s="81" t="s">
        <v>401</v>
      </c>
      <c r="C7" s="81" t="s">
        <v>163</v>
      </c>
      <c r="D7" s="81" t="s">
        <v>157</v>
      </c>
      <c r="E7" s="82">
        <v>1025.86</v>
      </c>
      <c r="F7" s="82">
        <v>15.008332737965063</v>
      </c>
      <c r="G7" s="82">
        <v>14.473712921142578</v>
      </c>
      <c r="H7" s="83">
        <v>18</v>
      </c>
      <c r="I7" s="83" t="s">
        <v>158</v>
      </c>
      <c r="J7" s="83">
        <v>2878.9400966964877</v>
      </c>
      <c r="K7" s="83">
        <v>3098.4592790695947</v>
      </c>
      <c r="L7" s="85">
        <v>0.3110424876213074</v>
      </c>
      <c r="M7" s="85">
        <v>0.6963126649729474</v>
      </c>
      <c r="N7" s="89">
        <v>0.3310880752347599</v>
      </c>
      <c r="O7" s="89">
        <v>0.05774448821100072</v>
      </c>
      <c r="P7" s="89">
        <v>0.004671261300386928</v>
      </c>
      <c r="Q7" s="89">
        <v>0.3310880752347599</v>
      </c>
      <c r="R7" s="84">
        <v>0.354466762020862</v>
      </c>
      <c r="S7" s="84">
        <v>0.008037178460418718</v>
      </c>
      <c r="T7" s="84">
        <v>0.05251538981782604</v>
      </c>
      <c r="U7" s="84">
        <v>0.41465487626955805</v>
      </c>
      <c r="V7" s="84">
        <v>0.08356680103479813</v>
      </c>
      <c r="W7" s="85">
        <v>1.252400516012377</v>
      </c>
      <c r="X7" s="85">
        <v>0.1837778385144957</v>
      </c>
      <c r="Y7" s="90">
        <v>2.2190747261047363</v>
      </c>
      <c r="Z7" s="85">
        <v>0.1707575735326325</v>
      </c>
      <c r="AA7" s="84" t="s">
        <v>159</v>
      </c>
      <c r="AB7" s="91" t="s">
        <v>160</v>
      </c>
      <c r="AC7" s="84">
        <v>0</v>
      </c>
      <c r="AD7" s="84">
        <v>0.07152783786170096</v>
      </c>
      <c r="AE7" s="84">
        <v>0.3935038370426779</v>
      </c>
      <c r="AF7" s="84">
        <v>0.6569402732825638</v>
      </c>
      <c r="AG7" s="84">
        <v>0.2634364362398859</v>
      </c>
      <c r="AH7" s="85">
        <v>1.669463449758724</v>
      </c>
      <c r="AI7" s="96" t="s">
        <v>161</v>
      </c>
      <c r="AJ7" s="96" t="s">
        <v>162</v>
      </c>
      <c r="AK7" s="365">
        <f t="shared" si="0"/>
        <v>1027.8329991910934</v>
      </c>
    </row>
    <row r="8" spans="1:37" ht="56.25">
      <c r="A8" s="88" t="s">
        <v>425</v>
      </c>
      <c r="B8" s="81" t="s">
        <v>401</v>
      </c>
      <c r="C8" s="81" t="s">
        <v>156</v>
      </c>
      <c r="D8" s="81" t="s">
        <v>164</v>
      </c>
      <c r="E8" s="82">
        <v>1025.86</v>
      </c>
      <c r="F8" s="82">
        <v>15.008332737965063</v>
      </c>
      <c r="G8" s="82">
        <v>14.473712921142578</v>
      </c>
      <c r="H8" s="83">
        <v>18</v>
      </c>
      <c r="I8" s="83" t="s">
        <v>158</v>
      </c>
      <c r="J8" s="83">
        <v>2684.4376592502003</v>
      </c>
      <c r="K8" s="83">
        <v>2889.1260307680277</v>
      </c>
      <c r="L8" s="85">
        <v>0.30498629808425903</v>
      </c>
      <c r="M8" s="85">
        <v>0.6366278192186932</v>
      </c>
      <c r="N8" s="89">
        <v>0.35507724757432085</v>
      </c>
      <c r="O8" s="89">
        <v>0.061928397517825584</v>
      </c>
      <c r="P8" s="89">
        <v>0.005009720160008033</v>
      </c>
      <c r="Q8" s="89">
        <v>0.35507724757432085</v>
      </c>
      <c r="R8" s="84">
        <v>0.3574558349845308</v>
      </c>
      <c r="S8" s="84">
        <v>0.00788068937884877</v>
      </c>
      <c r="T8" s="84">
        <v>0.05277955487740897</v>
      </c>
      <c r="U8" s="84">
        <v>0.41775872054263274</v>
      </c>
      <c r="V8" s="84">
        <v>0.06268147296831189</v>
      </c>
      <c r="W8" s="85">
        <v>1.1765291169640266</v>
      </c>
      <c r="X8" s="85">
        <v>0.18355458657370782</v>
      </c>
      <c r="Y8" s="90">
        <v>2.0666396617889404</v>
      </c>
      <c r="Z8" s="85">
        <v>0.17055013851215597</v>
      </c>
      <c r="AA8" s="84" t="s">
        <v>159</v>
      </c>
      <c r="AB8" s="91" t="s">
        <v>160</v>
      </c>
      <c r="AC8" s="84">
        <v>0</v>
      </c>
      <c r="AD8" s="84">
        <v>0.07152783786170097</v>
      </c>
      <c r="AE8" s="84">
        <v>0.4220153784396368</v>
      </c>
      <c r="AF8" s="84">
        <v>0.6598366765788345</v>
      </c>
      <c r="AG8" s="84">
        <v>0.23782129813919767</v>
      </c>
      <c r="AH8" s="85">
        <v>1.56353704222467</v>
      </c>
      <c r="AI8" s="96" t="s">
        <v>161</v>
      </c>
      <c r="AJ8" s="96" t="s">
        <v>162</v>
      </c>
      <c r="AK8" s="365">
        <f t="shared" si="0"/>
        <v>965.566075280053</v>
      </c>
    </row>
    <row r="9" spans="1:37" ht="56.25">
      <c r="A9" s="88" t="s">
        <v>419</v>
      </c>
      <c r="B9" s="81" t="s">
        <v>401</v>
      </c>
      <c r="C9" s="81" t="s">
        <v>163</v>
      </c>
      <c r="D9" s="81" t="s">
        <v>399</v>
      </c>
      <c r="E9" s="82">
        <v>1025.86</v>
      </c>
      <c r="F9" s="82">
        <v>15.008332737965063</v>
      </c>
      <c r="G9" s="82">
        <v>14.473712921142578</v>
      </c>
      <c r="H9" s="83">
        <v>18</v>
      </c>
      <c r="I9" s="83" t="s">
        <v>158</v>
      </c>
      <c r="J9" s="83">
        <v>2754.7118114931923</v>
      </c>
      <c r="K9" s="83">
        <v>2964.758587119548</v>
      </c>
      <c r="L9" s="85">
        <v>0.32506945729255676</v>
      </c>
      <c r="M9" s="85">
        <v>0.6963126649729474</v>
      </c>
      <c r="N9" s="89">
        <v>0.3460190395795852</v>
      </c>
      <c r="O9" s="89">
        <v>0.06034857141145215</v>
      </c>
      <c r="P9" s="89">
        <v>0.004881919554605191</v>
      </c>
      <c r="Q9" s="89">
        <v>0.3460190395795852</v>
      </c>
      <c r="R9" s="84">
        <v>0.3406670260797598</v>
      </c>
      <c r="S9" s="84">
        <v>0.008399628315915389</v>
      </c>
      <c r="T9" s="84">
        <v>0.051215887721720636</v>
      </c>
      <c r="U9" s="84">
        <v>0.3999016501789169</v>
      </c>
      <c r="V9" s="84">
        <v>0.05388261059933169</v>
      </c>
      <c r="W9" s="85">
        <v>1.1557215194423964</v>
      </c>
      <c r="X9" s="85">
        <v>0.18429493830942237</v>
      </c>
      <c r="Y9" s="90">
        <v>2.1292946338653564</v>
      </c>
      <c r="Z9" s="85">
        <v>0.1712380379181625</v>
      </c>
      <c r="AA9" s="84" t="s">
        <v>159</v>
      </c>
      <c r="AB9" s="91" t="s">
        <v>160</v>
      </c>
      <c r="AC9" s="84">
        <v>0</v>
      </c>
      <c r="AD9" s="84">
        <v>0.07152783786170096</v>
      </c>
      <c r="AE9" s="84">
        <v>0.4112495433967052</v>
      </c>
      <c r="AF9" s="84">
        <v>0.6426675461045669</v>
      </c>
      <c r="AG9" s="84">
        <v>0.23141800270786167</v>
      </c>
      <c r="AH9" s="85">
        <v>1.5627191723946257</v>
      </c>
      <c r="AI9" s="96" t="s">
        <v>161</v>
      </c>
      <c r="AJ9" s="96" t="s">
        <v>162</v>
      </c>
      <c r="AK9" s="365">
        <f t="shared" si="0"/>
        <v>948.4894810969771</v>
      </c>
    </row>
    <row r="10" spans="1:37" ht="56.25">
      <c r="A10" s="88" t="s">
        <v>418</v>
      </c>
      <c r="B10" s="81" t="s">
        <v>401</v>
      </c>
      <c r="C10" s="81" t="s">
        <v>163</v>
      </c>
      <c r="D10" s="81" t="s">
        <v>398</v>
      </c>
      <c r="E10" s="82">
        <v>1025.86</v>
      </c>
      <c r="F10" s="82">
        <v>15.008332737965063</v>
      </c>
      <c r="G10" s="82">
        <v>14.473712921142578</v>
      </c>
      <c r="H10" s="83">
        <v>18</v>
      </c>
      <c r="I10" s="83" t="s">
        <v>158</v>
      </c>
      <c r="J10" s="83">
        <v>2698.8774965569914</v>
      </c>
      <c r="K10" s="83">
        <v>2904.666905669462</v>
      </c>
      <c r="L10" s="85">
        <v>0.33179447054862976</v>
      </c>
      <c r="M10" s="85">
        <v>0.6963126649729474</v>
      </c>
      <c r="N10" s="89">
        <v>0.353177473430123</v>
      </c>
      <c r="O10" s="89">
        <v>0.06159706125452038</v>
      </c>
      <c r="P10" s="89">
        <v>0.004982916592911953</v>
      </c>
      <c r="Q10" s="89">
        <v>0.353177473430123</v>
      </c>
      <c r="R10" s="84">
        <v>0.33666774714752445</v>
      </c>
      <c r="S10" s="84">
        <v>0.008573399631336761</v>
      </c>
      <c r="T10" s="84">
        <v>0.05085454018483559</v>
      </c>
      <c r="U10" s="84">
        <v>0.3957069144849955</v>
      </c>
      <c r="V10" s="84">
        <v>0.0425294410548725</v>
      </c>
      <c r="W10" s="85">
        <v>1.1204194611899194</v>
      </c>
      <c r="X10" s="85">
        <v>0.1845428567498171</v>
      </c>
      <c r="Y10" s="90">
        <v>2.0889430046081543</v>
      </c>
      <c r="Z10" s="85">
        <v>0.17146839186974877</v>
      </c>
      <c r="AA10" s="84" t="s">
        <v>159</v>
      </c>
      <c r="AB10" s="91" t="s">
        <v>160</v>
      </c>
      <c r="AC10" s="84">
        <v>0</v>
      </c>
      <c r="AD10" s="84">
        <v>0.07152783786170096</v>
      </c>
      <c r="AE10" s="84">
        <v>0.41975746439448053</v>
      </c>
      <c r="AF10" s="84">
        <v>0.6387031315059601</v>
      </c>
      <c r="AG10" s="84">
        <v>0.2189456671114796</v>
      </c>
      <c r="AH10" s="85">
        <v>1.5216004137706491</v>
      </c>
      <c r="AI10" s="96" t="s">
        <v>161</v>
      </c>
      <c r="AJ10" s="96" t="s">
        <v>162</v>
      </c>
      <c r="AK10" s="365">
        <f t="shared" si="0"/>
        <v>919.5174230793139</v>
      </c>
    </row>
    <row r="11" spans="1:37" ht="56.25">
      <c r="A11" s="88" t="s">
        <v>431</v>
      </c>
      <c r="B11" s="81" t="s">
        <v>401</v>
      </c>
      <c r="C11" s="81" t="s">
        <v>166</v>
      </c>
      <c r="D11" s="81" t="s">
        <v>157</v>
      </c>
      <c r="E11" s="82">
        <v>1025.86</v>
      </c>
      <c r="F11" s="82">
        <v>15.008332737965063</v>
      </c>
      <c r="G11" s="82">
        <v>14.473712921142578</v>
      </c>
      <c r="H11" s="83">
        <v>18</v>
      </c>
      <c r="I11" s="83" t="s">
        <v>158</v>
      </c>
      <c r="J11" s="83">
        <v>2481.1525185471905</v>
      </c>
      <c r="K11" s="83">
        <v>2670.340398086413</v>
      </c>
      <c r="L11" s="85">
        <v>0.3012233078479767</v>
      </c>
      <c r="M11" s="85">
        <v>0.5811577412479979</v>
      </c>
      <c r="N11" s="89">
        <v>0.3841693439666251</v>
      </c>
      <c r="O11" s="89">
        <v>0.0670022988232941</v>
      </c>
      <c r="P11" s="89">
        <v>0.005420175244891833</v>
      </c>
      <c r="Q11" s="89">
        <v>0.3841693439666251</v>
      </c>
      <c r="R11" s="84">
        <v>0.3601023470568495</v>
      </c>
      <c r="S11" s="84">
        <v>0.007783456804282208</v>
      </c>
      <c r="T11" s="84">
        <v>0.05302261840582932</v>
      </c>
      <c r="U11" s="84">
        <v>0.4205554699081667</v>
      </c>
      <c r="V11" s="84">
        <v>0.036386125941541614</v>
      </c>
      <c r="W11" s="85">
        <v>1.0947137675428436</v>
      </c>
      <c r="X11" s="85">
        <v>0.1834158641004323</v>
      </c>
      <c r="Y11" s="90">
        <v>1.9086949825286865</v>
      </c>
      <c r="Z11" s="85">
        <v>0.170421244228044</v>
      </c>
      <c r="AA11" s="84" t="s">
        <v>159</v>
      </c>
      <c r="AB11" s="91" t="s">
        <v>160</v>
      </c>
      <c r="AC11" s="84">
        <v>0</v>
      </c>
      <c r="AD11" s="84">
        <v>0.07152783786170096</v>
      </c>
      <c r="AE11" s="84">
        <v>0.4565918323027668</v>
      </c>
      <c r="AF11" s="84">
        <v>0.6625045526653447</v>
      </c>
      <c r="AG11" s="84">
        <v>0.2059127203625779</v>
      </c>
      <c r="AH11" s="85">
        <v>1.45097766932028</v>
      </c>
      <c r="AI11" s="96" t="s">
        <v>161</v>
      </c>
      <c r="AJ11" s="96" t="s">
        <v>162</v>
      </c>
      <c r="AK11" s="365">
        <f t="shared" si="0"/>
        <v>898.421008745594</v>
      </c>
    </row>
    <row r="12" spans="1:37" ht="56.25">
      <c r="A12" s="88" t="s">
        <v>421</v>
      </c>
      <c r="B12" s="81" t="s">
        <v>401</v>
      </c>
      <c r="C12" s="81" t="s">
        <v>156</v>
      </c>
      <c r="D12" s="81" t="s">
        <v>165</v>
      </c>
      <c r="E12" s="82">
        <v>1025.86</v>
      </c>
      <c r="F12" s="82">
        <v>15.008332737965063</v>
      </c>
      <c r="G12" s="82">
        <v>14.473712921142578</v>
      </c>
      <c r="H12" s="83">
        <v>18</v>
      </c>
      <c r="I12" s="83" t="s">
        <v>158</v>
      </c>
      <c r="J12" s="83">
        <v>2552.705863168586</v>
      </c>
      <c r="K12" s="83">
        <v>2747.34968523519</v>
      </c>
      <c r="L12" s="85">
        <v>0.3207250237464905</v>
      </c>
      <c r="M12" s="85">
        <v>0.6366278192186932</v>
      </c>
      <c r="N12" s="89">
        <v>0.3734009268691305</v>
      </c>
      <c r="O12" s="89">
        <v>0.06512419815870052</v>
      </c>
      <c r="P12" s="89">
        <v>0.005268245611007301</v>
      </c>
      <c r="Q12" s="89">
        <v>0.3734009268691305</v>
      </c>
      <c r="R12" s="84">
        <v>0.34181404343629873</v>
      </c>
      <c r="S12" s="84">
        <v>0.00828737053284136</v>
      </c>
      <c r="T12" s="84">
        <v>0.051305665915066245</v>
      </c>
      <c r="U12" s="84">
        <v>0.4010312783845249</v>
      </c>
      <c r="V12" s="84">
        <v>0.02763035151539439</v>
      </c>
      <c r="W12" s="85">
        <v>1.0739964727647242</v>
      </c>
      <c r="X12" s="85">
        <v>0.18413479141951553</v>
      </c>
      <c r="Y12" s="90">
        <v>1.971436619758606</v>
      </c>
      <c r="Z12" s="85">
        <v>0.17108923709130364</v>
      </c>
      <c r="AA12" s="84" t="s">
        <v>159</v>
      </c>
      <c r="AB12" s="91" t="s">
        <v>160</v>
      </c>
      <c r="AC12" s="84">
        <v>0</v>
      </c>
      <c r="AD12" s="84">
        <v>0.07152783786170097</v>
      </c>
      <c r="AE12" s="84">
        <v>0.4437933845068576</v>
      </c>
      <c r="AF12" s="84">
        <v>0.6436483706245498</v>
      </c>
      <c r="AG12" s="84">
        <v>0.1998549861176922</v>
      </c>
      <c r="AH12" s="85">
        <v>1.4503334053520665</v>
      </c>
      <c r="AI12" s="96" t="s">
        <v>161</v>
      </c>
      <c r="AJ12" s="96" t="s">
        <v>162</v>
      </c>
      <c r="AK12" s="365">
        <f t="shared" si="0"/>
        <v>881.4185251513524</v>
      </c>
    </row>
    <row r="13" spans="1:37" ht="56.25">
      <c r="A13" s="88" t="s">
        <v>426</v>
      </c>
      <c r="B13" s="81" t="s">
        <v>401</v>
      </c>
      <c r="C13" s="81" t="s">
        <v>156</v>
      </c>
      <c r="D13" s="81" t="s">
        <v>397</v>
      </c>
      <c r="E13" s="82">
        <v>1025.86</v>
      </c>
      <c r="F13" s="82">
        <v>15.008332737965063</v>
      </c>
      <c r="G13" s="82">
        <v>14.473712921142578</v>
      </c>
      <c r="H13" s="83">
        <v>18</v>
      </c>
      <c r="I13" s="83" t="s">
        <v>158</v>
      </c>
      <c r="J13" s="83">
        <v>2479.0747196895245</v>
      </c>
      <c r="K13" s="83">
        <v>2668.1041670658506</v>
      </c>
      <c r="L13" s="85">
        <v>0.33025091886520386</v>
      </c>
      <c r="M13" s="85">
        <v>0.6366278192186932</v>
      </c>
      <c r="N13" s="89">
        <v>0.384491329672705</v>
      </c>
      <c r="O13" s="89">
        <v>0.06705845578332856</v>
      </c>
      <c r="P13" s="89">
        <v>0.005424718082525058</v>
      </c>
      <c r="Q13" s="89">
        <v>0.384491329672705</v>
      </c>
      <c r="R13" s="84">
        <v>0.3366348353122072</v>
      </c>
      <c r="S13" s="84">
        <v>0.008533514210529385</v>
      </c>
      <c r="T13" s="84">
        <v>0.05084239333236043</v>
      </c>
      <c r="U13" s="84">
        <v>0.3956237789381879</v>
      </c>
      <c r="V13" s="84">
        <v>0.011132449265482902</v>
      </c>
      <c r="W13" s="85">
        <v>1.0289537069014256</v>
      </c>
      <c r="X13" s="85">
        <v>0.18448596508812706</v>
      </c>
      <c r="Y13" s="90">
        <v>1.9182231426239014</v>
      </c>
      <c r="Z13" s="85">
        <v>0.17141553086004838</v>
      </c>
      <c r="AA13" s="84" t="s">
        <v>159</v>
      </c>
      <c r="AB13" s="91" t="s">
        <v>160</v>
      </c>
      <c r="AC13" s="84">
        <v>0</v>
      </c>
      <c r="AD13" s="84">
        <v>0.07152783786170096</v>
      </c>
      <c r="AE13" s="84">
        <v>0.45697451781847276</v>
      </c>
      <c r="AF13" s="84">
        <v>0.6385671492536408</v>
      </c>
      <c r="AG13" s="84">
        <v>0.18159263143516802</v>
      </c>
      <c r="AH13" s="85">
        <v>1.3973802134571174</v>
      </c>
      <c r="AI13" s="96" t="s">
        <v>161</v>
      </c>
      <c r="AJ13" s="96" t="s">
        <v>162</v>
      </c>
      <c r="AK13" s="365">
        <f t="shared" si="0"/>
        <v>844.4523625402544</v>
      </c>
    </row>
    <row r="14" spans="1:37" ht="56.25">
      <c r="A14" s="88" t="s">
        <v>416</v>
      </c>
      <c r="B14" s="81" t="s">
        <v>401</v>
      </c>
      <c r="C14" s="81" t="s">
        <v>163</v>
      </c>
      <c r="D14" s="81" t="s">
        <v>164</v>
      </c>
      <c r="E14" s="82">
        <v>1025.86</v>
      </c>
      <c r="F14" s="82">
        <v>15.008332737965063</v>
      </c>
      <c r="G14" s="82">
        <v>14.473712921142578</v>
      </c>
      <c r="H14" s="83">
        <v>18</v>
      </c>
      <c r="I14" s="83" t="s">
        <v>158</v>
      </c>
      <c r="J14" s="83">
        <v>2366.944729546959</v>
      </c>
      <c r="K14" s="83">
        <v>2547.4242651749146</v>
      </c>
      <c r="L14" s="85">
        <v>0.3015339970588684</v>
      </c>
      <c r="M14" s="85">
        <v>0.5549787651834504</v>
      </c>
      <c r="N14" s="89">
        <v>0.4027059539805376</v>
      </c>
      <c r="O14" s="89">
        <v>0.0702352363359524</v>
      </c>
      <c r="P14" s="89">
        <v>0.005681704896592388</v>
      </c>
      <c r="Q14" s="89">
        <v>0.4027059539805376</v>
      </c>
      <c r="R14" s="84">
        <v>0.3594427512448158</v>
      </c>
      <c r="S14" s="84">
        <v>0.007791483882166197</v>
      </c>
      <c r="T14" s="84">
        <v>0.052958443214700404</v>
      </c>
      <c r="U14" s="84">
        <v>0.4198393630558844</v>
      </c>
      <c r="V14" s="84">
        <v>0.017133409075346773</v>
      </c>
      <c r="W14" s="85">
        <v>1.0425457058828955</v>
      </c>
      <c r="X14" s="85">
        <v>0.18342731774778154</v>
      </c>
      <c r="Y14" s="90">
        <v>1.820951223373413</v>
      </c>
      <c r="Z14" s="85">
        <v>0.17043188640908855</v>
      </c>
      <c r="AA14" s="84" t="s">
        <v>159</v>
      </c>
      <c r="AB14" s="91" t="s">
        <v>160</v>
      </c>
      <c r="AC14" s="84">
        <v>0</v>
      </c>
      <c r="AD14" s="84">
        <v>0.07152783786170096</v>
      </c>
      <c r="AE14" s="84">
        <v>0.4786229101694832</v>
      </c>
      <c r="AF14" s="84">
        <v>0.6617990884705915</v>
      </c>
      <c r="AG14" s="84">
        <v>0.18317617830110833</v>
      </c>
      <c r="AH14" s="85">
        <v>1.3827150234748364</v>
      </c>
      <c r="AI14" s="96" t="s">
        <v>161</v>
      </c>
      <c r="AJ14" s="96" t="s">
        <v>162</v>
      </c>
      <c r="AK14" s="365">
        <f t="shared" si="0"/>
        <v>855.6071847393123</v>
      </c>
    </row>
    <row r="15" spans="1:37" ht="56.25">
      <c r="A15" s="88" t="s">
        <v>437</v>
      </c>
      <c r="B15" s="81" t="s">
        <v>401</v>
      </c>
      <c r="C15" s="81" t="s">
        <v>166</v>
      </c>
      <c r="D15" s="81" t="s">
        <v>399</v>
      </c>
      <c r="E15" s="82">
        <v>1025.86</v>
      </c>
      <c r="F15" s="82">
        <v>15.008332737965063</v>
      </c>
      <c r="G15" s="82">
        <v>14.473712921142578</v>
      </c>
      <c r="H15" s="83">
        <v>18</v>
      </c>
      <c r="I15" s="83" t="s">
        <v>158</v>
      </c>
      <c r="J15" s="83">
        <v>2359.9665510546874</v>
      </c>
      <c r="K15" s="83">
        <v>2539.9140005726067</v>
      </c>
      <c r="L15" s="85">
        <v>0.3166913390159607</v>
      </c>
      <c r="M15" s="85">
        <v>0.5811577412479979</v>
      </c>
      <c r="N15" s="89">
        <v>0.4038967140892014</v>
      </c>
      <c r="O15" s="89">
        <v>0.07044291470977518</v>
      </c>
      <c r="P15" s="89">
        <v>0.005698505113905264</v>
      </c>
      <c r="Q15" s="89">
        <v>0.4038967140892014</v>
      </c>
      <c r="R15" s="84">
        <v>0.3438662520685626</v>
      </c>
      <c r="S15" s="84">
        <v>0.008183142868833208</v>
      </c>
      <c r="T15" s="84">
        <v>0.05148774507743014</v>
      </c>
      <c r="U15" s="84">
        <v>0.4031660633003876</v>
      </c>
      <c r="V15" s="84">
        <v>-0.0007306507888137914</v>
      </c>
      <c r="W15" s="85">
        <v>0.9981909959568217</v>
      </c>
      <c r="X15" s="85">
        <v>0.18398609043550282</v>
      </c>
      <c r="Y15" s="90">
        <v>1.8211134672164917</v>
      </c>
      <c r="Z15" s="85">
        <v>0.17095107125249975</v>
      </c>
      <c r="AA15" s="84" t="s">
        <v>159</v>
      </c>
      <c r="AB15" s="91" t="s">
        <v>160</v>
      </c>
      <c r="AC15" s="84">
        <v>0</v>
      </c>
      <c r="AD15" s="84">
        <v>0.07152783786170094</v>
      </c>
      <c r="AE15" s="84">
        <v>0.48003814891350727</v>
      </c>
      <c r="AF15" s="84">
        <v>0.6456449667429633</v>
      </c>
      <c r="AG15" s="84">
        <v>0.16560681782945608</v>
      </c>
      <c r="AH15" s="85">
        <v>1.3449867853300446</v>
      </c>
      <c r="AI15" s="96" t="s">
        <v>161</v>
      </c>
      <c r="AJ15" s="96" t="s">
        <v>162</v>
      </c>
      <c r="AK15" s="365">
        <f t="shared" si="0"/>
        <v>819.205702985917</v>
      </c>
    </row>
    <row r="16" spans="1:37" ht="56.25">
      <c r="A16" s="88" t="s">
        <v>436</v>
      </c>
      <c r="B16" s="81" t="s">
        <v>401</v>
      </c>
      <c r="C16" s="81" t="s">
        <v>166</v>
      </c>
      <c r="D16" s="81" t="s">
        <v>398</v>
      </c>
      <c r="E16" s="82">
        <v>1025.86</v>
      </c>
      <c r="F16" s="82">
        <v>15.008332737965063</v>
      </c>
      <c r="G16" s="82">
        <v>14.473712921142578</v>
      </c>
      <c r="H16" s="83">
        <v>18</v>
      </c>
      <c r="I16" s="83" t="s">
        <v>158</v>
      </c>
      <c r="J16" s="83">
        <v>2301.379700578475</v>
      </c>
      <c r="K16" s="83">
        <v>2476.859902747583</v>
      </c>
      <c r="L16" s="85">
        <v>0.32475343346595764</v>
      </c>
      <c r="M16" s="85">
        <v>0.5811577412479979</v>
      </c>
      <c r="N16" s="89">
        <v>0.4141788228564899</v>
      </c>
      <c r="O16" s="89">
        <v>0.0722361991948051</v>
      </c>
      <c r="P16" s="89">
        <v>0.005843573512206676</v>
      </c>
      <c r="Q16" s="89">
        <v>0.4141788228564899</v>
      </c>
      <c r="R16" s="84">
        <v>0.33892212422431095</v>
      </c>
      <c r="S16" s="84">
        <v>0.00839146336786312</v>
      </c>
      <c r="T16" s="84">
        <v>0.05103957825245775</v>
      </c>
      <c r="U16" s="84">
        <v>0.39797264676447497</v>
      </c>
      <c r="V16" s="84">
        <v>-0.016206176092014912</v>
      </c>
      <c r="W16" s="85">
        <v>0.9608715482355064</v>
      </c>
      <c r="X16" s="85">
        <v>0.18428329530078597</v>
      </c>
      <c r="Y16" s="90">
        <v>1.7787725925445557</v>
      </c>
      <c r="Z16" s="85">
        <v>0.1712272197916711</v>
      </c>
      <c r="AA16" s="84" t="s">
        <v>159</v>
      </c>
      <c r="AB16" s="91" t="s">
        <v>160</v>
      </c>
      <c r="AC16" s="84">
        <v>0</v>
      </c>
      <c r="AD16" s="84">
        <v>0.07152783786170096</v>
      </c>
      <c r="AE16" s="84">
        <v>0.4922586109460021</v>
      </c>
      <c r="AF16" s="84">
        <v>0.6407277198403954</v>
      </c>
      <c r="AG16" s="84">
        <v>0.14846910889439335</v>
      </c>
      <c r="AH16" s="85">
        <v>1.3016079467032007</v>
      </c>
      <c r="AI16" s="96" t="s">
        <v>161</v>
      </c>
      <c r="AJ16" s="96" t="s">
        <v>162</v>
      </c>
      <c r="AK16" s="365">
        <f t="shared" si="0"/>
        <v>788.5779929290046</v>
      </c>
    </row>
    <row r="17" spans="1:37" ht="56.25">
      <c r="A17" s="88" t="s">
        <v>412</v>
      </c>
      <c r="B17" s="81" t="s">
        <v>401</v>
      </c>
      <c r="C17" s="81" t="s">
        <v>163</v>
      </c>
      <c r="D17" s="81" t="s">
        <v>165</v>
      </c>
      <c r="E17" s="82">
        <v>1025.86</v>
      </c>
      <c r="F17" s="82">
        <v>15.008332737965063</v>
      </c>
      <c r="G17" s="82">
        <v>14.473712921142578</v>
      </c>
      <c r="H17" s="83">
        <v>18</v>
      </c>
      <c r="I17" s="83" t="s">
        <v>158</v>
      </c>
      <c r="J17" s="83">
        <v>2242.7164443436636</v>
      </c>
      <c r="K17" s="83">
        <v>2413.723573224868</v>
      </c>
      <c r="L17" s="85">
        <v>0.3182365298271179</v>
      </c>
      <c r="M17" s="85">
        <v>0.5549787651834504</v>
      </c>
      <c r="N17" s="89">
        <v>0.42501259476445535</v>
      </c>
      <c r="O17" s="89">
        <v>0.07412569827681403</v>
      </c>
      <c r="P17" s="89">
        <v>0.005996425225198799</v>
      </c>
      <c r="Q17" s="89">
        <v>0.42501259476445535</v>
      </c>
      <c r="R17" s="84">
        <v>0.34276826835230567</v>
      </c>
      <c r="S17" s="84">
        <v>0.008223068839913224</v>
      </c>
      <c r="T17" s="84">
        <v>0.05138680976274047</v>
      </c>
      <c r="U17" s="84">
        <v>0.4020052644263987</v>
      </c>
      <c r="V17" s="84">
        <v>-0.02300733033805663</v>
      </c>
      <c r="W17" s="85">
        <v>0.9458667093129147</v>
      </c>
      <c r="X17" s="85">
        <v>0.18404305154797324</v>
      </c>
      <c r="Y17" s="90">
        <v>1.7311710119247437</v>
      </c>
      <c r="Z17" s="85">
        <v>0.1710039967925419</v>
      </c>
      <c r="AA17" s="84" t="s">
        <v>159</v>
      </c>
      <c r="AB17" s="91" t="s">
        <v>160</v>
      </c>
      <c r="AC17" s="84">
        <v>0</v>
      </c>
      <c r="AD17" s="84">
        <v>0.07152783786170096</v>
      </c>
      <c r="AE17" s="84">
        <v>0.5051347340513322</v>
      </c>
      <c r="AF17" s="84">
        <v>0.6445370929204843</v>
      </c>
      <c r="AG17" s="84">
        <v>0.1394023588691521</v>
      </c>
      <c r="AH17" s="85">
        <v>1.2759706459920175</v>
      </c>
      <c r="AI17" s="96" t="s">
        <v>161</v>
      </c>
      <c r="AJ17" s="96" t="s">
        <v>162</v>
      </c>
      <c r="AK17" s="365">
        <f t="shared" si="0"/>
        <v>776.2636666451959</v>
      </c>
    </row>
    <row r="18" spans="1:37" ht="56.25">
      <c r="A18" s="88" t="s">
        <v>417</v>
      </c>
      <c r="B18" s="81" t="s">
        <v>401</v>
      </c>
      <c r="C18" s="81" t="s">
        <v>163</v>
      </c>
      <c r="D18" s="81" t="s">
        <v>397</v>
      </c>
      <c r="E18" s="82">
        <v>1025.86</v>
      </c>
      <c r="F18" s="82">
        <v>15.008332737965063</v>
      </c>
      <c r="G18" s="82">
        <v>14.473712921142578</v>
      </c>
      <c r="H18" s="83">
        <v>18</v>
      </c>
      <c r="I18" s="83" t="s">
        <v>158</v>
      </c>
      <c r="J18" s="83">
        <v>2186.882129407463</v>
      </c>
      <c r="K18" s="83">
        <v>2353.6318917747817</v>
      </c>
      <c r="L18" s="85">
        <v>0.3263615667819977</v>
      </c>
      <c r="M18" s="85">
        <v>0.5549787651834504</v>
      </c>
      <c r="N18" s="89">
        <v>0.43586379097152306</v>
      </c>
      <c r="O18" s="89">
        <v>0.07601823630014812</v>
      </c>
      <c r="P18" s="89">
        <v>0.006149522774450731</v>
      </c>
      <c r="Q18" s="89">
        <v>0.43586379097152306</v>
      </c>
      <c r="R18" s="84">
        <v>0.3378863214259961</v>
      </c>
      <c r="S18" s="84">
        <v>0.00843301587326073</v>
      </c>
      <c r="T18" s="84">
        <v>0.050945227014552216</v>
      </c>
      <c r="U18" s="84">
        <v>0.3968821607358646</v>
      </c>
      <c r="V18" s="84">
        <v>-0.03898163023565848</v>
      </c>
      <c r="W18" s="85">
        <v>0.9105646510604379</v>
      </c>
      <c r="X18" s="85">
        <v>0.18434258190042682</v>
      </c>
      <c r="Y18" s="90">
        <v>1.6908193826675415</v>
      </c>
      <c r="Z18" s="85">
        <v>0.17128230606311434</v>
      </c>
      <c r="AA18" s="84" t="s">
        <v>159</v>
      </c>
      <c r="AB18" s="91" t="s">
        <v>160</v>
      </c>
      <c r="AC18" s="84">
        <v>0</v>
      </c>
      <c r="AD18" s="84">
        <v>0.07152783786170094</v>
      </c>
      <c r="AE18" s="84">
        <v>0.5180315662339968</v>
      </c>
      <c r="AF18" s="84">
        <v>0.639692309144931</v>
      </c>
      <c r="AG18" s="84">
        <v>0.1216607429109342</v>
      </c>
      <c r="AH18" s="85">
        <v>1.2348519874867618</v>
      </c>
      <c r="AI18" s="96" t="s">
        <v>161</v>
      </c>
      <c r="AJ18" s="96" t="s">
        <v>162</v>
      </c>
      <c r="AK18" s="365">
        <f t="shared" si="0"/>
        <v>747.2916086275328</v>
      </c>
    </row>
    <row r="19" spans="1:37" ht="56.25">
      <c r="A19" s="88" t="s">
        <v>424</v>
      </c>
      <c r="B19" s="81" t="s">
        <v>401</v>
      </c>
      <c r="C19" s="81" t="s">
        <v>156</v>
      </c>
      <c r="D19" s="81" t="s">
        <v>167</v>
      </c>
      <c r="E19" s="82">
        <v>1025.86</v>
      </c>
      <c r="F19" s="82">
        <v>15.008332737965063</v>
      </c>
      <c r="G19" s="82">
        <v>14.473712921142578</v>
      </c>
      <c r="H19" s="83">
        <v>18</v>
      </c>
      <c r="I19" s="83" t="s">
        <v>158</v>
      </c>
      <c r="J19" s="83">
        <v>2051.7655963651223</v>
      </c>
      <c r="K19" s="83">
        <v>2208.2127230879623</v>
      </c>
      <c r="L19" s="85">
        <v>0.289564311504364</v>
      </c>
      <c r="M19" s="85">
        <v>0.461981688271771</v>
      </c>
      <c r="N19" s="89">
        <v>0.4645670719014191</v>
      </c>
      <c r="O19" s="89">
        <v>0.08102432498545699</v>
      </c>
      <c r="P19" s="89">
        <v>0.006554492132851473</v>
      </c>
      <c r="Q19" s="89">
        <v>0.4645670719014191</v>
      </c>
      <c r="R19" s="84">
        <v>0.3685824333189508</v>
      </c>
      <c r="S19" s="84">
        <v>0.007482193971592503</v>
      </c>
      <c r="T19" s="84">
        <v>0.053803743976879086</v>
      </c>
      <c r="U19" s="84">
        <v>0.4295290821539032</v>
      </c>
      <c r="V19" s="84">
        <v>-0.03503798974751593</v>
      </c>
      <c r="W19" s="85">
        <v>0.9245792655856785</v>
      </c>
      <c r="X19" s="85">
        <v>0.18298606805187723</v>
      </c>
      <c r="Y19" s="90">
        <v>1.5746785402297974</v>
      </c>
      <c r="Z19" s="85">
        <v>0.1700218983060416</v>
      </c>
      <c r="AA19" s="84" t="s">
        <v>159</v>
      </c>
      <c r="AB19" s="91" t="s">
        <v>160</v>
      </c>
      <c r="AC19" s="84">
        <v>0</v>
      </c>
      <c r="AD19" s="84">
        <v>0.07152783786170097</v>
      </c>
      <c r="AE19" s="84">
        <v>0.5521459062736352</v>
      </c>
      <c r="AF19" s="84">
        <v>0.6710788096324044</v>
      </c>
      <c r="AG19" s="84">
        <v>0.11893290335876916</v>
      </c>
      <c r="AH19" s="85">
        <v>1.2154012227699607</v>
      </c>
      <c r="AI19" s="96" t="s">
        <v>161</v>
      </c>
      <c r="AJ19" s="96" t="s">
        <v>162</v>
      </c>
      <c r="AK19" s="365">
        <f t="shared" si="0"/>
        <v>758.793267318835</v>
      </c>
    </row>
    <row r="20" spans="1:37" ht="56.25">
      <c r="A20" s="88" t="s">
        <v>434</v>
      </c>
      <c r="B20" s="81" t="s">
        <v>401</v>
      </c>
      <c r="C20" s="81" t="s">
        <v>166</v>
      </c>
      <c r="D20" s="81" t="s">
        <v>164</v>
      </c>
      <c r="E20" s="82">
        <v>1025.86</v>
      </c>
      <c r="F20" s="82">
        <v>15.008332737965063</v>
      </c>
      <c r="G20" s="82">
        <v>14.473712921142578</v>
      </c>
      <c r="H20" s="83">
        <v>18</v>
      </c>
      <c r="I20" s="83" t="s">
        <v>158</v>
      </c>
      <c r="J20" s="83">
        <v>2056.9570297167434</v>
      </c>
      <c r="K20" s="83">
        <v>2213.800003232645</v>
      </c>
      <c r="L20" s="85">
        <v>0.2901332378387451</v>
      </c>
      <c r="M20" s="85">
        <v>0.46406058264810424</v>
      </c>
      <c r="N20" s="89">
        <v>0.46339457828279146</v>
      </c>
      <c r="O20" s="89">
        <v>0.08081983243799719</v>
      </c>
      <c r="P20" s="89">
        <v>0.006537949634116772</v>
      </c>
      <c r="Q20" s="89">
        <v>0.46339457828279146</v>
      </c>
      <c r="R20" s="84">
        <v>0.36600427488256315</v>
      </c>
      <c r="S20" s="84">
        <v>0.007496894186536657</v>
      </c>
      <c r="T20" s="84">
        <v>0.05354918929508754</v>
      </c>
      <c r="U20" s="84">
        <v>0.42671040393175313</v>
      </c>
      <c r="V20" s="84">
        <v>-0.03668417435103832</v>
      </c>
      <c r="W20" s="85">
        <v>0.9208359871473261</v>
      </c>
      <c r="X20" s="85">
        <v>0.18300702742661198</v>
      </c>
      <c r="Y20" s="90">
        <v>1.5788438320159912</v>
      </c>
      <c r="Z20" s="85">
        <v>0.17004137275411102</v>
      </c>
      <c r="AA20" s="84" t="s">
        <v>159</v>
      </c>
      <c r="AB20" s="91" t="s">
        <v>160</v>
      </c>
      <c r="AC20" s="84">
        <v>0</v>
      </c>
      <c r="AD20" s="84">
        <v>0.07152783786170097</v>
      </c>
      <c r="AE20" s="84">
        <v>0.550752377565267</v>
      </c>
      <c r="AF20" s="84">
        <v>0.6682795987755791</v>
      </c>
      <c r="AG20" s="84">
        <v>0.11752722121031212</v>
      </c>
      <c r="AH20" s="85">
        <v>1.2133939425370606</v>
      </c>
      <c r="AI20" s="96" t="s">
        <v>161</v>
      </c>
      <c r="AJ20" s="96" t="s">
        <v>162</v>
      </c>
      <c r="AK20" s="365">
        <f t="shared" si="0"/>
        <v>755.7211948828148</v>
      </c>
    </row>
    <row r="21" spans="1:37" ht="56.25">
      <c r="A21" s="88" t="s">
        <v>430</v>
      </c>
      <c r="B21" s="81" t="s">
        <v>401</v>
      </c>
      <c r="C21" s="81" t="s">
        <v>166</v>
      </c>
      <c r="D21" s="81" t="s">
        <v>165</v>
      </c>
      <c r="E21" s="82">
        <v>1025.86</v>
      </c>
      <c r="F21" s="82">
        <v>15.008332737965063</v>
      </c>
      <c r="G21" s="82">
        <v>14.473712921142578</v>
      </c>
      <c r="H21" s="83">
        <v>18</v>
      </c>
      <c r="I21" s="83" t="s">
        <v>158</v>
      </c>
      <c r="J21" s="83">
        <v>1935.77106222424</v>
      </c>
      <c r="K21" s="83">
        <v>2083.3736057188385</v>
      </c>
      <c r="L21" s="85">
        <v>0.3082965910434723</v>
      </c>
      <c r="M21" s="85">
        <v>0.46406058264810424</v>
      </c>
      <c r="N21" s="89">
        <v>0.4924046825228327</v>
      </c>
      <c r="O21" s="89">
        <v>0.08587943363656399</v>
      </c>
      <c r="P21" s="89">
        <v>0.006947247906670407</v>
      </c>
      <c r="Q21" s="89">
        <v>0.4924046825228327</v>
      </c>
      <c r="R21" s="84">
        <v>0.34657976183334493</v>
      </c>
      <c r="S21" s="84">
        <v>0.007966225706628945</v>
      </c>
      <c r="T21" s="84">
        <v>0.051710936424228325</v>
      </c>
      <c r="U21" s="84">
        <v>0.4058956872078394</v>
      </c>
      <c r="V21" s="84">
        <v>-0.08650899531499329</v>
      </c>
      <c r="W21" s="85">
        <v>0.8243132155613043</v>
      </c>
      <c r="X21" s="85">
        <v>0.1836766158065231</v>
      </c>
      <c r="Y21" s="90">
        <v>1.4912623167037964</v>
      </c>
      <c r="Z21" s="85">
        <v>0.1706635222360261</v>
      </c>
      <c r="AA21" s="84" t="s">
        <v>159</v>
      </c>
      <c r="AB21" s="91" t="s">
        <v>160</v>
      </c>
      <c r="AC21" s="84">
        <v>0</v>
      </c>
      <c r="AD21" s="84">
        <v>0.07152783786170096</v>
      </c>
      <c r="AE21" s="84">
        <v>0.5852313823538569</v>
      </c>
      <c r="AF21" s="84">
        <v>0.6480870227762474</v>
      </c>
      <c r="AG21" s="84">
        <v>0.06285564042239056</v>
      </c>
      <c r="AH21" s="85">
        <v>1.1074030585468249</v>
      </c>
      <c r="AI21" s="96" t="s">
        <v>161</v>
      </c>
      <c r="AJ21" s="96" t="s">
        <v>162</v>
      </c>
      <c r="AK21" s="365">
        <f t="shared" si="0"/>
        <v>676.5058891231379</v>
      </c>
    </row>
    <row r="22" spans="1:37" ht="56.25">
      <c r="A22" s="88" t="s">
        <v>423</v>
      </c>
      <c r="B22" s="81" t="s">
        <v>401</v>
      </c>
      <c r="C22" s="81" t="s">
        <v>156</v>
      </c>
      <c r="D22" s="81" t="s">
        <v>168</v>
      </c>
      <c r="E22" s="82">
        <v>1025.86</v>
      </c>
      <c r="F22" s="82">
        <v>15.008332737965063</v>
      </c>
      <c r="G22" s="82">
        <v>14.473712921142578</v>
      </c>
      <c r="H22" s="83">
        <v>18</v>
      </c>
      <c r="I22" s="83" t="s">
        <v>158</v>
      </c>
      <c r="J22" s="83">
        <v>1920.0338002835078</v>
      </c>
      <c r="K22" s="83">
        <v>2066.436377555125</v>
      </c>
      <c r="L22" s="85">
        <v>0.3094310760498047</v>
      </c>
      <c r="M22" s="85">
        <v>0.461981688271771</v>
      </c>
      <c r="N22" s="89">
        <v>0.49644060182204547</v>
      </c>
      <c r="O22" s="89">
        <v>0.0865833312149612</v>
      </c>
      <c r="P22" s="89">
        <v>0.00700418995636679</v>
      </c>
      <c r="Q22" s="89">
        <v>0.49644060182204547</v>
      </c>
      <c r="R22" s="84">
        <v>0.34854988690904815</v>
      </c>
      <c r="S22" s="84">
        <v>0.007995540585784071</v>
      </c>
      <c r="T22" s="84">
        <v>0.05191445754110694</v>
      </c>
      <c r="U22" s="84">
        <v>0.4080973194468318</v>
      </c>
      <c r="V22" s="84">
        <v>-0.08834328237521366</v>
      </c>
      <c r="W22" s="85">
        <v>0.8220466213863763</v>
      </c>
      <c r="X22" s="85">
        <v>0.1837184511721838</v>
      </c>
      <c r="Y22" s="90">
        <v>1.4794756174087524</v>
      </c>
      <c r="Z22" s="85">
        <v>0.1707023936559199</v>
      </c>
      <c r="AA22" s="84" t="s">
        <v>159</v>
      </c>
      <c r="AB22" s="91" t="s">
        <v>160</v>
      </c>
      <c r="AC22" s="84">
        <v>0</v>
      </c>
      <c r="AD22" s="84">
        <v>0.07152783786170097</v>
      </c>
      <c r="AE22" s="84">
        <v>0.5900281414310563</v>
      </c>
      <c r="AF22" s="84">
        <v>0.6503275340239519</v>
      </c>
      <c r="AG22" s="84">
        <v>0.06029939259289563</v>
      </c>
      <c r="AH22" s="85">
        <v>1.1021974857786363</v>
      </c>
      <c r="AI22" s="96" t="s">
        <v>161</v>
      </c>
      <c r="AJ22" s="96" t="s">
        <v>162</v>
      </c>
      <c r="AK22" s="365">
        <f t="shared" si="0"/>
        <v>674.6457171901343</v>
      </c>
    </row>
    <row r="23" spans="1:37" ht="56.25">
      <c r="A23" s="88" t="s">
        <v>415</v>
      </c>
      <c r="B23" s="81" t="s">
        <v>401</v>
      </c>
      <c r="C23" s="81" t="s">
        <v>163</v>
      </c>
      <c r="D23" s="81" t="s">
        <v>167</v>
      </c>
      <c r="E23" s="82">
        <v>1025.86</v>
      </c>
      <c r="F23" s="82">
        <v>15.008332737965063</v>
      </c>
      <c r="G23" s="82">
        <v>14.473712921142578</v>
      </c>
      <c r="H23" s="83">
        <v>18</v>
      </c>
      <c r="I23" s="83" t="s">
        <v>158</v>
      </c>
      <c r="J23" s="83">
        <v>1816.2830536146648</v>
      </c>
      <c r="K23" s="83">
        <v>1954.7746364527832</v>
      </c>
      <c r="L23" s="85">
        <v>0.2853241562843323</v>
      </c>
      <c r="M23" s="85">
        <v>0.4029712137139429</v>
      </c>
      <c r="N23" s="89">
        <v>0.5247985623355581</v>
      </c>
      <c r="O23" s="89">
        <v>0.0915291931745001</v>
      </c>
      <c r="P23" s="89">
        <v>0.007404287251960252</v>
      </c>
      <c r="Q23" s="89">
        <v>0.5247985623355581</v>
      </c>
      <c r="R23" s="84">
        <v>0.3709898427590509</v>
      </c>
      <c r="S23" s="84">
        <v>0.007372629908160467</v>
      </c>
      <c r="T23" s="84">
        <v>0.054020158981048574</v>
      </c>
      <c r="U23" s="84">
        <v>0.43204831273123606</v>
      </c>
      <c r="V23" s="84">
        <v>-0.09275024960432204</v>
      </c>
      <c r="W23" s="85">
        <v>0.8232650463226361</v>
      </c>
      <c r="X23" s="85">
        <v>0.18282975580118685</v>
      </c>
      <c r="Y23" s="90">
        <v>1.3927608728408813</v>
      </c>
      <c r="Z23" s="85">
        <v>0.16987666044245</v>
      </c>
      <c r="AA23" s="84" t="s">
        <v>159</v>
      </c>
      <c r="AB23" s="91" t="s">
        <v>160</v>
      </c>
      <c r="AC23" s="84">
        <v>0</v>
      </c>
      <c r="AD23" s="84">
        <v>0.07152783786170096</v>
      </c>
      <c r="AE23" s="84">
        <v>0.623732062252909</v>
      </c>
      <c r="AF23" s="84">
        <v>0.6734528174137804</v>
      </c>
      <c r="AG23" s="84">
        <v>0.04972075516087138</v>
      </c>
      <c r="AH23" s="85">
        <v>1.0797149259592025</v>
      </c>
      <c r="AI23" s="96" t="s">
        <v>161</v>
      </c>
      <c r="AJ23" s="96" t="s">
        <v>162</v>
      </c>
      <c r="AK23" s="365">
        <f t="shared" si="0"/>
        <v>675.6456667593924</v>
      </c>
    </row>
    <row r="24" spans="1:37" ht="56.25">
      <c r="A24" s="88" t="s">
        <v>435</v>
      </c>
      <c r="B24" s="81" t="s">
        <v>401</v>
      </c>
      <c r="C24" s="81" t="s">
        <v>166</v>
      </c>
      <c r="D24" s="81" t="s">
        <v>397</v>
      </c>
      <c r="E24" s="82">
        <v>1025.86</v>
      </c>
      <c r="F24" s="82">
        <v>15.008332737965063</v>
      </c>
      <c r="G24" s="82">
        <v>14.473712921142578</v>
      </c>
      <c r="H24" s="83">
        <v>18</v>
      </c>
      <c r="I24" s="83" t="s">
        <v>158</v>
      </c>
      <c r="J24" s="83">
        <v>1877.1842117480278</v>
      </c>
      <c r="K24" s="83">
        <v>2020.319507893815</v>
      </c>
      <c r="L24" s="85">
        <v>0.3179185092449188</v>
      </c>
      <c r="M24" s="85">
        <v>0.46406058264810424</v>
      </c>
      <c r="N24" s="89">
        <v>0.5077726146246526</v>
      </c>
      <c r="O24" s="89">
        <v>0.08855972761408575</v>
      </c>
      <c r="P24" s="89">
        <v>0.007164071259318502</v>
      </c>
      <c r="Q24" s="89">
        <v>0.5077726146246526</v>
      </c>
      <c r="R24" s="84">
        <v>0.3406030764357391</v>
      </c>
      <c r="S24" s="84">
        <v>0.008214851319082518</v>
      </c>
      <c r="T24" s="84">
        <v>0.051168464960767025</v>
      </c>
      <c r="U24" s="84">
        <v>0.39961388318941804</v>
      </c>
      <c r="V24" s="84">
        <v>-0.10815873143523458</v>
      </c>
      <c r="W24" s="85">
        <v>0.786993767839989</v>
      </c>
      <c r="X24" s="85">
        <v>0.18403132265729166</v>
      </c>
      <c r="Y24" s="90">
        <v>1.4489214420318604</v>
      </c>
      <c r="Z24" s="85">
        <v>0.17099309886856368</v>
      </c>
      <c r="AA24" s="84" t="s">
        <v>159</v>
      </c>
      <c r="AB24" s="91" t="s">
        <v>160</v>
      </c>
      <c r="AC24" s="84">
        <v>0</v>
      </c>
      <c r="AD24" s="84">
        <v>0.07152783786170096</v>
      </c>
      <c r="AE24" s="84">
        <v>0.6034964323566079</v>
      </c>
      <c r="AF24" s="84">
        <v>0.6421348206627313</v>
      </c>
      <c r="AG24" s="84">
        <v>0.03863838830612343</v>
      </c>
      <c r="AH24" s="85">
        <v>1.064024219919981</v>
      </c>
      <c r="AI24" s="96" t="s">
        <v>161</v>
      </c>
      <c r="AJ24" s="96" t="s">
        <v>162</v>
      </c>
      <c r="AK24" s="365">
        <f t="shared" si="0"/>
        <v>645.8781790662252</v>
      </c>
    </row>
    <row r="25" spans="1:37" ht="56.25">
      <c r="A25" s="88" t="s">
        <v>420</v>
      </c>
      <c r="B25" s="81" t="s">
        <v>401</v>
      </c>
      <c r="C25" s="81" t="s">
        <v>156</v>
      </c>
      <c r="D25" s="81" t="s">
        <v>169</v>
      </c>
      <c r="E25" s="82">
        <v>1025.86</v>
      </c>
      <c r="F25" s="82">
        <v>15.008332737965063</v>
      </c>
      <c r="G25" s="82">
        <v>14.473712921142578</v>
      </c>
      <c r="H25" s="83">
        <v>18</v>
      </c>
      <c r="I25" s="83" t="s">
        <v>158</v>
      </c>
      <c r="J25" s="83">
        <v>1846.4026568044465</v>
      </c>
      <c r="K25" s="83">
        <v>1987.1908593857854</v>
      </c>
      <c r="L25" s="85">
        <v>0.3217706084251404</v>
      </c>
      <c r="M25" s="85">
        <v>0.461981688271771</v>
      </c>
      <c r="N25" s="89">
        <v>0.5162377403534931</v>
      </c>
      <c r="O25" s="89">
        <v>0.09003611528678301</v>
      </c>
      <c r="P25" s="89">
        <v>0.007283504175143103</v>
      </c>
      <c r="Q25" s="89">
        <v>0.5162377403534931</v>
      </c>
      <c r="R25" s="84">
        <v>0.3418646300254741</v>
      </c>
      <c r="S25" s="84">
        <v>0.00831438804513696</v>
      </c>
      <c r="T25" s="84">
        <v>0.05131672154864715</v>
      </c>
      <c r="U25" s="84">
        <v>0.40111871462118565</v>
      </c>
      <c r="V25" s="84">
        <v>-0.11511902573230748</v>
      </c>
      <c r="W25" s="85">
        <v>0.7770038555230776</v>
      </c>
      <c r="X25" s="85">
        <v>0.18417335203169716</v>
      </c>
      <c r="Y25" s="90">
        <v>1.4262621402740479</v>
      </c>
      <c r="Z25" s="85">
        <v>0.171125065766966</v>
      </c>
      <c r="AA25" s="84" t="s">
        <v>159</v>
      </c>
      <c r="AB25" s="91" t="s">
        <v>160</v>
      </c>
      <c r="AC25" s="84">
        <v>0</v>
      </c>
      <c r="AD25" s="84">
        <v>0.07152783786170096</v>
      </c>
      <c r="AE25" s="84">
        <v>0.6135573789883629</v>
      </c>
      <c r="AF25" s="84">
        <v>0.6437716403023507</v>
      </c>
      <c r="AG25" s="84">
        <v>0.030214261313987745</v>
      </c>
      <c r="AH25" s="85">
        <v>1.049244394002408</v>
      </c>
      <c r="AI25" s="96" t="s">
        <v>161</v>
      </c>
      <c r="AJ25" s="96" t="s">
        <v>162</v>
      </c>
      <c r="AK25" s="365">
        <f t="shared" si="0"/>
        <v>637.6795545790364</v>
      </c>
    </row>
    <row r="26" spans="1:37" ht="56.25">
      <c r="A26" s="88" t="s">
        <v>414</v>
      </c>
      <c r="B26" s="81" t="s">
        <v>401</v>
      </c>
      <c r="C26" s="81" t="s">
        <v>163</v>
      </c>
      <c r="D26" s="81" t="s">
        <v>168</v>
      </c>
      <c r="E26" s="82">
        <v>1025.86</v>
      </c>
      <c r="F26" s="82">
        <v>15.008332737965063</v>
      </c>
      <c r="G26" s="82">
        <v>14.473712921142578</v>
      </c>
      <c r="H26" s="83">
        <v>18</v>
      </c>
      <c r="I26" s="83" t="s">
        <v>158</v>
      </c>
      <c r="J26" s="83">
        <v>1692.0547684113694</v>
      </c>
      <c r="K26" s="83">
        <v>1821.0739445027364</v>
      </c>
      <c r="L26" s="85">
        <v>0.3062722682952881</v>
      </c>
      <c r="M26" s="85">
        <v>0.4029712137139429</v>
      </c>
      <c r="N26" s="89">
        <v>0.5633285358879574</v>
      </c>
      <c r="O26" s="89">
        <v>0.09824913801693853</v>
      </c>
      <c r="P26" s="89">
        <v>0.00794789962529214</v>
      </c>
      <c r="Q26" s="89">
        <v>0.5633285358879574</v>
      </c>
      <c r="R26" s="84">
        <v>0.34973659358684817</v>
      </c>
      <c r="S26" s="84">
        <v>0.007913918043762137</v>
      </c>
      <c r="T26" s="84">
        <v>0.05201500759195876</v>
      </c>
      <c r="U26" s="84">
        <v>0.40930665560377805</v>
      </c>
      <c r="V26" s="84">
        <v>-0.15402188028417935</v>
      </c>
      <c r="W26" s="85">
        <v>0.7265860497526556</v>
      </c>
      <c r="X26" s="85">
        <v>0.1836020016217679</v>
      </c>
      <c r="Y26" s="90">
        <v>1.302980661392212</v>
      </c>
      <c r="Z26" s="85">
        <v>0.17059419430593997</v>
      </c>
      <c r="AA26" s="84" t="s">
        <v>159</v>
      </c>
      <c r="AB26" s="91" t="s">
        <v>160</v>
      </c>
      <c r="AC26" s="84">
        <v>0</v>
      </c>
      <c r="AD26" s="84">
        <v>0.07152783786170096</v>
      </c>
      <c r="AE26" s="84">
        <v>0.6695255944520725</v>
      </c>
      <c r="AF26" s="84">
        <v>0.6514286848530095</v>
      </c>
      <c r="AG26" s="84">
        <v>-0.01809690959906296</v>
      </c>
      <c r="AH26" s="85">
        <v>0.9729705484763833</v>
      </c>
      <c r="AI26" s="96" t="s">
        <v>161</v>
      </c>
      <c r="AJ26" s="96" t="s">
        <v>162</v>
      </c>
      <c r="AK26" s="365">
        <f t="shared" si="0"/>
        <v>596.3021486652761</v>
      </c>
    </row>
    <row r="27" spans="1:37" ht="56.25">
      <c r="A27" s="88" t="s">
        <v>433</v>
      </c>
      <c r="B27" s="81" t="s">
        <v>401</v>
      </c>
      <c r="C27" s="81" t="s">
        <v>166</v>
      </c>
      <c r="D27" s="81" t="s">
        <v>167</v>
      </c>
      <c r="E27" s="82">
        <v>1025.86</v>
      </c>
      <c r="F27" s="82">
        <v>15.008332737965063</v>
      </c>
      <c r="G27" s="82">
        <v>14.473712921142578</v>
      </c>
      <c r="H27" s="83">
        <v>18</v>
      </c>
      <c r="I27" s="83" t="s">
        <v>158</v>
      </c>
      <c r="J27" s="83">
        <v>1584.1312826717317</v>
      </c>
      <c r="K27" s="83">
        <v>1704.9212929754513</v>
      </c>
      <c r="L27" s="85">
        <v>0.2707720398902893</v>
      </c>
      <c r="M27" s="85">
        <v>0.3335392712487433</v>
      </c>
      <c r="N27" s="89">
        <v>0.6017069076016315</v>
      </c>
      <c r="O27" s="89">
        <v>0.10494264224963035</v>
      </c>
      <c r="P27" s="89">
        <v>0.008489373075916521</v>
      </c>
      <c r="Q27" s="89">
        <v>0.6017069076016315</v>
      </c>
      <c r="R27" s="84">
        <v>0.3792519610958577</v>
      </c>
      <c r="S27" s="84">
        <v>0.006996611448282725</v>
      </c>
      <c r="T27" s="84">
        <v>0.054762889827135675</v>
      </c>
      <c r="U27" s="84">
        <v>0.4406941932905831</v>
      </c>
      <c r="V27" s="84">
        <v>-0.16101271431104835</v>
      </c>
      <c r="W27" s="85">
        <v>0.7324067377706605</v>
      </c>
      <c r="X27" s="85">
        <v>0.18229330039386119</v>
      </c>
      <c r="Y27" s="90">
        <v>1.211178183555603</v>
      </c>
      <c r="Z27" s="85">
        <v>0.1693782117480708</v>
      </c>
      <c r="AA27" s="84" t="s">
        <v>159</v>
      </c>
      <c r="AB27" s="91" t="s">
        <v>160</v>
      </c>
      <c r="AC27" s="84">
        <v>0</v>
      </c>
      <c r="AD27" s="84">
        <v>0.07152783786170097</v>
      </c>
      <c r="AE27" s="84">
        <v>0.7151389452744261</v>
      </c>
      <c r="AF27" s="84">
        <v>0.6816002074812391</v>
      </c>
      <c r="AG27" s="84">
        <v>-0.03353873779318706</v>
      </c>
      <c r="AH27" s="85">
        <v>0.9531017881003293</v>
      </c>
      <c r="AI27" s="96" t="s">
        <v>161</v>
      </c>
      <c r="AJ27" s="96" t="s">
        <v>162</v>
      </c>
      <c r="AK27" s="365">
        <f t="shared" si="0"/>
        <v>601.0791310654035</v>
      </c>
    </row>
    <row r="28" spans="1:37" ht="56.25">
      <c r="A28" s="88" t="s">
        <v>411</v>
      </c>
      <c r="B28" s="81" t="s">
        <v>401</v>
      </c>
      <c r="C28" s="81" t="s">
        <v>163</v>
      </c>
      <c r="D28" s="81" t="s">
        <v>169</v>
      </c>
      <c r="E28" s="82">
        <v>1025.86</v>
      </c>
      <c r="F28" s="82">
        <v>15.008332737965063</v>
      </c>
      <c r="G28" s="82">
        <v>14.473712921142578</v>
      </c>
      <c r="H28" s="83">
        <v>18</v>
      </c>
      <c r="I28" s="83" t="s">
        <v>158</v>
      </c>
      <c r="J28" s="83">
        <v>1636.2204534751686</v>
      </c>
      <c r="K28" s="83">
        <v>1760.98226305265</v>
      </c>
      <c r="L28" s="85">
        <v>0.31672346591949463</v>
      </c>
      <c r="M28" s="85">
        <v>0.4029712137139429</v>
      </c>
      <c r="N28" s="89">
        <v>0.5825515341205697</v>
      </c>
      <c r="O28" s="89">
        <v>0.10160178729020547</v>
      </c>
      <c r="P28" s="89">
        <v>0.008219113403250582</v>
      </c>
      <c r="Q28" s="89">
        <v>0.5825515341205697</v>
      </c>
      <c r="R28" s="84">
        <v>0.3434494390641861</v>
      </c>
      <c r="S28" s="84">
        <v>0.008183972235723994</v>
      </c>
      <c r="T28" s="84">
        <v>0.051446249009793284</v>
      </c>
      <c r="U28" s="84">
        <v>0.40270854976141995</v>
      </c>
      <c r="V28" s="84">
        <v>-0.17984298435914975</v>
      </c>
      <c r="W28" s="85">
        <v>0.6912839915001787</v>
      </c>
      <c r="X28" s="85">
        <v>0.18398728702336192</v>
      </c>
      <c r="Y28" s="90">
        <v>1.2626290321350098</v>
      </c>
      <c r="Z28" s="85">
        <v>0.17095218306468007</v>
      </c>
      <c r="AA28" s="84" t="s">
        <v>159</v>
      </c>
      <c r="AB28" s="91" t="s">
        <v>160</v>
      </c>
      <c r="AC28" s="84">
        <v>0</v>
      </c>
      <c r="AD28" s="84">
        <v>0.07152783786170096</v>
      </c>
      <c r="AE28" s="84">
        <v>0.6923724564498476</v>
      </c>
      <c r="AF28" s="84">
        <v>0.6451885821067428</v>
      </c>
      <c r="AG28" s="84">
        <v>-0.04718387434310478</v>
      </c>
      <c r="AH28" s="85">
        <v>0.9318518899711278</v>
      </c>
      <c r="AI28" s="96" t="s">
        <v>161</v>
      </c>
      <c r="AJ28" s="96" t="s">
        <v>162</v>
      </c>
      <c r="AK28" s="365">
        <f t="shared" si="0"/>
        <v>567.3300906476128</v>
      </c>
    </row>
    <row r="29" spans="1:37" ht="56.25">
      <c r="A29" s="88" t="s">
        <v>432</v>
      </c>
      <c r="B29" s="81" t="s">
        <v>401</v>
      </c>
      <c r="C29" s="81" t="s">
        <v>166</v>
      </c>
      <c r="D29" s="81" t="s">
        <v>168</v>
      </c>
      <c r="E29" s="82">
        <v>1025.86</v>
      </c>
      <c r="F29" s="82">
        <v>15.008332737965063</v>
      </c>
      <c r="G29" s="82">
        <v>14.473712921142578</v>
      </c>
      <c r="H29" s="83">
        <v>18</v>
      </c>
      <c r="I29" s="83" t="s">
        <v>158</v>
      </c>
      <c r="J29" s="83">
        <v>1462.9453151792284</v>
      </c>
      <c r="K29" s="83">
        <v>1574.4948954616443</v>
      </c>
      <c r="L29" s="85">
        <v>0.2932019829750061</v>
      </c>
      <c r="M29" s="85">
        <v>0.3335392712487433</v>
      </c>
      <c r="N29" s="89">
        <v>0.6515504888948207</v>
      </c>
      <c r="O29" s="89">
        <v>0.11363577349677002</v>
      </c>
      <c r="P29" s="89">
        <v>0.009192607078537949</v>
      </c>
      <c r="Q29" s="89">
        <v>0.6515504888948207</v>
      </c>
      <c r="R29" s="84">
        <v>0.3546468195268658</v>
      </c>
      <c r="S29" s="84">
        <v>0.007576189590221264</v>
      </c>
      <c r="T29" s="84">
        <v>0.052431050623139505</v>
      </c>
      <c r="U29" s="84">
        <v>0.414310509047979</v>
      </c>
      <c r="V29" s="84">
        <v>-0.2372399798468417</v>
      </c>
      <c r="W29" s="85">
        <v>0.6358839661846387</v>
      </c>
      <c r="X29" s="85">
        <v>0.18312017758188234</v>
      </c>
      <c r="Y29" s="90">
        <v>1.1235966682434082</v>
      </c>
      <c r="Z29" s="85">
        <v>0.1701465064640022</v>
      </c>
      <c r="AA29" s="84" t="s">
        <v>159</v>
      </c>
      <c r="AB29" s="91" t="s">
        <v>160</v>
      </c>
      <c r="AC29" s="84">
        <v>0</v>
      </c>
      <c r="AD29" s="84">
        <v>0.07152783786170097</v>
      </c>
      <c r="AE29" s="84">
        <v>0.7743788936685548</v>
      </c>
      <c r="AF29" s="84">
        <v>0.6559848822691678</v>
      </c>
      <c r="AG29" s="84">
        <v>-0.11839401139938699</v>
      </c>
      <c r="AH29" s="85">
        <v>0.8471110042288145</v>
      </c>
      <c r="AI29" s="96" t="s">
        <v>161</v>
      </c>
      <c r="AJ29" s="96" t="s">
        <v>162</v>
      </c>
      <c r="AK29" s="365">
        <f t="shared" si="0"/>
        <v>521.8638253057267</v>
      </c>
    </row>
    <row r="30" spans="1:37" ht="56.25">
      <c r="A30" s="88" t="s">
        <v>429</v>
      </c>
      <c r="B30" s="81" t="s">
        <v>401</v>
      </c>
      <c r="C30" s="81" t="s">
        <v>166</v>
      </c>
      <c r="D30" s="81" t="s">
        <v>169</v>
      </c>
      <c r="E30" s="82">
        <v>1025.86</v>
      </c>
      <c r="F30" s="82">
        <v>15.008332737965063</v>
      </c>
      <c r="G30" s="82">
        <v>14.473712921142578</v>
      </c>
      <c r="H30" s="83">
        <v>18</v>
      </c>
      <c r="I30" s="83" t="s">
        <v>158</v>
      </c>
      <c r="J30" s="83">
        <v>1404.3584647030161</v>
      </c>
      <c r="K30" s="83">
        <v>1511.440797636621</v>
      </c>
      <c r="L30" s="85">
        <v>0.3054337501525879</v>
      </c>
      <c r="M30" s="85">
        <v>0.3335392712487433</v>
      </c>
      <c r="N30" s="89">
        <v>0.678731790556755</v>
      </c>
      <c r="O30" s="89">
        <v>0.11837641645790449</v>
      </c>
      <c r="P30" s="89">
        <v>0.009576103108884277</v>
      </c>
      <c r="Q30" s="89">
        <v>0.678731790556755</v>
      </c>
      <c r="R30" s="84">
        <v>0.34699441721349344</v>
      </c>
      <c r="S30" s="84">
        <v>0.007892252118313473</v>
      </c>
      <c r="T30" s="84">
        <v>0.05173597905261821</v>
      </c>
      <c r="U30" s="84">
        <v>0.4062647673803534</v>
      </c>
      <c r="V30" s="84">
        <v>-0.27246702317640165</v>
      </c>
      <c r="W30" s="85">
        <v>0.5985645184633235</v>
      </c>
      <c r="X30" s="85">
        <v>0.18357109531614416</v>
      </c>
      <c r="Y30" s="90">
        <v>1.0812557935714722</v>
      </c>
      <c r="Z30" s="85">
        <v>0.1705654776456624</v>
      </c>
      <c r="AA30" s="84" t="s">
        <v>159</v>
      </c>
      <c r="AB30" s="91" t="s">
        <v>160</v>
      </c>
      <c r="AC30" s="84">
        <v>0</v>
      </c>
      <c r="AD30" s="84">
        <v>0.07152783786170097</v>
      </c>
      <c r="AE30" s="84">
        <v>0.806684335331477</v>
      </c>
      <c r="AF30" s="84">
        <v>0.6483580670289507</v>
      </c>
      <c r="AG30" s="84">
        <v>-0.15832626830252627</v>
      </c>
      <c r="AH30" s="85">
        <v>0.80373206548325</v>
      </c>
      <c r="AI30" s="96" t="s">
        <v>161</v>
      </c>
      <c r="AJ30" s="96" t="s">
        <v>162</v>
      </c>
      <c r="AK30" s="365">
        <f t="shared" si="0"/>
        <v>491.2361152488141</v>
      </c>
    </row>
    <row r="31" spans="1:37" ht="56.25">
      <c r="A31" s="88" t="s">
        <v>407</v>
      </c>
      <c r="B31" s="81" t="s">
        <v>400</v>
      </c>
      <c r="C31" s="81" t="s">
        <v>170</v>
      </c>
      <c r="D31" s="81" t="s">
        <v>171</v>
      </c>
      <c r="E31" s="82">
        <v>818.25</v>
      </c>
      <c r="F31" s="82">
        <v>11.23</v>
      </c>
      <c r="G31" s="82">
        <v>13.569133758544922</v>
      </c>
      <c r="H31" s="83">
        <v>18</v>
      </c>
      <c r="I31" s="83" t="s">
        <v>158</v>
      </c>
      <c r="J31" s="83">
        <v>378.1934069940205</v>
      </c>
      <c r="K31" s="83">
        <v>407.03065427731457</v>
      </c>
      <c r="L31" s="85">
        <v>0</v>
      </c>
      <c r="M31" s="85">
        <v>0</v>
      </c>
      <c r="N31" s="89">
        <v>2.010295209958606</v>
      </c>
      <c r="O31" s="89">
        <v>0.32900618720096964</v>
      </c>
      <c r="P31" s="89">
        <v>0.03333688412887968</v>
      </c>
      <c r="Q31" s="89">
        <v>2.010295209958606</v>
      </c>
      <c r="R31" s="84">
        <v>0.5329859184315717</v>
      </c>
      <c r="S31" s="84">
        <v>0</v>
      </c>
      <c r="T31" s="84">
        <v>0.06858293668147813</v>
      </c>
      <c r="U31" s="84">
        <v>0.6015688551130499</v>
      </c>
      <c r="V31" s="84">
        <v>-1.4087263548455562</v>
      </c>
      <c r="W31" s="85">
        <v>0.29924403745927286</v>
      </c>
      <c r="X31" s="85">
        <v>0.17231138652690206</v>
      </c>
      <c r="Y31" s="90">
        <v>0.2733216881752014</v>
      </c>
      <c r="Z31" s="85">
        <v>0.16010349503080332</v>
      </c>
      <c r="AA31" s="84" t="s">
        <v>159</v>
      </c>
      <c r="AB31" s="91" t="s">
        <v>160</v>
      </c>
      <c r="AC31" s="84">
        <v>0</v>
      </c>
      <c r="AD31" s="84">
        <v>0.07152783786170096</v>
      </c>
      <c r="AE31" s="84">
        <v>2.3726382794070875</v>
      </c>
      <c r="AF31" s="84">
        <v>0.8332002207745287</v>
      </c>
      <c r="AG31" s="84">
        <v>-1.539438058632559</v>
      </c>
      <c r="AH31" s="85">
        <v>0.351170352432627</v>
      </c>
      <c r="AI31" s="96" t="s">
        <v>161</v>
      </c>
      <c r="AJ31" s="96" t="s">
        <v>162</v>
      </c>
      <c r="AK31" s="365">
        <f t="shared" si="0"/>
        <v>195.88557175161583</v>
      </c>
    </row>
    <row r="32" spans="1:37" ht="56.25">
      <c r="A32" s="88" t="s">
        <v>410</v>
      </c>
      <c r="B32" s="81" t="s">
        <v>400</v>
      </c>
      <c r="C32" s="81" t="s">
        <v>172</v>
      </c>
      <c r="D32" s="81" t="s">
        <v>171</v>
      </c>
      <c r="E32" s="82">
        <v>818.25</v>
      </c>
      <c r="F32" s="82">
        <v>11.23</v>
      </c>
      <c r="G32" s="82">
        <v>13.569133758544922</v>
      </c>
      <c r="H32" s="83">
        <v>18</v>
      </c>
      <c r="I32" s="83" t="s">
        <v>158</v>
      </c>
      <c r="J32" s="83">
        <v>375.85384961333284</v>
      </c>
      <c r="K32" s="83">
        <v>404.51270564634945</v>
      </c>
      <c r="L32" s="85">
        <v>0</v>
      </c>
      <c r="M32" s="85">
        <v>0</v>
      </c>
      <c r="N32" s="89">
        <v>2.022808587168014</v>
      </c>
      <c r="O32" s="89">
        <v>0.3310541344399026</v>
      </c>
      <c r="P32" s="89">
        <v>0.03354439445075902</v>
      </c>
      <c r="Q32" s="89">
        <v>2.022808587168014</v>
      </c>
      <c r="R32" s="84">
        <v>0.5329859184315723</v>
      </c>
      <c r="S32" s="84">
        <v>0</v>
      </c>
      <c r="T32" s="84">
        <v>0.06858293389703773</v>
      </c>
      <c r="U32" s="84">
        <v>0.60156885232861</v>
      </c>
      <c r="V32" s="84">
        <v>-1.4212397348394041</v>
      </c>
      <c r="W32" s="85">
        <v>0.29739287055866337</v>
      </c>
      <c r="X32" s="85">
        <v>0.1723113736737526</v>
      </c>
      <c r="Y32" s="90">
        <v>0.2716308832168579</v>
      </c>
      <c r="Z32" s="85">
        <v>0.16010348308827188</v>
      </c>
      <c r="AA32" s="84" t="s">
        <v>159</v>
      </c>
      <c r="AB32" s="91" t="s">
        <v>160</v>
      </c>
      <c r="AC32" s="84">
        <v>0</v>
      </c>
      <c r="AD32" s="84">
        <v>0.071527837861701</v>
      </c>
      <c r="AE32" s="84">
        <v>2.387407114165597</v>
      </c>
      <c r="AF32" s="84">
        <v>0.8332002057674298</v>
      </c>
      <c r="AG32" s="84">
        <v>-1.554206908398167</v>
      </c>
      <c r="AH32" s="85">
        <v>0.3489979571660256</v>
      </c>
      <c r="AI32" s="96" t="s">
        <v>161</v>
      </c>
      <c r="AJ32" s="96" t="s">
        <v>162</v>
      </c>
      <c r="AK32" s="365">
        <f t="shared" si="0"/>
        <v>194.67379527041226</v>
      </c>
    </row>
    <row r="33" spans="1:37" ht="56.25">
      <c r="A33" s="88" t="s">
        <v>404</v>
      </c>
      <c r="B33" s="81" t="s">
        <v>400</v>
      </c>
      <c r="C33" s="81" t="s">
        <v>173</v>
      </c>
      <c r="D33" s="81" t="s">
        <v>171</v>
      </c>
      <c r="E33" s="82">
        <v>818.25</v>
      </c>
      <c r="F33" s="82">
        <v>11.23</v>
      </c>
      <c r="G33" s="82">
        <v>13.569133758544922</v>
      </c>
      <c r="H33" s="83">
        <v>18</v>
      </c>
      <c r="I33" s="83" t="s">
        <v>158</v>
      </c>
      <c r="J33" s="83">
        <v>356.48186774592625</v>
      </c>
      <c r="K33" s="83">
        <v>383.6636101615531</v>
      </c>
      <c r="L33" s="85">
        <v>0</v>
      </c>
      <c r="M33" s="85">
        <v>0</v>
      </c>
      <c r="N33" s="89">
        <v>2.132732302277647</v>
      </c>
      <c r="O33" s="89">
        <v>0.3490443192704831</v>
      </c>
      <c r="P33" s="89">
        <v>0.035367268094128684</v>
      </c>
      <c r="Q33" s="89">
        <v>2.132732302277647</v>
      </c>
      <c r="R33" s="84">
        <v>0.5329859184315726</v>
      </c>
      <c r="S33" s="84">
        <v>0</v>
      </c>
      <c r="T33" s="84">
        <v>0.06858293533356466</v>
      </c>
      <c r="U33" s="84">
        <v>0.6015688537651372</v>
      </c>
      <c r="V33" s="84">
        <v>-1.53116344851251</v>
      </c>
      <c r="W33" s="85">
        <v>0.2820648672703522</v>
      </c>
      <c r="X33" s="85">
        <v>0.1723113739852505</v>
      </c>
      <c r="Y33" s="90">
        <v>0.25763067603111267</v>
      </c>
      <c r="Z33" s="85">
        <v>0.16010348337770083</v>
      </c>
      <c r="AA33" s="84" t="s">
        <v>159</v>
      </c>
      <c r="AB33" s="91" t="s">
        <v>160</v>
      </c>
      <c r="AC33" s="84">
        <v>0</v>
      </c>
      <c r="AD33" s="84">
        <v>0.07152783786170096</v>
      </c>
      <c r="AE33" s="84">
        <v>2.5171438876463066</v>
      </c>
      <c r="AF33" s="84">
        <v>0.8332001540801757</v>
      </c>
      <c r="AG33" s="84">
        <v>-1.683943733566131</v>
      </c>
      <c r="AH33" s="85">
        <v>0.33101014136274587</v>
      </c>
      <c r="AI33" s="96" t="s">
        <v>161</v>
      </c>
      <c r="AJ33" s="96" t="s">
        <v>162</v>
      </c>
      <c r="AK33" s="365">
        <f t="shared" si="0"/>
        <v>184.64006255702398</v>
      </c>
    </row>
    <row r="34" spans="1:37" ht="56.25">
      <c r="A34" s="88" t="s">
        <v>409</v>
      </c>
      <c r="B34" s="81" t="s">
        <v>400</v>
      </c>
      <c r="C34" s="81" t="s">
        <v>172</v>
      </c>
      <c r="D34" s="81" t="s">
        <v>174</v>
      </c>
      <c r="E34" s="82">
        <v>818.25</v>
      </c>
      <c r="F34" s="82">
        <v>11.23</v>
      </c>
      <c r="G34" s="82">
        <v>13.569133758544922</v>
      </c>
      <c r="H34" s="83">
        <v>18</v>
      </c>
      <c r="I34" s="83" t="s">
        <v>158</v>
      </c>
      <c r="J34" s="83">
        <v>254.66788212082952</v>
      </c>
      <c r="K34" s="83">
        <v>274.08630813254274</v>
      </c>
      <c r="L34" s="85">
        <v>0</v>
      </c>
      <c r="M34" s="85">
        <v>0</v>
      </c>
      <c r="N34" s="89">
        <v>2.985379970911617</v>
      </c>
      <c r="O34" s="89">
        <v>0.4885891767090254</v>
      </c>
      <c r="P34" s="89">
        <v>0.049506791678127736</v>
      </c>
      <c r="Q34" s="89">
        <v>2.985379970911617</v>
      </c>
      <c r="R34" s="84">
        <v>0.46479680056212935</v>
      </c>
      <c r="S34" s="84">
        <v>0</v>
      </c>
      <c r="T34" s="84">
        <v>0.06176402209168716</v>
      </c>
      <c r="U34" s="84">
        <v>0.5265608226538164</v>
      </c>
      <c r="V34" s="84">
        <v>-2.4588191482578003</v>
      </c>
      <c r="W34" s="85">
        <v>0.17637983365079843</v>
      </c>
      <c r="X34" s="85">
        <v>0.17231138485196315</v>
      </c>
      <c r="Y34" s="90">
        <v>0.18404936790466309</v>
      </c>
      <c r="Z34" s="85">
        <v>0.16010349347453023</v>
      </c>
      <c r="AA34" s="84" t="s">
        <v>159</v>
      </c>
      <c r="AB34" s="91" t="s">
        <v>160</v>
      </c>
      <c r="AC34" s="84">
        <v>0</v>
      </c>
      <c r="AD34" s="84">
        <v>0.07152783786170099</v>
      </c>
      <c r="AE34" s="84">
        <v>3.523475936504853</v>
      </c>
      <c r="AF34" s="84">
        <v>0.7581921567962281</v>
      </c>
      <c r="AG34" s="84">
        <v>-2.765283779708625</v>
      </c>
      <c r="AH34" s="85">
        <v>0.21518300974926605</v>
      </c>
      <c r="AI34" s="96" t="s">
        <v>161</v>
      </c>
      <c r="AJ34" s="96" t="s">
        <v>162</v>
      </c>
      <c r="AK34" s="365">
        <f t="shared" si="0"/>
        <v>115.45848951073532</v>
      </c>
    </row>
    <row r="35" spans="1:37" ht="56.25">
      <c r="A35" s="88" t="s">
        <v>406</v>
      </c>
      <c r="B35" s="81" t="s">
        <v>400</v>
      </c>
      <c r="C35" s="81" t="s">
        <v>170</v>
      </c>
      <c r="D35" s="81" t="s">
        <v>174</v>
      </c>
      <c r="E35" s="82">
        <v>818.25</v>
      </c>
      <c r="F35" s="82">
        <v>11.23</v>
      </c>
      <c r="G35" s="82">
        <v>13.569133758544922</v>
      </c>
      <c r="H35" s="83">
        <v>18</v>
      </c>
      <c r="I35" s="83" t="s">
        <v>158</v>
      </c>
      <c r="J35" s="83">
        <v>246.46161091240617</v>
      </c>
      <c r="K35" s="83">
        <v>265.2543087444771</v>
      </c>
      <c r="L35" s="85">
        <v>0</v>
      </c>
      <c r="M35" s="85">
        <v>0</v>
      </c>
      <c r="N35" s="89">
        <v>3.0847822170090944</v>
      </c>
      <c r="O35" s="89">
        <v>0.5048574112577298</v>
      </c>
      <c r="P35" s="89">
        <v>0.05115518697046405</v>
      </c>
      <c r="Q35" s="89">
        <v>3.0847822170090944</v>
      </c>
      <c r="R35" s="84">
        <v>0.4647968005621298</v>
      </c>
      <c r="S35" s="84">
        <v>0</v>
      </c>
      <c r="T35" s="84">
        <v>0.0617640221055701</v>
      </c>
      <c r="U35" s="84">
        <v>0.5265608226676999</v>
      </c>
      <c r="V35" s="84">
        <v>-2.5582213943413947</v>
      </c>
      <c r="W35" s="85">
        <v>0.1706962714464285</v>
      </c>
      <c r="X35" s="85">
        <v>0.1723113773833561</v>
      </c>
      <c r="Y35" s="90">
        <v>0.17811866104602814</v>
      </c>
      <c r="Z35" s="85">
        <v>0.160103486535058</v>
      </c>
      <c r="AA35" s="84" t="s">
        <v>159</v>
      </c>
      <c r="AB35" s="91" t="s">
        <v>160</v>
      </c>
      <c r="AC35" s="84">
        <v>0</v>
      </c>
      <c r="AD35" s="84">
        <v>0.07152783786170097</v>
      </c>
      <c r="AE35" s="84">
        <v>3.640794812350344</v>
      </c>
      <c r="AF35" s="84">
        <v>0.7581921664745033</v>
      </c>
      <c r="AG35" s="84">
        <v>-2.8826026458758407</v>
      </c>
      <c r="AH35" s="85">
        <v>0.20824907899301426</v>
      </c>
      <c r="AI35" s="96" t="s">
        <v>161</v>
      </c>
      <c r="AJ35" s="96" t="s">
        <v>162</v>
      </c>
      <c r="AK35" s="365">
        <f t="shared" si="0"/>
        <v>111.73802162291514</v>
      </c>
    </row>
    <row r="36" spans="1:37" ht="56.25">
      <c r="A36" s="88" t="s">
        <v>403</v>
      </c>
      <c r="B36" s="81" t="s">
        <v>400</v>
      </c>
      <c r="C36" s="81" t="s">
        <v>173</v>
      </c>
      <c r="D36" s="81" t="s">
        <v>174</v>
      </c>
      <c r="E36" s="82">
        <v>818.25</v>
      </c>
      <c r="F36" s="82">
        <v>11.23</v>
      </c>
      <c r="G36" s="82">
        <v>13.569133758544922</v>
      </c>
      <c r="H36" s="83">
        <v>18</v>
      </c>
      <c r="I36" s="83" t="s">
        <v>158</v>
      </c>
      <c r="J36" s="83">
        <v>232.25358254263074</v>
      </c>
      <c r="K36" s="83">
        <v>249.96291821150632</v>
      </c>
      <c r="L36" s="85">
        <v>0</v>
      </c>
      <c r="M36" s="85">
        <v>0</v>
      </c>
      <c r="N36" s="89">
        <v>3.273492646247787</v>
      </c>
      <c r="O36" s="89">
        <v>0.5357418796190502</v>
      </c>
      <c r="P36" s="89">
        <v>0.05428458691246111</v>
      </c>
      <c r="Q36" s="89">
        <v>3.273492646247787</v>
      </c>
      <c r="R36" s="84">
        <v>0.4647968005621291</v>
      </c>
      <c r="S36" s="84">
        <v>0</v>
      </c>
      <c r="T36" s="84">
        <v>0.06176402502106307</v>
      </c>
      <c r="U36" s="84">
        <v>0.5265608255831922</v>
      </c>
      <c r="V36" s="84">
        <v>-2.746931820664595</v>
      </c>
      <c r="W36" s="85">
        <v>0.16085596715384654</v>
      </c>
      <c r="X36" s="85">
        <v>0.17231139767353926</v>
      </c>
      <c r="Y36" s="90">
        <v>0.16785046458244324</v>
      </c>
      <c r="Z36" s="85">
        <v>0.16010350538772522</v>
      </c>
      <c r="AA36" s="84" t="s">
        <v>159</v>
      </c>
      <c r="AB36" s="91" t="s">
        <v>160</v>
      </c>
      <c r="AC36" s="84">
        <v>0</v>
      </c>
      <c r="AD36" s="84">
        <v>0.07152783786170099</v>
      </c>
      <c r="AE36" s="84">
        <v>3.863519109715746</v>
      </c>
      <c r="AF36" s="84">
        <v>0.7581921724011607</v>
      </c>
      <c r="AG36" s="84">
        <v>-3.1053269373145853</v>
      </c>
      <c r="AH36" s="85">
        <v>0.19624392965845686</v>
      </c>
      <c r="AI36" s="96" t="s">
        <v>161</v>
      </c>
      <c r="AJ36" s="96" t="s">
        <v>162</v>
      </c>
      <c r="AK36" s="365">
        <f t="shared" si="0"/>
        <v>105.29654446290778</v>
      </c>
    </row>
    <row r="37" spans="1:37" ht="56.25">
      <c r="A37" s="88" t="s">
        <v>408</v>
      </c>
      <c r="B37" s="81" t="s">
        <v>400</v>
      </c>
      <c r="C37" s="81" t="s">
        <v>172</v>
      </c>
      <c r="D37" s="81" t="s">
        <v>175</v>
      </c>
      <c r="E37" s="82">
        <v>818.25</v>
      </c>
      <c r="F37" s="82">
        <v>11.23</v>
      </c>
      <c r="G37" s="82">
        <v>13.569133758544922</v>
      </c>
      <c r="H37" s="83">
        <v>18</v>
      </c>
      <c r="I37" s="83" t="s">
        <v>158</v>
      </c>
      <c r="J37" s="83">
        <v>196.08103164461727</v>
      </c>
      <c r="K37" s="83">
        <v>211.03221030751934</v>
      </c>
      <c r="L37" s="85">
        <v>0</v>
      </c>
      <c r="M37" s="85">
        <v>0</v>
      </c>
      <c r="N37" s="89">
        <v>3.877378592621638</v>
      </c>
      <c r="O37" s="89">
        <v>0.6345742360493285</v>
      </c>
      <c r="P37" s="89">
        <v>0.06429887522275284</v>
      </c>
      <c r="Q37" s="89">
        <v>3.877378592621638</v>
      </c>
      <c r="R37" s="84">
        <v>0.4429008759068153</v>
      </c>
      <c r="S37" s="84">
        <v>0</v>
      </c>
      <c r="T37" s="84">
        <v>0.059574429463666076</v>
      </c>
      <c r="U37" s="84">
        <v>0.5024753053704814</v>
      </c>
      <c r="V37" s="84">
        <v>-3.374903287251157</v>
      </c>
      <c r="W37" s="85">
        <v>0.12959149935130254</v>
      </c>
      <c r="X37" s="85">
        <v>0.1723113890757089</v>
      </c>
      <c r="Y37" s="90">
        <v>0.14170843362808228</v>
      </c>
      <c r="Z37" s="85">
        <v>0.16010349739903265</v>
      </c>
      <c r="AA37" s="84" t="s">
        <v>159</v>
      </c>
      <c r="AB37" s="91" t="s">
        <v>160</v>
      </c>
      <c r="AC37" s="84">
        <v>0</v>
      </c>
      <c r="AD37" s="84">
        <v>0.07152783786170097</v>
      </c>
      <c r="AE37" s="84">
        <v>4.576251700265011</v>
      </c>
      <c r="AF37" s="84">
        <v>0.734106658557402</v>
      </c>
      <c r="AG37" s="84">
        <v>-3.8421450417076093</v>
      </c>
      <c r="AH37" s="85">
        <v>0.16041658253082752</v>
      </c>
      <c r="AI37" s="96" t="s">
        <v>161</v>
      </c>
      <c r="AJ37" s="96" t="s">
        <v>162</v>
      </c>
      <c r="AK37" s="365">
        <f t="shared" si="0"/>
        <v>84.83077945382274</v>
      </c>
    </row>
    <row r="38" spans="1:37" ht="56.25">
      <c r="A38" s="88" t="s">
        <v>438</v>
      </c>
      <c r="B38" s="81" t="s">
        <v>400</v>
      </c>
      <c r="C38" s="81" t="s">
        <v>173</v>
      </c>
      <c r="D38" s="81" t="s">
        <v>175</v>
      </c>
      <c r="E38" s="82">
        <v>818.25</v>
      </c>
      <c r="F38" s="82">
        <v>11.23</v>
      </c>
      <c r="G38" s="82">
        <v>13.569133758544922</v>
      </c>
      <c r="H38" s="83">
        <v>18</v>
      </c>
      <c r="I38" s="83" t="s">
        <v>158</v>
      </c>
      <c r="J38" s="83">
        <v>176.4192676064298</v>
      </c>
      <c r="K38" s="83">
        <v>189.87123676142008</v>
      </c>
      <c r="L38" s="85">
        <v>0</v>
      </c>
      <c r="M38" s="85">
        <v>0</v>
      </c>
      <c r="N38" s="89">
        <v>4.309508846925378</v>
      </c>
      <c r="O38" s="89">
        <v>0.7052969471408932</v>
      </c>
      <c r="P38" s="89">
        <v>0.07146492533566323</v>
      </c>
      <c r="Q38" s="89">
        <v>4.309508846925378</v>
      </c>
      <c r="R38" s="84">
        <v>0.4429008759068141</v>
      </c>
      <c r="S38" s="84">
        <v>0</v>
      </c>
      <c r="T38" s="84">
        <v>0.05957443148498506</v>
      </c>
      <c r="U38" s="84">
        <v>0.5024753073917991</v>
      </c>
      <c r="V38" s="84">
        <v>-3.807033539533579</v>
      </c>
      <c r="W38" s="85">
        <v>0.11659688499080133</v>
      </c>
      <c r="X38" s="85">
        <v>0.17231138222033165</v>
      </c>
      <c r="Y38" s="90">
        <v>0.1274988204240799</v>
      </c>
      <c r="Z38" s="85">
        <v>0.16010349102934415</v>
      </c>
      <c r="AA38" s="84" t="s">
        <v>159</v>
      </c>
      <c r="AB38" s="91" t="s">
        <v>160</v>
      </c>
      <c r="AC38" s="84">
        <v>0</v>
      </c>
      <c r="AD38" s="84">
        <v>0.07152783786170097</v>
      </c>
      <c r="AE38" s="84">
        <v>5.086270715368809</v>
      </c>
      <c r="AF38" s="84">
        <v>0.7341066744229571</v>
      </c>
      <c r="AG38" s="84">
        <v>-4.352164040945852</v>
      </c>
      <c r="AH38" s="85">
        <v>0.14433102669992792</v>
      </c>
      <c r="AI38" s="96" t="s">
        <v>161</v>
      </c>
      <c r="AJ38" s="96" t="s">
        <v>162</v>
      </c>
      <c r="AK38" s="365">
        <f t="shared" si="0"/>
        <v>76.3244864452445</v>
      </c>
    </row>
    <row r="39" spans="1:37" ht="56.25">
      <c r="A39" s="88" t="s">
        <v>405</v>
      </c>
      <c r="B39" s="81" t="s">
        <v>400</v>
      </c>
      <c r="C39" s="81" t="s">
        <v>170</v>
      </c>
      <c r="D39" s="81" t="s">
        <v>175</v>
      </c>
      <c r="E39" s="82">
        <v>818.25</v>
      </c>
      <c r="F39" s="82">
        <v>11.23</v>
      </c>
      <c r="G39" s="82">
        <v>13.569133758544922</v>
      </c>
      <c r="H39" s="83">
        <v>18</v>
      </c>
      <c r="I39" s="83" t="s">
        <v>158</v>
      </c>
      <c r="J39" s="83">
        <v>172.830467433345</v>
      </c>
      <c r="K39" s="83">
        <v>186.00879057513757</v>
      </c>
      <c r="L39" s="85">
        <v>0</v>
      </c>
      <c r="M39" s="85">
        <v>0</v>
      </c>
      <c r="N39" s="89">
        <v>4.398995187646646</v>
      </c>
      <c r="O39" s="89">
        <v>0.7199423383358895</v>
      </c>
      <c r="P39" s="89">
        <v>0.07294888438653506</v>
      </c>
      <c r="Q39" s="89">
        <v>4.398995187646646</v>
      </c>
      <c r="R39" s="84">
        <v>0.4429008759068153</v>
      </c>
      <c r="S39" s="84">
        <v>0</v>
      </c>
      <c r="T39" s="84">
        <v>0.05957442902785556</v>
      </c>
      <c r="U39" s="84">
        <v>0.5024753049346709</v>
      </c>
      <c r="V39" s="84">
        <v>-3.896519882711975</v>
      </c>
      <c r="W39" s="85">
        <v>0.11422501810089107</v>
      </c>
      <c r="X39" s="85">
        <v>0.17231138269102125</v>
      </c>
      <c r="Y39" s="90">
        <v>0.12490517646074295</v>
      </c>
      <c r="Z39" s="85">
        <v>0.1601034914666864</v>
      </c>
      <c r="AA39" s="84" t="s">
        <v>159</v>
      </c>
      <c r="AB39" s="91" t="s">
        <v>160</v>
      </c>
      <c r="AC39" s="84">
        <v>0</v>
      </c>
      <c r="AD39" s="84">
        <v>0.07152783786170097</v>
      </c>
      <c r="AE39" s="84">
        <v>5.191886406252198</v>
      </c>
      <c r="AF39" s="84">
        <v>0.734106665316933</v>
      </c>
      <c r="AG39" s="84">
        <v>-4.4577797409352655</v>
      </c>
      <c r="AH39" s="85">
        <v>0.14139497821695474</v>
      </c>
      <c r="AI39" s="96" t="s">
        <v>161</v>
      </c>
      <c r="AJ39" s="96" t="s">
        <v>162</v>
      </c>
      <c r="AK39" s="365">
        <f t="shared" si="0"/>
        <v>74.77185901181727</v>
      </c>
    </row>
  </sheetData>
  <mergeCells count="4">
    <mergeCell ref="X2:Z2"/>
    <mergeCell ref="AE2:AH2"/>
    <mergeCell ref="AA2:AD2"/>
    <mergeCell ref="A2:W2"/>
  </mergeCells>
  <printOptions/>
  <pageMargins left="0.75" right="0.75" top="1" bottom="1" header="0.5" footer="0.5"/>
  <pageSetup horizontalDpi="600" verticalDpi="600" orientation="landscape" scale="60" r:id="rId3"/>
  <legacyDrawing r:id="rId2"/>
</worksheet>
</file>

<file path=xl/worksheets/sheet2.xml><?xml version="1.0" encoding="utf-8"?>
<worksheet xmlns="http://schemas.openxmlformats.org/spreadsheetml/2006/main" xmlns:r="http://schemas.openxmlformats.org/officeDocument/2006/relationships">
  <sheetPr codeName="Sheet2"/>
  <dimension ref="A2:AL39"/>
  <sheetViews>
    <sheetView tabSelected="1" workbookViewId="0" topLeftCell="A1">
      <selection activeCell="A1" sqref="A1"/>
    </sheetView>
  </sheetViews>
  <sheetFormatPr defaultColWidth="9.140625" defaultRowHeight="12.75"/>
  <cols>
    <col min="1" max="1" width="27.57421875" style="0" customWidth="1"/>
    <col min="2" max="2" width="49.28125" style="0" customWidth="1"/>
    <col min="3" max="3" width="18.421875" style="0" customWidth="1"/>
    <col min="4" max="4" width="8.421875" style="0" customWidth="1"/>
    <col min="5" max="5" width="11.57421875" style="0" customWidth="1"/>
    <col min="6" max="6" width="10.8515625" style="0" customWidth="1"/>
    <col min="7" max="7" width="11.8515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3.0039062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17.5742187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2.28125" style="0" customWidth="1"/>
  </cols>
  <sheetData>
    <row r="1" ht="13.5" thickBot="1"/>
    <row r="2" spans="1:36" s="76" customFormat="1" ht="33" customHeight="1" thickBot="1">
      <c r="A2" s="479" t="s">
        <v>111</v>
      </c>
      <c r="B2" s="480"/>
      <c r="C2" s="480"/>
      <c r="D2" s="480"/>
      <c r="E2" s="480"/>
      <c r="F2" s="480"/>
      <c r="G2" s="480"/>
      <c r="H2" s="480"/>
      <c r="I2" s="480"/>
      <c r="J2" s="480"/>
      <c r="K2" s="480"/>
      <c r="L2" s="480"/>
      <c r="M2" s="480"/>
      <c r="N2" s="480"/>
      <c r="O2" s="480"/>
      <c r="P2" s="480"/>
      <c r="Q2" s="480"/>
      <c r="R2" s="480"/>
      <c r="S2" s="480"/>
      <c r="T2" s="480"/>
      <c r="U2" s="480"/>
      <c r="V2" s="480"/>
      <c r="W2" s="481"/>
      <c r="X2" s="479" t="s">
        <v>112</v>
      </c>
      <c r="Y2" s="480"/>
      <c r="Z2" s="481"/>
      <c r="AA2" s="480" t="s">
        <v>113</v>
      </c>
      <c r="AB2" s="480"/>
      <c r="AC2" s="480"/>
      <c r="AD2" s="483"/>
      <c r="AE2" s="482" t="s">
        <v>114</v>
      </c>
      <c r="AF2" s="480"/>
      <c r="AG2" s="480"/>
      <c r="AH2" s="483"/>
      <c r="AI2" s="74"/>
      <c r="AJ2" s="75"/>
    </row>
    <row r="3" spans="1:38" s="80" customFormat="1" ht="79.5" thickBot="1">
      <c r="A3" s="77" t="s">
        <v>115</v>
      </c>
      <c r="B3" s="78" t="s">
        <v>116</v>
      </c>
      <c r="C3" s="78" t="s">
        <v>117</v>
      </c>
      <c r="D3" s="78" t="s">
        <v>118</v>
      </c>
      <c r="E3" s="78" t="s">
        <v>148</v>
      </c>
      <c r="F3" s="78" t="s">
        <v>149</v>
      </c>
      <c r="G3" s="78" t="s">
        <v>150</v>
      </c>
      <c r="H3" s="78" t="s">
        <v>119</v>
      </c>
      <c r="I3" s="78" t="s">
        <v>151</v>
      </c>
      <c r="J3" s="78" t="s">
        <v>120</v>
      </c>
      <c r="K3" s="78" t="s">
        <v>121</v>
      </c>
      <c r="L3" s="78" t="s">
        <v>122</v>
      </c>
      <c r="M3" s="78" t="s">
        <v>123</v>
      </c>
      <c r="N3" s="78" t="s">
        <v>152</v>
      </c>
      <c r="O3" s="78" t="s">
        <v>124</v>
      </c>
      <c r="P3" s="78" t="s">
        <v>153</v>
      </c>
      <c r="Q3" s="78" t="s">
        <v>125</v>
      </c>
      <c r="R3" s="78" t="s">
        <v>126</v>
      </c>
      <c r="S3" s="78" t="s">
        <v>130</v>
      </c>
      <c r="T3" s="78" t="s">
        <v>131</v>
      </c>
      <c r="U3" s="78" t="s">
        <v>132</v>
      </c>
      <c r="V3" s="78" t="s">
        <v>133</v>
      </c>
      <c r="W3" s="78" t="s">
        <v>134</v>
      </c>
      <c r="X3" s="77" t="s">
        <v>135</v>
      </c>
      <c r="Y3" s="77" t="s">
        <v>136</v>
      </c>
      <c r="Z3" s="78" t="s">
        <v>137</v>
      </c>
      <c r="AA3" s="78" t="s">
        <v>138</v>
      </c>
      <c r="AB3" s="78" t="s">
        <v>139</v>
      </c>
      <c r="AC3" s="78" t="s">
        <v>140</v>
      </c>
      <c r="AD3" s="78" t="s">
        <v>141</v>
      </c>
      <c r="AE3" s="78" t="s">
        <v>142</v>
      </c>
      <c r="AF3" s="78" t="s">
        <v>143</v>
      </c>
      <c r="AG3" s="78" t="s">
        <v>144</v>
      </c>
      <c r="AH3" s="79" t="s">
        <v>134</v>
      </c>
      <c r="AI3" s="95" t="s">
        <v>145</v>
      </c>
      <c r="AJ3" s="95" t="s">
        <v>146</v>
      </c>
      <c r="AK3" s="477" t="s">
        <v>61</v>
      </c>
      <c r="AL3" s="76"/>
    </row>
    <row r="4" spans="1:37" ht="67.5">
      <c r="A4" s="88" t="str">
        <f>'CAC and HP Upgrades'!B141</f>
        <v>Post79/Pre93 Single Family Construction HP Upgrade w/PTCS  - Zone 3 Heat - Zone 3 Cool</v>
      </c>
      <c r="B4" s="81" t="str">
        <f>VLOOKUP($A4,LookupTable!$A$3:$D$38,2,0)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4" s="81" t="str">
        <f>VLOOKUP($A4,LookupTable!$A$3:$D$38,3,0)</f>
        <v>Single Family Dwellings with existing air source heat pump built between to 1980 and 1992</v>
      </c>
      <c r="D4" s="81" t="str">
        <f>VLOOKUP($A4,LookupTable!$A$3:$D$38,4,0)</f>
        <v>Heating Zone 3 - Cooling Zone 3</v>
      </c>
      <c r="E4" s="82">
        <f>'CAC and HP Upgrades'!E141</f>
        <v>1040.16</v>
      </c>
      <c r="F4" s="82">
        <f>'CAC and HP Upgrades'!F141</f>
        <v>0</v>
      </c>
      <c r="G4" s="82">
        <f>'CAC and HP Upgrades'!G141</f>
        <v>0</v>
      </c>
      <c r="H4" s="83">
        <f>'CAC and HP Upgrades'!C141</f>
        <v>18</v>
      </c>
      <c r="I4" s="83" t="s">
        <v>158</v>
      </c>
      <c r="J4" s="83">
        <f>'CAC and HP Upgrades'!D141</f>
        <v>8611.592717283367</v>
      </c>
      <c r="K4" s="83">
        <f>'CAC and HP Upgrades'!K141</f>
        <v>9268.226661976223</v>
      </c>
      <c r="L4" s="85">
        <f>'CAC and HP Upgrades'!J141</f>
        <v>0.31250375509262085</v>
      </c>
      <c r="M4" s="85">
        <f>'CAC and HP Upgrades'!L141</f>
        <v>2.0926215081372406</v>
      </c>
      <c r="N4" s="89">
        <f>'CAC and HP Upgrades'!N141/'CAC and HP Upgrades'!K141</f>
        <v>0.112228246015803</v>
      </c>
      <c r="O4" s="89">
        <f>('CAC and HP Upgrades'!O141/'CAC and HP Upgrades'!$K141)</f>
        <v>0</v>
      </c>
      <c r="P4" s="89">
        <f>('CAC and HP Upgrades'!P141/'CAC and HP Upgrades'!$K141)</f>
        <v>0</v>
      </c>
      <c r="Q4" s="89">
        <f>('CAC and HP Upgrades'!N141/'CAC and HP Upgrades'!$K141)</f>
        <v>0.112228246015803</v>
      </c>
      <c r="R4" s="84">
        <f>'CAC and HP Upgrades'!S141/'CAC and HP Upgrades'!$K141</f>
        <v>0.38857902020462864</v>
      </c>
      <c r="S4" s="84">
        <f>'CAC and HP Upgrades'!T141/'CAC and HP Upgrades'!$K141</f>
        <v>0.008074937096335664</v>
      </c>
      <c r="T4" s="84">
        <f>'CAC and HP Upgrades'!U141/'CAC and HP Upgrades'!$K141</f>
        <v>0.055934995096471346</v>
      </c>
      <c r="U4" s="84">
        <f>'CAC and HP Upgrades'!V141/'CAC and HP Upgrades'!$K141</f>
        <v>0.45222278802708255</v>
      </c>
      <c r="V4" s="84">
        <f aca="true" t="shared" si="0" ref="V4:V30">U4-Q4</f>
        <v>0.33999454201127954</v>
      </c>
      <c r="W4" s="85">
        <f aca="true" t="shared" si="1" ref="W4:W30">U4/Q4</f>
        <v>4.029491719610449</v>
      </c>
      <c r="X4" s="85">
        <f>'CAC and HP Upgrades'!Y141/'CAC and HP Upgrades'!D141</f>
        <v>0.18383172966340694</v>
      </c>
      <c r="Y4" s="90">
        <f>'CAC and HP Upgrades'!M141</f>
        <v>6.6397247314453125</v>
      </c>
      <c r="Z4" s="85">
        <f>'CAC and HP Upgrades'!Y141/'CAC and HP Upgrades'!K141</f>
        <v>0.17080764660943737</v>
      </c>
      <c r="AA4" s="84" t="s">
        <v>159</v>
      </c>
      <c r="AB4" s="91" t="s">
        <v>160</v>
      </c>
      <c r="AC4" s="84">
        <f>'CAC and HP Upgrades'!Z141/'CAC and HP Upgrades'!$K141</f>
        <v>0</v>
      </c>
      <c r="AD4" s="84">
        <f>'CAC and HP Upgrades'!AA141/'CAC and HP Upgrades'!$K141</f>
        <v>0</v>
      </c>
      <c r="AE4" s="84">
        <f>'CAC and HP Upgrades'!AC141/'CAC and HP Upgrades'!$K141</f>
        <v>0.11222825015910588</v>
      </c>
      <c r="AF4" s="84">
        <f>'CAC and HP Upgrades'!AB141/'CAC and HP Upgrades'!$K141</f>
        <v>0.6230304261678472</v>
      </c>
      <c r="AG4" s="84">
        <f aca="true" t="shared" si="2" ref="AG4:AG30">AF4-AE4</f>
        <v>0.5108021760087413</v>
      </c>
      <c r="AH4" s="85">
        <f aca="true" t="shared" si="3" ref="AH4:AH30">AF4/AE4</f>
        <v>5.551458080158762</v>
      </c>
      <c r="AI4" s="96" t="s">
        <v>161</v>
      </c>
      <c r="AJ4" s="96" t="s">
        <v>162</v>
      </c>
      <c r="AK4" s="478">
        <f>VLOOKUP(A4,'CAC and HP Upgrades'!$B$141:$R$176,17,0)</f>
        <v>9.414090186376441</v>
      </c>
    </row>
    <row r="5" spans="1:37" ht="67.5">
      <c r="A5" s="88" t="str">
        <f>'CAC and HP Upgrades'!B142</f>
        <v>Post79/Pre93 Single Family Construction HP Upgrade w/PTCS  - Zone 3 Heat - Zone 2 Cool</v>
      </c>
      <c r="B5" s="81" t="str">
        <f>VLOOKUP($A5,LookupTable!$A$3:$D$38,2,0)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5" s="81" t="str">
        <f>VLOOKUP($A5,LookupTable!$A$3:$D$38,3,0)</f>
        <v>Single Family Dwellings with existing air source heat pump built between to 1980 and 1992</v>
      </c>
      <c r="D5" s="81" t="str">
        <f>VLOOKUP($A5,LookupTable!$A$3:$D$38,4,0)</f>
        <v>Heating Zone 3 - Cooling Zone 2</v>
      </c>
      <c r="E5" s="82">
        <f>'CAC and HP Upgrades'!E142</f>
        <v>1040.16</v>
      </c>
      <c r="F5" s="82">
        <f>'CAC and HP Upgrades'!F142</f>
        <v>0</v>
      </c>
      <c r="G5" s="82">
        <f>'CAC and HP Upgrades'!G142</f>
        <v>0</v>
      </c>
      <c r="H5" s="83">
        <f>'CAC and HP Upgrades'!C142</f>
        <v>18</v>
      </c>
      <c r="I5" s="83" t="s">
        <v>158</v>
      </c>
      <c r="J5" s="83">
        <f>'CAC and HP Upgrades'!D142</f>
        <v>8115.393038778548</v>
      </c>
      <c r="K5" s="83">
        <f>'CAC and HP Upgrades'!K142</f>
        <v>8734.19175798541</v>
      </c>
      <c r="L5" s="85">
        <f>'CAC and HP Upgrades'!J142</f>
        <v>0.33161118626594543</v>
      </c>
      <c r="M5" s="85">
        <f>'CAC and HP Upgrades'!L142</f>
        <v>2.0926215081372406</v>
      </c>
      <c r="N5" s="89">
        <f>'CAC and HP Upgrades'!N142/'CAC and HP Upgrades'!K142</f>
        <v>0.1190902204545152</v>
      </c>
      <c r="O5" s="89">
        <f>('CAC and HP Upgrades'!O142/'CAC and HP Upgrades'!$K142)</f>
        <v>0</v>
      </c>
      <c r="P5" s="89">
        <f>('CAC and HP Upgrades'!P142/'CAC and HP Upgrades'!$K142)</f>
        <v>0</v>
      </c>
      <c r="Q5" s="89">
        <f>('CAC and HP Upgrades'!N142/'CAC and HP Upgrades'!$K142)</f>
        <v>0.1190902204545152</v>
      </c>
      <c r="R5" s="84">
        <f>'CAC and HP Upgrades'!S142/'CAC and HP Upgrades'!$K142</f>
        <v>0.3655728003419832</v>
      </c>
      <c r="S5" s="84">
        <f>'CAC and HP Upgrades'!T142/'CAC and HP Upgrades'!$K142</f>
        <v>0.008568663176145035</v>
      </c>
      <c r="T5" s="84">
        <f>'CAC and HP Upgrades'!U142/'CAC and HP Upgrades'!$K142</f>
        <v>0.053743989351816415</v>
      </c>
      <c r="U5" s="84">
        <f>'CAC and HP Upgrades'!V142/'CAC and HP Upgrades'!$K142</f>
        <v>0.42749689791861145</v>
      </c>
      <c r="V5" s="84">
        <f t="shared" si="0"/>
        <v>0.3084066774640962</v>
      </c>
      <c r="W5" s="85">
        <f t="shared" si="1"/>
        <v>3.5896893656510422</v>
      </c>
      <c r="X5" s="85">
        <f>'CAC and HP Upgrades'!Y142/'CAC and HP Upgrades'!D142</f>
        <v>0.18453611830342287</v>
      </c>
      <c r="Y5" s="90">
        <f>'CAC and HP Upgrades'!M142</f>
        <v>6.2811198234558105</v>
      </c>
      <c r="Z5" s="85">
        <f>'CAC and HP Upgrades'!Y142/'CAC and HP Upgrades'!K142</f>
        <v>0.17146213082780293</v>
      </c>
      <c r="AA5" s="84" t="s">
        <v>159</v>
      </c>
      <c r="AB5" s="91" t="s">
        <v>160</v>
      </c>
      <c r="AC5" s="84">
        <f>'CAC and HP Upgrades'!Z142/'CAC and HP Upgrades'!$K142</f>
        <v>0</v>
      </c>
      <c r="AD5" s="84">
        <f>'CAC and HP Upgrades'!AA142/'CAC and HP Upgrades'!$K142</f>
        <v>0</v>
      </c>
      <c r="AE5" s="84">
        <f>'CAC and HP Upgrades'!AC142/'CAC and HP Upgrades'!$K142</f>
        <v>0.11909022485115216</v>
      </c>
      <c r="AF5" s="84">
        <f>'CAC and HP Upgrades'!AB142/'CAC and HP Upgrades'!$K142</f>
        <v>0.5989590103491335</v>
      </c>
      <c r="AG5" s="84">
        <f t="shared" si="2"/>
        <v>0.4798687854979813</v>
      </c>
      <c r="AH5" s="85">
        <f t="shared" si="3"/>
        <v>5.029455701320214</v>
      </c>
      <c r="AI5" s="96" t="s">
        <v>161</v>
      </c>
      <c r="AJ5" s="96" t="s">
        <v>162</v>
      </c>
      <c r="AK5" s="478">
        <f>VLOOKUP(A5,'CAC and HP Upgrades'!$B$141:$R$176,17,0)</f>
        <v>9.989696136892233</v>
      </c>
    </row>
    <row r="6" spans="1:37" ht="56.25">
      <c r="A6" s="88" t="str">
        <f>'CAC and HP Upgrades'!B143</f>
        <v>Post79/Pre93 Single Family Construction HP Upgrade w/PTCS  - Zone 2 Heat - Zone 3 Cool</v>
      </c>
      <c r="B6" s="81" t="str">
        <f>VLOOKUP($A6,LookupTable!$A$3:$D$38,2,0)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6" s="81" t="str">
        <f>VLOOKUP($A6,LookupTable!$A$3:$D$38,3,0)</f>
        <v>Single Family Dwellings with existing air source heat pump built between to 1980 and 1992</v>
      </c>
      <c r="D6" s="81" t="str">
        <f>VLOOKUP($A6,LookupTable!$A$3:$D$38,4,0)</f>
        <v>Heating Zone 2 - Cooling Zone 3</v>
      </c>
      <c r="E6" s="82">
        <f>'CAC and HP Upgrades'!E143</f>
        <v>1040.16</v>
      </c>
      <c r="F6" s="82">
        <f>'CAC and HP Upgrades'!F143</f>
        <v>0</v>
      </c>
      <c r="G6" s="82">
        <f>'CAC and HP Upgrades'!G143</f>
        <v>0</v>
      </c>
      <c r="H6" s="83">
        <f>'CAC and HP Upgrades'!C143</f>
        <v>18</v>
      </c>
      <c r="I6" s="83" t="s">
        <v>158</v>
      </c>
      <c r="J6" s="83">
        <f>'CAC and HP Upgrades'!D143</f>
        <v>7377.799398217039</v>
      </c>
      <c r="K6" s="83">
        <f>'CAC and HP Upgrades'!K143</f>
        <v>7940.356602331089</v>
      </c>
      <c r="L6" s="85">
        <f>'CAC and HP Upgrades'!J143</f>
        <v>0.305397093296051</v>
      </c>
      <c r="M6" s="85">
        <f>'CAC and HP Upgrades'!L143</f>
        <v>1.7520386972249211</v>
      </c>
      <c r="N6" s="89">
        <f>'CAC and HP Upgrades'!N143/'CAC and HP Upgrades'!K143</f>
        <v>0.13099623531330173</v>
      </c>
      <c r="O6" s="89">
        <f>('CAC and HP Upgrades'!O143/'CAC and HP Upgrades'!$K143)</f>
        <v>0</v>
      </c>
      <c r="P6" s="89">
        <f>('CAC and HP Upgrades'!P143/'CAC and HP Upgrades'!$K143)</f>
        <v>0</v>
      </c>
      <c r="Q6" s="89">
        <f>('CAC and HP Upgrades'!N143/'CAC and HP Upgrades'!$K143)</f>
        <v>0.13099623531330173</v>
      </c>
      <c r="R6" s="84">
        <f>'CAC and HP Upgrades'!S143/'CAC and HP Upgrades'!$K143</f>
        <v>0.39201897048345313</v>
      </c>
      <c r="S6" s="84">
        <f>'CAC and HP Upgrades'!T143/'CAC and HP Upgrades'!$K143</f>
        <v>0.007891304396477715</v>
      </c>
      <c r="T6" s="84">
        <f>'CAC and HP Upgrades'!U143/'CAC and HP Upgrades'!$K143</f>
        <v>0.05623822285996032</v>
      </c>
      <c r="U6" s="84">
        <f>'CAC and HP Upgrades'!V143/'CAC and HP Upgrades'!$K143</f>
        <v>0.455790656972982</v>
      </c>
      <c r="V6" s="84">
        <f t="shared" si="0"/>
        <v>0.32479442165968025</v>
      </c>
      <c r="W6" s="85">
        <f t="shared" si="1"/>
        <v>3.4794179839052193</v>
      </c>
      <c r="X6" s="85">
        <f>'CAC and HP Upgrades'!Y143/'CAC and HP Upgrades'!D143</f>
        <v>0.18356973741648291</v>
      </c>
      <c r="Y6" s="90">
        <f>'CAC and HP Upgrades'!M143</f>
        <v>5.6803364753723145</v>
      </c>
      <c r="Z6" s="85">
        <f>'CAC and HP Upgrades'!Y143/'CAC and HP Upgrades'!K143</f>
        <v>0.17056421595027446</v>
      </c>
      <c r="AA6" s="84" t="s">
        <v>159</v>
      </c>
      <c r="AB6" s="91" t="s">
        <v>160</v>
      </c>
      <c r="AC6" s="84">
        <f>'CAC and HP Upgrades'!Z143/'CAC and HP Upgrades'!$K143</f>
        <v>0</v>
      </c>
      <c r="AD6" s="84">
        <f>'CAC and HP Upgrades'!AA143/'CAC and HP Upgrades'!$K143</f>
        <v>0</v>
      </c>
      <c r="AE6" s="84">
        <f>'CAC and HP Upgrades'!AC143/'CAC and HP Upgrades'!$K143</f>
        <v>0.13099624014949135</v>
      </c>
      <c r="AF6" s="84">
        <f>'CAC and HP Upgrades'!AB143/'CAC and HP Upgrades'!$K143</f>
        <v>0.6263548611369874</v>
      </c>
      <c r="AG6" s="84">
        <f t="shared" si="2"/>
        <v>0.495358620987496</v>
      </c>
      <c r="AH6" s="85">
        <f t="shared" si="3"/>
        <v>4.781472051581012</v>
      </c>
      <c r="AI6" s="96" t="s">
        <v>161</v>
      </c>
      <c r="AJ6" s="96" t="s">
        <v>162</v>
      </c>
      <c r="AK6" s="478">
        <f>VLOOKUP(A6,'CAC and HP Upgrades'!$B$141:$R$176,17,0)</f>
        <v>10.988413497450212</v>
      </c>
    </row>
    <row r="7" spans="1:37" ht="56.25">
      <c r="A7" s="88" t="str">
        <f>'CAC and HP Upgrades'!B144</f>
        <v>Post79/Pre93 Single Family Construction HP Upgrade w/PTCS  - Zone 3 Heat - Zone 1 Cool</v>
      </c>
      <c r="B7" s="81" t="str">
        <f>VLOOKUP($A7,LookupTable!$A$3:$D$38,2,0)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7" s="81" t="str">
        <f>VLOOKUP($A7,LookupTable!$A$3:$D$38,3,0)</f>
        <v>Single Family Dwellings with existing air source heat pump built between to 1980 and 1992</v>
      </c>
      <c r="D7" s="81" t="str">
        <f>VLOOKUP($A7,LookupTable!$A$3:$D$38,4,0)</f>
        <v>Heating Zone 3 - Cooling Zone 1</v>
      </c>
      <c r="E7" s="82">
        <f>'CAC and HP Upgrades'!E144</f>
        <v>1040.16</v>
      </c>
      <c r="F7" s="82">
        <f>'CAC and HP Upgrades'!F144</f>
        <v>0</v>
      </c>
      <c r="G7" s="82">
        <f>'CAC and HP Upgrades'!G144</f>
        <v>0</v>
      </c>
      <c r="H7" s="83">
        <f>'CAC and HP Upgrades'!C144</f>
        <v>18</v>
      </c>
      <c r="I7" s="83" t="s">
        <v>158</v>
      </c>
      <c r="J7" s="83">
        <f>'CAC and HP Upgrades'!D144</f>
        <v>7835.569588712074</v>
      </c>
      <c r="K7" s="83">
        <f>'CAC and HP Upgrades'!K144</f>
        <v>8433.031769851368</v>
      </c>
      <c r="L7" s="85">
        <f>'CAC and HP Upgrades'!J144</f>
        <v>0.34345364570617676</v>
      </c>
      <c r="M7" s="85">
        <f>'CAC and HP Upgrades'!L144</f>
        <v>2.0926215081372406</v>
      </c>
      <c r="N7" s="89">
        <f>'CAC and HP Upgrades'!N144/'CAC and HP Upgrades'!K144</f>
        <v>0.12334316415943314</v>
      </c>
      <c r="O7" s="89">
        <f>('CAC and HP Upgrades'!O144/'CAC and HP Upgrades'!$K144)</f>
        <v>0</v>
      </c>
      <c r="P7" s="89">
        <f>('CAC and HP Upgrades'!P144/'CAC and HP Upgrades'!$K144)</f>
        <v>0</v>
      </c>
      <c r="Q7" s="89">
        <f>('CAC and HP Upgrades'!N144/'CAC and HP Upgrades'!$K144)</f>
        <v>0.12334316415943314</v>
      </c>
      <c r="R7" s="84">
        <f>'CAC and HP Upgrades'!S144/'CAC and HP Upgrades'!$K144</f>
        <v>0.35607403379482605</v>
      </c>
      <c r="S7" s="84">
        <f>'CAC and HP Upgrades'!T144/'CAC and HP Upgrades'!$K144</f>
        <v>0.008874666825944866</v>
      </c>
      <c r="T7" s="84">
        <f>'CAC and HP Upgrades'!U144/'CAC and HP Upgrades'!$K144</f>
        <v>0.05286205076439336</v>
      </c>
      <c r="U7" s="84">
        <f>'CAC and HP Upgrades'!V144/'CAC and HP Upgrades'!$K144</f>
        <v>0.41740831970126646</v>
      </c>
      <c r="V7" s="84">
        <f t="shared" si="0"/>
        <v>0.2940651555418333</v>
      </c>
      <c r="W7" s="85">
        <f t="shared" si="1"/>
        <v>3.384122035021943</v>
      </c>
      <c r="X7" s="85">
        <f>'CAC and HP Upgrades'!Y144/'CAC and HP Upgrades'!D144</f>
        <v>0.18497268342760564</v>
      </c>
      <c r="Y7" s="90">
        <f>'CAC and HP Upgrades'!M144</f>
        <v>6.078890323638916</v>
      </c>
      <c r="Z7" s="85">
        <f>'CAC and HP Upgrades'!Y144/'CAC and HP Upgrades'!K144</f>
        <v>0.17186776625096925</v>
      </c>
      <c r="AA7" s="84" t="s">
        <v>159</v>
      </c>
      <c r="AB7" s="91" t="s">
        <v>160</v>
      </c>
      <c r="AC7" s="84">
        <f>'CAC and HP Upgrades'!Z144/'CAC and HP Upgrades'!$K144</f>
        <v>0</v>
      </c>
      <c r="AD7" s="84">
        <f>'CAC and HP Upgrades'!AA144/'CAC and HP Upgrades'!$K144</f>
        <v>0</v>
      </c>
      <c r="AE7" s="84">
        <f>'CAC and HP Upgrades'!AC144/'CAC and HP Upgrades'!$K144</f>
        <v>0.12334316871308255</v>
      </c>
      <c r="AF7" s="84">
        <f>'CAC and HP Upgrades'!AB144/'CAC and HP Upgrades'!$K144</f>
        <v>0.5892760663879351</v>
      </c>
      <c r="AG7" s="84">
        <f t="shared" si="2"/>
        <v>0.4659328976748525</v>
      </c>
      <c r="AH7" s="85">
        <f t="shared" si="3"/>
        <v>4.7775330611028215</v>
      </c>
      <c r="AI7" s="96" t="s">
        <v>161</v>
      </c>
      <c r="AJ7" s="96" t="s">
        <v>162</v>
      </c>
      <c r="AK7" s="478">
        <f>VLOOKUP(A7,'CAC and HP Upgrades'!$B$141:$R$176,17,0)</f>
        <v>10.346447641233143</v>
      </c>
    </row>
    <row r="8" spans="1:37" ht="56.25">
      <c r="A8" s="88" t="str">
        <f>'CAC and HP Upgrades'!B145</f>
        <v>Post79/Pre93 Single Family Construction HP Upgrade w/PTCS  - Zone 2 Heat - Zone 2 Cool</v>
      </c>
      <c r="B8" s="81" t="str">
        <f>VLOOKUP($A8,LookupTable!$A$3:$D$38,2,0)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8" s="81" t="str">
        <f>VLOOKUP($A8,LookupTable!$A$3:$D$38,3,0)</f>
        <v>Single Family Dwellings with existing air source heat pump built between to 1980 and 1992</v>
      </c>
      <c r="D8" s="81" t="str">
        <f>VLOOKUP($A8,LookupTable!$A$3:$D$38,4,0)</f>
        <v>Heating Zone 2 - Cooling Zone 2</v>
      </c>
      <c r="E8" s="82">
        <f>'CAC and HP Upgrades'!E145</f>
        <v>1040.16</v>
      </c>
      <c r="F8" s="82">
        <f>'CAC and HP Upgrades'!F145</f>
        <v>0</v>
      </c>
      <c r="G8" s="82">
        <f>'CAC and HP Upgrades'!G145</f>
        <v>0</v>
      </c>
      <c r="H8" s="83">
        <f>'CAC and HP Upgrades'!C145</f>
        <v>18</v>
      </c>
      <c r="I8" s="83" t="s">
        <v>158</v>
      </c>
      <c r="J8" s="83">
        <f>'CAC and HP Upgrades'!D145</f>
        <v>6881.59971971222</v>
      </c>
      <c r="K8" s="83">
        <f>'CAC and HP Upgrades'!K145</f>
        <v>7406.321698340277</v>
      </c>
      <c r="L8" s="85">
        <f>'CAC and HP Upgrades'!J145</f>
        <v>0.3274178206920624</v>
      </c>
      <c r="M8" s="85">
        <f>'CAC and HP Upgrades'!L145</f>
        <v>1.7520386972249211</v>
      </c>
      <c r="N8" s="89">
        <f>'CAC and HP Upgrades'!N145/'CAC and HP Upgrades'!K145</f>
        <v>0.1404417556131253</v>
      </c>
      <c r="O8" s="89">
        <f>('CAC and HP Upgrades'!O145/'CAC and HP Upgrades'!$K145)</f>
        <v>0</v>
      </c>
      <c r="P8" s="89">
        <f>('CAC and HP Upgrades'!P145/'CAC and HP Upgrades'!$K145)</f>
        <v>0</v>
      </c>
      <c r="Q8" s="89">
        <f>('CAC and HP Upgrades'!N145/'CAC and HP Upgrades'!$K145)</f>
        <v>0.1404417556131253</v>
      </c>
      <c r="R8" s="84">
        <f>'CAC and HP Upgrades'!S145/'CAC and HP Upgrades'!$K145</f>
        <v>0.3651360331092297</v>
      </c>
      <c r="S8" s="84">
        <f>'CAC and HP Upgrades'!T145/'CAC and HP Upgrades'!$K145</f>
        <v>0.008460309113985414</v>
      </c>
      <c r="T8" s="84">
        <f>'CAC and HP Upgrades'!U145/'CAC and HP Upgrades'!$K145</f>
        <v>0.05367625466609536</v>
      </c>
      <c r="U8" s="84">
        <f>'CAC and HP Upgrades'!V145/'CAC and HP Upgrades'!$K145</f>
        <v>0.4268889554586857</v>
      </c>
      <c r="V8" s="84">
        <f t="shared" si="0"/>
        <v>0.28644719984556044</v>
      </c>
      <c r="W8" s="85">
        <f t="shared" si="1"/>
        <v>3.0396156299458124</v>
      </c>
      <c r="X8" s="85">
        <f>'CAC and HP Upgrades'!Y145/'CAC and HP Upgrades'!D145</f>
        <v>0.1843815239813253</v>
      </c>
      <c r="Y8" s="90">
        <f>'CAC and HP Upgrades'!M145</f>
        <v>5.3217315673828125</v>
      </c>
      <c r="Z8" s="85">
        <f>'CAC and HP Upgrades'!Y145/'CAC and HP Upgrades'!K145</f>
        <v>0.1713184891812546</v>
      </c>
      <c r="AA8" s="84" t="s">
        <v>159</v>
      </c>
      <c r="AB8" s="91" t="s">
        <v>160</v>
      </c>
      <c r="AC8" s="84">
        <f>'CAC and HP Upgrades'!Z145/'CAC and HP Upgrades'!$K145</f>
        <v>0</v>
      </c>
      <c r="AD8" s="84">
        <f>'CAC and HP Upgrades'!AA145/'CAC and HP Upgrades'!$K145</f>
        <v>0</v>
      </c>
      <c r="AE8" s="84">
        <f>'CAC and HP Upgrades'!AC145/'CAC and HP Upgrades'!$K145</f>
        <v>0.14044176079802972</v>
      </c>
      <c r="AF8" s="84">
        <f>'CAC and HP Upgrades'!AB145/'CAC and HP Upgrades'!$K145</f>
        <v>0.5982074209057593</v>
      </c>
      <c r="AG8" s="84">
        <f t="shared" si="2"/>
        <v>0.45776566010772957</v>
      </c>
      <c r="AH8" s="85">
        <f t="shared" si="3"/>
        <v>4.2594696727424655</v>
      </c>
      <c r="AI8" s="96" t="s">
        <v>161</v>
      </c>
      <c r="AJ8" s="96" t="s">
        <v>162</v>
      </c>
      <c r="AK8" s="478">
        <f>VLOOKUP(A8,'CAC and HP Upgrades'!$B$141:$R$176,17,0)</f>
        <v>11.78073613561447</v>
      </c>
    </row>
    <row r="9" spans="1:37" ht="56.25">
      <c r="A9" s="88" t="str">
        <f>'CAC and HP Upgrades'!B146</f>
        <v>Post79/Pre93 Single Family Construction HP Upgrade w/PTCS  - Zone 2 Heat - Zone 1 Cool</v>
      </c>
      <c r="B9" s="81" t="str">
        <f>VLOOKUP($A9,LookupTable!$A$3:$D$38,2,0)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9" s="81" t="str">
        <f>VLOOKUP($A9,LookupTable!$A$3:$D$38,3,0)</f>
        <v>Single Family Dwellings with existing air source heat pump built between to 1980 and 1992</v>
      </c>
      <c r="D9" s="81" t="str">
        <f>VLOOKUP($A9,LookupTable!$A$3:$D$38,4,0)</f>
        <v>Heating Zone 2 - Cooling Zone 1</v>
      </c>
      <c r="E9" s="82">
        <f>'CAC and HP Upgrades'!E146</f>
        <v>1040.16</v>
      </c>
      <c r="F9" s="82">
        <f>'CAC and HP Upgrades'!F146</f>
        <v>0</v>
      </c>
      <c r="G9" s="82">
        <f>'CAC and HP Upgrades'!G146</f>
        <v>0</v>
      </c>
      <c r="H9" s="83">
        <f>'CAC and HP Upgrades'!C146</f>
        <v>18</v>
      </c>
      <c r="I9" s="83" t="s">
        <v>158</v>
      </c>
      <c r="J9" s="83">
        <f>'CAC and HP Upgrades'!D146</f>
        <v>6601.776269645746</v>
      </c>
      <c r="K9" s="83">
        <f>'CAC and HP Upgrades'!K146</f>
        <v>7105.161710206234</v>
      </c>
      <c r="L9" s="85">
        <f>'CAC and HP Upgrades'!J146</f>
        <v>0.3412957787513733</v>
      </c>
      <c r="M9" s="85">
        <f>'CAC and HP Upgrades'!L146</f>
        <v>1.7520386972249211</v>
      </c>
      <c r="N9" s="89">
        <f>'CAC and HP Upgrades'!N146/'CAC and HP Upgrades'!K146</f>
        <v>0.14639453180303488</v>
      </c>
      <c r="O9" s="89">
        <f>('CAC and HP Upgrades'!O146/'CAC and HP Upgrades'!$K146)</f>
        <v>0</v>
      </c>
      <c r="P9" s="89">
        <f>('CAC and HP Upgrades'!P146/'CAC and HP Upgrades'!$K146)</f>
        <v>0</v>
      </c>
      <c r="Q9" s="89">
        <f>('CAC and HP Upgrades'!N146/'CAC and HP Upgrades'!$K146)</f>
        <v>0.14639453180303488</v>
      </c>
      <c r="R9" s="84">
        <f>'CAC and HP Upgrades'!S146/'CAC and HP Upgrades'!$K146</f>
        <v>0.3538435474271717</v>
      </c>
      <c r="S9" s="84">
        <f>'CAC and HP Upgrades'!T146/'CAC and HP Upgrades'!$K146</f>
        <v>0.008818908495153367</v>
      </c>
      <c r="T9" s="84">
        <f>'CAC and HP Upgrades'!U146/'CAC and HP Upgrades'!$K146</f>
        <v>0.052626621257578894</v>
      </c>
      <c r="U9" s="84">
        <f>'CAC and HP Upgrades'!V146/'CAC and HP Upgrades'!$K146</f>
        <v>0.4148891738856576</v>
      </c>
      <c r="V9" s="84">
        <f t="shared" si="0"/>
        <v>0.26849464208262275</v>
      </c>
      <c r="W9" s="85">
        <f t="shared" si="1"/>
        <v>2.8340482993167138</v>
      </c>
      <c r="X9" s="85">
        <f>'CAC and HP Upgrades'!Y146/'CAC and HP Upgrades'!D146</f>
        <v>0.1848931252771005</v>
      </c>
      <c r="Y9" s="90">
        <f>'CAC and HP Upgrades'!M146</f>
        <v>5.119502067565918</v>
      </c>
      <c r="Z9" s="85">
        <f>'CAC and HP Upgrades'!Y146/'CAC and HP Upgrades'!K146</f>
        <v>0.1717938446244836</v>
      </c>
      <c r="AA9" s="84" t="s">
        <v>159</v>
      </c>
      <c r="AB9" s="91" t="s">
        <v>160</v>
      </c>
      <c r="AC9" s="84">
        <f>'CAC and HP Upgrades'!Z146/'CAC and HP Upgrades'!$K146</f>
        <v>0</v>
      </c>
      <c r="AD9" s="84">
        <f>'CAC and HP Upgrades'!AA146/'CAC and HP Upgrades'!$K146</f>
        <v>0</v>
      </c>
      <c r="AE9" s="84">
        <f>'CAC and HP Upgrades'!AC146/'CAC and HP Upgrades'!$K146</f>
        <v>0.14639453720770712</v>
      </c>
      <c r="AF9" s="84">
        <f>'CAC and HP Upgrades'!AB146/'CAC and HP Upgrades'!$K146</f>
        <v>0.5866829931646279</v>
      </c>
      <c r="AG9" s="84">
        <f t="shared" si="2"/>
        <v>0.4402884559569208</v>
      </c>
      <c r="AH9" s="85">
        <f t="shared" si="3"/>
        <v>4.007547032525072</v>
      </c>
      <c r="AI9" s="96" t="s">
        <v>161</v>
      </c>
      <c r="AJ9" s="96" t="s">
        <v>162</v>
      </c>
      <c r="AK9" s="478">
        <f>VLOOKUP(A9,'CAC and HP Upgrades'!$B$141:$R$176,17,0)</f>
        <v>12.280075418732485</v>
      </c>
    </row>
    <row r="10" spans="1:37" ht="56.25">
      <c r="A10" s="88" t="str">
        <f>'CAC and HP Upgrades'!B147</f>
        <v>Post92 Single Family Construction HP Upgrade w/PTCS  - Zone 3 Heat - Zone 3 Cool</v>
      </c>
      <c r="B10" s="81" t="str">
        <f>VLOOKUP($A10,LookupTable!$A$3:$D$38,2,0)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10" s="81" t="str">
        <f>VLOOKUP($A10,LookupTable!$A$3:$D$38,3,0)</f>
        <v>Single Family Dwellings with existing or proposed air source heat pump system built after 1992</v>
      </c>
      <c r="D10" s="81" t="str">
        <f>VLOOKUP($A10,LookupTable!$A$3:$D$38,4,0)</f>
        <v>Heating Zone 3 - Cooling Zone 3</v>
      </c>
      <c r="E10" s="82">
        <f>'CAC and HP Upgrades'!E147</f>
        <v>1040.16</v>
      </c>
      <c r="F10" s="82">
        <f>'CAC and HP Upgrades'!F147</f>
        <v>0</v>
      </c>
      <c r="G10" s="82">
        <f>'CAC and HP Upgrades'!G147</f>
        <v>0</v>
      </c>
      <c r="H10" s="83">
        <f>'CAC and HP Upgrades'!C147</f>
        <v>18</v>
      </c>
      <c r="I10" s="83" t="s">
        <v>158</v>
      </c>
      <c r="J10" s="83">
        <f>'CAC and HP Upgrades'!D147</f>
        <v>5636.704619203331</v>
      </c>
      <c r="K10" s="83">
        <f>'CAC and HP Upgrades'!K147</f>
        <v>6066.503346417585</v>
      </c>
      <c r="L10" s="85">
        <f>'CAC and HP Upgrades'!J147</f>
        <v>0.30902740359306335</v>
      </c>
      <c r="M10" s="85">
        <f>'CAC and HP Upgrades'!L147</f>
        <v>1.354485155229186</v>
      </c>
      <c r="N10" s="89">
        <f>'CAC and HP Upgrades'!N147/'CAC and HP Upgrades'!K147</f>
        <v>0.17145903703568047</v>
      </c>
      <c r="O10" s="89">
        <f>('CAC and HP Upgrades'!O147/'CAC and HP Upgrades'!$K147)</f>
        <v>0</v>
      </c>
      <c r="P10" s="89">
        <f>('CAC and HP Upgrades'!P147/'CAC and HP Upgrades'!$K147)</f>
        <v>0</v>
      </c>
      <c r="Q10" s="89">
        <f>('CAC and HP Upgrades'!N147/'CAC and HP Upgrades'!$K147)</f>
        <v>0.17145903703568047</v>
      </c>
      <c r="R10" s="84">
        <f>'CAC and HP Upgrades'!S147/'CAC and HP Upgrades'!$K147</f>
        <v>0.3918532365182812</v>
      </c>
      <c r="S10" s="84">
        <f>'CAC and HP Upgrades'!T147/'CAC and HP Upgrades'!$K147</f>
        <v>0.007985109939088415</v>
      </c>
      <c r="T10" s="84">
        <f>'CAC and HP Upgrades'!U147/'CAC and HP Upgrades'!$K147</f>
        <v>0.05624247955474572</v>
      </c>
      <c r="U10" s="84">
        <f>'CAC and HP Upgrades'!V147/'CAC and HP Upgrades'!$K147</f>
        <v>0.45571873027784654</v>
      </c>
      <c r="V10" s="84">
        <f t="shared" si="0"/>
        <v>0.28425969324216604</v>
      </c>
      <c r="W10" s="85">
        <f t="shared" si="1"/>
        <v>2.657886910813642</v>
      </c>
      <c r="X10" s="85">
        <f>'CAC and HP Upgrades'!Y147/'CAC and HP Upgrades'!D147</f>
        <v>0.18370357470182433</v>
      </c>
      <c r="Y10" s="90">
        <f>'CAC and HP Upgrades'!M147</f>
        <v>4.342991828918457</v>
      </c>
      <c r="Z10" s="85">
        <f>'CAC and HP Upgrades'!Y147/'CAC and HP Upgrades'!K147</f>
        <v>0.1706885711515209</v>
      </c>
      <c r="AA10" s="84" t="s">
        <v>159</v>
      </c>
      <c r="AB10" s="91" t="s">
        <v>160</v>
      </c>
      <c r="AC10" s="84">
        <f>'CAC and HP Upgrades'!Z147/'CAC and HP Upgrades'!$K147</f>
        <v>0</v>
      </c>
      <c r="AD10" s="84">
        <f>'CAC and HP Upgrades'!AA147/'CAC and HP Upgrades'!$K147</f>
        <v>0</v>
      </c>
      <c r="AE10" s="84">
        <f>'CAC and HP Upgrades'!AC147/'CAC and HP Upgrades'!$K147</f>
        <v>0.17145904336569764</v>
      </c>
      <c r="AF10" s="84">
        <f>'CAC and HP Upgrades'!AB147/'CAC and HP Upgrades'!$K147</f>
        <v>0.6264073113922044</v>
      </c>
      <c r="AG10" s="84">
        <f t="shared" si="2"/>
        <v>0.4549482680265068</v>
      </c>
      <c r="AH10" s="85">
        <f t="shared" si="3"/>
        <v>3.6533932482999285</v>
      </c>
      <c r="AI10" s="96" t="s">
        <v>161</v>
      </c>
      <c r="AJ10" s="96" t="s">
        <v>162</v>
      </c>
      <c r="AK10" s="478">
        <f>VLOOKUP(A10,'CAC and HP Upgrades'!$B$141:$R$176,17,0)</f>
        <v>14.38257208168313</v>
      </c>
    </row>
    <row r="11" spans="1:37" ht="56.25">
      <c r="A11" s="88" t="str">
        <f>'CAC and HP Upgrades'!B148</f>
        <v>Pre80 Single Family Construction HP Upgrade w/PTCS  - Zone 3 Heat - Zone 3 Cool</v>
      </c>
      <c r="B11" s="81" t="str">
        <f>VLOOKUP($A11,LookupTable!$A$3:$D$38,2,0)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11" s="81" t="str">
        <f>VLOOKUP($A11,LookupTable!$A$3:$D$38,3,0)</f>
        <v>Single Family Dwellings with existing air source heat pump built prior to 1980</v>
      </c>
      <c r="D11" s="81" t="str">
        <f>VLOOKUP($A11,LookupTable!$A$3:$D$38,4,0)</f>
        <v>Heating Zone 3 - Cooling Zone 3</v>
      </c>
      <c r="E11" s="82">
        <f>'CAC and HP Upgrades'!E148</f>
        <v>1040.16</v>
      </c>
      <c r="F11" s="82">
        <f>'CAC and HP Upgrades'!F148</f>
        <v>0</v>
      </c>
      <c r="G11" s="82">
        <f>'CAC and HP Upgrades'!G148</f>
        <v>0</v>
      </c>
      <c r="H11" s="83">
        <f>'CAC and HP Upgrades'!C148</f>
        <v>18</v>
      </c>
      <c r="I11" s="83" t="s">
        <v>158</v>
      </c>
      <c r="J11" s="83">
        <f>'CAC and HP Upgrades'!D148</f>
        <v>5646.212748939502</v>
      </c>
      <c r="K11" s="83">
        <f>'CAC and HP Upgrades'!K148</f>
        <v>6076.736471046138</v>
      </c>
      <c r="L11" s="85">
        <f>'CAC and HP Upgrades'!J148</f>
        <v>0.31560978293418884</v>
      </c>
      <c r="M11" s="85">
        <f>'CAC and HP Upgrades'!L148</f>
        <v>1.3856695186912094</v>
      </c>
      <c r="N11" s="89">
        <f>'CAC and HP Upgrades'!N148/'CAC and HP Upgrades'!K148</f>
        <v>0.17117030282727144</v>
      </c>
      <c r="O11" s="89">
        <f>('CAC and HP Upgrades'!O148/'CAC and HP Upgrades'!$K148)</f>
        <v>0</v>
      </c>
      <c r="P11" s="89">
        <f>('CAC and HP Upgrades'!P148/'CAC and HP Upgrades'!$K148)</f>
        <v>0</v>
      </c>
      <c r="Q11" s="89">
        <f>('CAC and HP Upgrades'!N148/'CAC and HP Upgrades'!$K148)</f>
        <v>0.17117030282727144</v>
      </c>
      <c r="R11" s="84">
        <f>'CAC and HP Upgrades'!S148/'CAC and HP Upgrades'!$K148</f>
        <v>0.38565358042823633</v>
      </c>
      <c r="S11" s="84">
        <f>'CAC and HP Upgrades'!T148/'CAC and HP Upgrades'!$K148</f>
        <v>0.008155195266371432</v>
      </c>
      <c r="T11" s="84">
        <f>'CAC and HP Upgrades'!U148/'CAC and HP Upgrades'!$K148</f>
        <v>0.055660269241148974</v>
      </c>
      <c r="U11" s="84">
        <f>'CAC and HP Upgrades'!V148/'CAC and HP Upgrades'!$K148</f>
        <v>0.44909924132279533</v>
      </c>
      <c r="V11" s="84">
        <f t="shared" si="0"/>
        <v>0.2779289384955239</v>
      </c>
      <c r="W11" s="85">
        <f t="shared" si="1"/>
        <v>2.6236983513196384</v>
      </c>
      <c r="X11" s="85">
        <f>'CAC and HP Upgrades'!Y148/'CAC and HP Upgrades'!D148</f>
        <v>0.183946240702686</v>
      </c>
      <c r="Y11" s="90">
        <f>'CAC and HP Upgrades'!M148</f>
        <v>4.356064319610596</v>
      </c>
      <c r="Z11" s="85">
        <f>'CAC and HP Upgrades'!Y148/'CAC and HP Upgrades'!K148</f>
        <v>0.17091404478762928</v>
      </c>
      <c r="AA11" s="84" t="s">
        <v>159</v>
      </c>
      <c r="AB11" s="91" t="s">
        <v>160</v>
      </c>
      <c r="AC11" s="84">
        <f>'CAC and HP Upgrades'!Z148/'CAC and HP Upgrades'!$K148</f>
        <v>0</v>
      </c>
      <c r="AD11" s="84">
        <f>'CAC and HP Upgrades'!AA148/'CAC and HP Upgrades'!$K148</f>
        <v>0</v>
      </c>
      <c r="AE11" s="84">
        <f>'CAC and HP Upgrades'!AC148/'CAC and HP Upgrades'!$K148</f>
        <v>0.17117030914662895</v>
      </c>
      <c r="AF11" s="84">
        <f>'CAC and HP Upgrades'!AB148/'CAC and HP Upgrades'!$K148</f>
        <v>0.6200132660868672</v>
      </c>
      <c r="AG11" s="84">
        <f t="shared" si="2"/>
        <v>0.4488429569402383</v>
      </c>
      <c r="AH11" s="85">
        <f t="shared" si="3"/>
        <v>3.622201006576133</v>
      </c>
      <c r="AI11" s="96" t="s">
        <v>161</v>
      </c>
      <c r="AJ11" s="96" t="s">
        <v>162</v>
      </c>
      <c r="AK11" s="478">
        <f>VLOOKUP(A11,'CAC and HP Upgrades'!$B$141:$R$176,17,0)</f>
        <v>14.35835206600658</v>
      </c>
    </row>
    <row r="12" spans="1:37" ht="56.25">
      <c r="A12" s="88" t="str">
        <f>'CAC and HP Upgrades'!B149</f>
        <v>Post79/Pre93 Single Family Construction HP Upgrade w/PTCS  - Zone 1 Heat - Zone 3 Cool</v>
      </c>
      <c r="B12" s="81" t="str">
        <f>VLOOKUP($A12,LookupTable!$A$3:$D$38,2,0)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12" s="81" t="str">
        <f>VLOOKUP($A12,LookupTable!$A$3:$D$38,3,0)</f>
        <v>Single Family Dwellings with existing air source heat pump built between to 1980 and 1992</v>
      </c>
      <c r="D12" s="81" t="str">
        <f>VLOOKUP($A12,LookupTable!$A$3:$D$38,4,0)</f>
        <v>Heating Zone 1 - Cooling Zone 3</v>
      </c>
      <c r="E12" s="82">
        <f>'CAC and HP Upgrades'!E149</f>
        <v>1040.16</v>
      </c>
      <c r="F12" s="82">
        <f>'CAC and HP Upgrades'!F149</f>
        <v>0</v>
      </c>
      <c r="G12" s="82">
        <f>'CAC and HP Upgrades'!G149</f>
        <v>0</v>
      </c>
      <c r="H12" s="83">
        <f>'CAC and HP Upgrades'!C149</f>
        <v>18</v>
      </c>
      <c r="I12" s="83" t="s">
        <v>158</v>
      </c>
      <c r="J12" s="83">
        <f>'CAC and HP Upgrades'!D149</f>
        <v>5334.434428275876</v>
      </c>
      <c r="K12" s="83">
        <f>'CAC and HP Upgrades'!K149</f>
        <v>5741.185053431911</v>
      </c>
      <c r="L12" s="85">
        <f>'CAC and HP Upgrades'!J149</f>
        <v>0.2863965928554535</v>
      </c>
      <c r="M12" s="85">
        <f>'CAC and HP Upgrades'!L149</f>
        <v>1.1879774606889861</v>
      </c>
      <c r="N12" s="89">
        <f>'CAC and HP Upgrades'!N149/'CAC and HP Upgrades'!K149</f>
        <v>0.18117458543314455</v>
      </c>
      <c r="O12" s="89">
        <f>('CAC and HP Upgrades'!O149/'CAC and HP Upgrades'!$K149)</f>
        <v>0</v>
      </c>
      <c r="P12" s="89">
        <f>('CAC and HP Upgrades'!P149/'CAC and HP Upgrades'!$K149)</f>
        <v>0</v>
      </c>
      <c r="Q12" s="89">
        <f>('CAC and HP Upgrades'!N149/'CAC and HP Upgrades'!$K149)</f>
        <v>0.18117458543314455</v>
      </c>
      <c r="R12" s="84">
        <f>'CAC and HP Upgrades'!S149/'CAC and HP Upgrades'!$K149</f>
        <v>0.397724932125824</v>
      </c>
      <c r="S12" s="84">
        <f>'CAC and HP Upgrades'!T149/'CAC and HP Upgrades'!$K149</f>
        <v>0.007400341266271425</v>
      </c>
      <c r="T12" s="84">
        <f>'CAC and HP Upgrades'!U149/'CAC and HP Upgrades'!$K149</f>
        <v>0.05669982188211931</v>
      </c>
      <c r="U12" s="84">
        <f>'CAC and HP Upgrades'!V149/'CAC and HP Upgrades'!$K149</f>
        <v>0.4614895176688105</v>
      </c>
      <c r="V12" s="84">
        <f t="shared" si="0"/>
        <v>0.28031493223566595</v>
      </c>
      <c r="W12" s="85">
        <f t="shared" si="1"/>
        <v>2.5472089066217585</v>
      </c>
      <c r="X12" s="85">
        <f>'CAC and HP Upgrades'!Y149/'CAC and HP Upgrades'!D149</f>
        <v>0.18286930819231817</v>
      </c>
      <c r="Y12" s="90">
        <f>'CAC and HP Upgrades'!M149</f>
        <v>4.091431617736816</v>
      </c>
      <c r="Z12" s="85">
        <f>'CAC and HP Upgrades'!Y149/'CAC and HP Upgrades'!K149</f>
        <v>0.16991341063165452</v>
      </c>
      <c r="AA12" s="84" t="s">
        <v>159</v>
      </c>
      <c r="AB12" s="91" t="s">
        <v>160</v>
      </c>
      <c r="AC12" s="84">
        <f>'CAC and HP Upgrades'!Z149/'CAC and HP Upgrades'!$K149</f>
        <v>0</v>
      </c>
      <c r="AD12" s="84">
        <f>'CAC and HP Upgrades'!AA149/'CAC and HP Upgrades'!$K149</f>
        <v>0</v>
      </c>
      <c r="AE12" s="84">
        <f>'CAC and HP Upgrades'!AC149/'CAC and HP Upgrades'!$K149</f>
        <v>0.18117459212184556</v>
      </c>
      <c r="AF12" s="84">
        <f>'CAC and HP Upgrades'!AB149/'CAC and HP Upgrades'!$K149</f>
        <v>0.6314029146988707</v>
      </c>
      <c r="AG12" s="84">
        <f t="shared" si="2"/>
        <v>0.4502283225770251</v>
      </c>
      <c r="AH12" s="85">
        <f t="shared" si="3"/>
        <v>3.485052221197951</v>
      </c>
      <c r="AI12" s="96" t="s">
        <v>161</v>
      </c>
      <c r="AJ12" s="96" t="s">
        <v>162</v>
      </c>
      <c r="AK12" s="478">
        <f>VLOOKUP(A12,'CAC and HP Upgrades'!$B$141:$R$176,17,0)</f>
        <v>15.197545602796101</v>
      </c>
    </row>
    <row r="13" spans="1:37" ht="56.25">
      <c r="A13" s="88" t="str">
        <f>'CAC and HP Upgrades'!B150</f>
        <v>Pre80 Single Family Construction HP Upgrade w/PTCS  - Zone 3 Heat - Zone 2 Cool</v>
      </c>
      <c r="B13" s="81" t="str">
        <f>VLOOKUP($A13,LookupTable!$A$3:$D$38,2,0)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13" s="81" t="str">
        <f>VLOOKUP($A13,LookupTable!$A$3:$D$38,3,0)</f>
        <v>Single Family Dwellings with existing air source heat pump built prior to 1980</v>
      </c>
      <c r="D13" s="81" t="str">
        <f>VLOOKUP($A13,LookupTable!$A$3:$D$38,4,0)</f>
        <v>Heating Zone 3 - Cooling Zone 2</v>
      </c>
      <c r="E13" s="82">
        <f>'CAC and HP Upgrades'!E150</f>
        <v>1040.16</v>
      </c>
      <c r="F13" s="82">
        <f>'CAC and HP Upgrades'!F150</f>
        <v>0</v>
      </c>
      <c r="G13" s="82">
        <f>'CAC and HP Upgrades'!G150</f>
        <v>0</v>
      </c>
      <c r="H13" s="83">
        <f>'CAC and HP Upgrades'!C150</f>
        <v>18</v>
      </c>
      <c r="I13" s="83" t="s">
        <v>158</v>
      </c>
      <c r="J13" s="83">
        <f>'CAC and HP Upgrades'!D150</f>
        <v>5323.9004133935</v>
      </c>
      <c r="K13" s="83">
        <f>'CAC and HP Upgrades'!K150</f>
        <v>5729.847819914753</v>
      </c>
      <c r="L13" s="85">
        <f>'CAC and HP Upgrades'!J150</f>
        <v>0.3347170054912567</v>
      </c>
      <c r="M13" s="85">
        <f>'CAC and HP Upgrades'!L150</f>
        <v>1.3856695186912094</v>
      </c>
      <c r="N13" s="89">
        <f>'CAC and HP Upgrades'!N150/'CAC and HP Upgrades'!K150</f>
        <v>0.18153306242014075</v>
      </c>
      <c r="O13" s="89">
        <f>('CAC and HP Upgrades'!O150/'CAC and HP Upgrades'!$K150)</f>
        <v>0</v>
      </c>
      <c r="P13" s="89">
        <f>('CAC and HP Upgrades'!P150/'CAC and HP Upgrades'!$K150)</f>
        <v>0</v>
      </c>
      <c r="Q13" s="89">
        <f>('CAC and HP Upgrades'!N150/'CAC and HP Upgrades'!$K150)</f>
        <v>0.18153306242014075</v>
      </c>
      <c r="R13" s="84">
        <f>'CAC and HP Upgrades'!S150/'CAC and HP Upgrades'!$K150</f>
        <v>0.36331280494783463</v>
      </c>
      <c r="S13" s="84">
        <f>'CAC and HP Upgrades'!T150/'CAC and HP Upgrades'!$K150</f>
        <v>0.008648916002868538</v>
      </c>
      <c r="T13" s="84">
        <f>'CAC and HP Upgrades'!U150/'CAC and HP Upgrades'!$K150</f>
        <v>0.05353580475453535</v>
      </c>
      <c r="U13" s="84">
        <f>'CAC and HP Upgrades'!V150/'CAC and HP Upgrades'!$K150</f>
        <v>0.4251053336121875</v>
      </c>
      <c r="V13" s="84">
        <f t="shared" si="0"/>
        <v>0.24357227119204675</v>
      </c>
      <c r="W13" s="85">
        <f t="shared" si="1"/>
        <v>2.341751568253293</v>
      </c>
      <c r="X13" s="85">
        <f>'CAC and HP Upgrades'!Y150/'CAC and HP Upgrades'!D150</f>
        <v>0.18465062211989952</v>
      </c>
      <c r="Y13" s="90">
        <f>'CAC and HP Upgrades'!M150</f>
        <v>4.1231279373168945</v>
      </c>
      <c r="Z13" s="85">
        <f>'CAC and HP Upgrades'!Y150/'CAC and HP Upgrades'!K150</f>
        <v>0.17156852229491248</v>
      </c>
      <c r="AA13" s="84" t="s">
        <v>159</v>
      </c>
      <c r="AB13" s="91" t="s">
        <v>160</v>
      </c>
      <c r="AC13" s="84">
        <f>'CAC and HP Upgrades'!Z150/'CAC and HP Upgrades'!$K150</f>
        <v>0</v>
      </c>
      <c r="AD13" s="84">
        <f>'CAC and HP Upgrades'!AA150/'CAC and HP Upgrades'!$K150</f>
        <v>0</v>
      </c>
      <c r="AE13" s="84">
        <f>'CAC and HP Upgrades'!AC150/'CAC and HP Upgrades'!$K150</f>
        <v>0.1815330691220762</v>
      </c>
      <c r="AF13" s="84">
        <f>'CAC and HP Upgrades'!AB150/'CAC and HP Upgrades'!$K150</f>
        <v>0.5966738470634879</v>
      </c>
      <c r="AG13" s="84">
        <f t="shared" si="2"/>
        <v>0.4151407779414117</v>
      </c>
      <c r="AH13" s="85">
        <f t="shared" si="3"/>
        <v>3.286860349737383</v>
      </c>
      <c r="AI13" s="96" t="s">
        <v>161</v>
      </c>
      <c r="AJ13" s="96" t="s">
        <v>162</v>
      </c>
      <c r="AK13" s="478">
        <f>VLOOKUP(A13,'CAC and HP Upgrades'!$B$141:$R$176,17,0)</f>
        <v>15.227615881938195</v>
      </c>
    </row>
    <row r="14" spans="1:37" ht="56.25">
      <c r="A14" s="88" t="str">
        <f>'CAC and HP Upgrades'!B151</f>
        <v>Post92 Single Family Construction HP Upgrade w/PTCS  - Zone 3 Heat - Zone 2 Cool</v>
      </c>
      <c r="B14" s="81" t="str">
        <f>VLOOKUP($A14,LookupTable!$A$3:$D$38,2,0)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14" s="81" t="str">
        <f>VLOOKUP($A14,LookupTable!$A$3:$D$38,3,0)</f>
        <v>Single Family Dwellings with existing or proposed air source heat pump system built after 1992</v>
      </c>
      <c r="D14" s="81" t="str">
        <f>VLOOKUP($A14,LookupTable!$A$3:$D$38,4,0)</f>
        <v>Heating Zone 3 - Cooling Zone 2</v>
      </c>
      <c r="E14" s="82">
        <f>'CAC and HP Upgrades'!E151</f>
        <v>1040.16</v>
      </c>
      <c r="F14" s="82">
        <f>'CAC and HP Upgrades'!F151</f>
        <v>0</v>
      </c>
      <c r="G14" s="82">
        <f>'CAC and HP Upgrades'!G151</f>
        <v>0</v>
      </c>
      <c r="H14" s="83">
        <f>'CAC and HP Upgrades'!C151</f>
        <v>18</v>
      </c>
      <c r="I14" s="83" t="s">
        <v>158</v>
      </c>
      <c r="J14" s="83">
        <f>'CAC and HP Upgrades'!D151</f>
        <v>5278.23119107188</v>
      </c>
      <c r="K14" s="83">
        <f>'CAC and HP Upgrades'!K151</f>
        <v>5680.6963193911115</v>
      </c>
      <c r="L14" s="85">
        <f>'CAC and HP Upgrades'!J151</f>
        <v>0.3300151526927948</v>
      </c>
      <c r="M14" s="85">
        <f>'CAC and HP Upgrades'!L151</f>
        <v>1.354485155229186</v>
      </c>
      <c r="N14" s="89">
        <f>'CAC and HP Upgrades'!N151/'CAC and HP Upgrades'!K151</f>
        <v>0.18310375409435406</v>
      </c>
      <c r="O14" s="89">
        <f>('CAC and HP Upgrades'!O151/'CAC and HP Upgrades'!$K151)</f>
        <v>0</v>
      </c>
      <c r="P14" s="89">
        <f>('CAC and HP Upgrades'!P151/'CAC and HP Upgrades'!$K151)</f>
        <v>0</v>
      </c>
      <c r="Q14" s="89">
        <f>('CAC and HP Upgrades'!N151/'CAC and HP Upgrades'!$K151)</f>
        <v>0.18310375409435406</v>
      </c>
      <c r="R14" s="84">
        <f>'CAC and HP Upgrades'!S151/'CAC and HP Upgrades'!$K151</f>
        <v>0.3667341723340966</v>
      </c>
      <c r="S14" s="84">
        <f>'CAC and HP Upgrades'!T151/'CAC and HP Upgrades'!$K151</f>
        <v>0.008527422246043323</v>
      </c>
      <c r="T14" s="84">
        <f>'CAC and HP Upgrades'!U151/'CAC and HP Upgrades'!$K151</f>
        <v>0.05385097064561563</v>
      </c>
      <c r="U14" s="84">
        <f>'CAC and HP Upgrades'!V151/'CAC and HP Upgrades'!$K151</f>
        <v>0.4287258819628896</v>
      </c>
      <c r="V14" s="84">
        <f t="shared" si="0"/>
        <v>0.24562212786853552</v>
      </c>
      <c r="W14" s="85">
        <f t="shared" si="1"/>
        <v>2.3414368759581277</v>
      </c>
      <c r="X14" s="85">
        <f>'CAC and HP Upgrades'!Y151/'CAC and HP Upgrades'!D151</f>
        <v>0.18447728223125634</v>
      </c>
      <c r="Y14" s="90">
        <f>'CAC and HP Upgrades'!M151</f>
        <v>4.083921909332275</v>
      </c>
      <c r="Z14" s="85">
        <f>'CAC and HP Upgrades'!Y151/'CAC and HP Upgrades'!K151</f>
        <v>0.17140746316493038</v>
      </c>
      <c r="AA14" s="84" t="s">
        <v>159</v>
      </c>
      <c r="AB14" s="91" t="s">
        <v>160</v>
      </c>
      <c r="AC14" s="84">
        <f>'CAC and HP Upgrades'!Z151/'CAC and HP Upgrades'!$K151</f>
        <v>0</v>
      </c>
      <c r="AD14" s="84">
        <f>'CAC and HP Upgrades'!AA151/'CAC and HP Upgrades'!$K151</f>
        <v>0</v>
      </c>
      <c r="AE14" s="84">
        <f>'CAC and HP Upgrades'!AC151/'CAC and HP Upgrades'!$K151</f>
        <v>0.18310376085427715</v>
      </c>
      <c r="AF14" s="84">
        <f>'CAC and HP Upgrades'!AB151/'CAC and HP Upgrades'!$K151</f>
        <v>0.6001333465637826</v>
      </c>
      <c r="AG14" s="84">
        <f t="shared" si="2"/>
        <v>0.41702958570950543</v>
      </c>
      <c r="AH14" s="85">
        <f t="shared" si="3"/>
        <v>3.2775588210959676</v>
      </c>
      <c r="AI14" s="96" t="s">
        <v>161</v>
      </c>
      <c r="AJ14" s="96" t="s">
        <v>162</v>
      </c>
      <c r="AK14" s="478">
        <f>VLOOKUP(A14,'CAC and HP Upgrades'!$B$141:$R$176,17,0)</f>
        <v>15.359370886591416</v>
      </c>
    </row>
    <row r="15" spans="1:37" ht="56.25">
      <c r="A15" s="88" t="str">
        <f>'CAC and HP Upgrades'!B152</f>
        <v>Pre80 Single Family Construction HP Upgrade w/PTCS  - Zone 2 Heat - Zone 3 Cool</v>
      </c>
      <c r="B15" s="81" t="str">
        <f>VLOOKUP($A15,LookupTable!$A$3:$D$38,2,0)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15" s="81" t="str">
        <f>VLOOKUP($A15,LookupTable!$A$3:$D$38,3,0)</f>
        <v>Single Family Dwellings with existing air source heat pump built prior to 1980</v>
      </c>
      <c r="D15" s="81" t="str">
        <f>VLOOKUP($A15,LookupTable!$A$3:$D$38,4,0)</f>
        <v>Heating Zone 2 - Cooling Zone 3</v>
      </c>
      <c r="E15" s="82">
        <f>'CAC and HP Upgrades'!E152</f>
        <v>1040.16</v>
      </c>
      <c r="F15" s="82">
        <f>'CAC and HP Upgrades'!F152</f>
        <v>0</v>
      </c>
      <c r="G15" s="82">
        <f>'CAC and HP Upgrades'!G152</f>
        <v>0</v>
      </c>
      <c r="H15" s="83">
        <f>'CAC and HP Upgrades'!C152</f>
        <v>18</v>
      </c>
      <c r="I15" s="83" t="s">
        <v>158</v>
      </c>
      <c r="J15" s="83">
        <f>'CAC and HP Upgrades'!D152</f>
        <v>4960.7728580916155</v>
      </c>
      <c r="K15" s="83">
        <f>'CAC and HP Upgrades'!K152</f>
        <v>5339.031788521101</v>
      </c>
      <c r="L15" s="85">
        <f>'CAC and HP Upgrades'!J152</f>
        <v>0.3101671636104584</v>
      </c>
      <c r="M15" s="85">
        <f>'CAC and HP Upgrades'!L152</f>
        <v>1.1964570783830801</v>
      </c>
      <c r="N15" s="89">
        <f>'CAC and HP Upgrades'!N152/'CAC and HP Upgrades'!K152</f>
        <v>0.19482124534018053</v>
      </c>
      <c r="O15" s="89">
        <f>('CAC and HP Upgrades'!O152/'CAC and HP Upgrades'!$K152)</f>
        <v>0</v>
      </c>
      <c r="P15" s="89">
        <f>('CAC and HP Upgrades'!P152/'CAC and HP Upgrades'!$K152)</f>
        <v>0</v>
      </c>
      <c r="Q15" s="89">
        <f>('CAC and HP Upgrades'!N152/'CAC and HP Upgrades'!$K152)</f>
        <v>0.19482124534018053</v>
      </c>
      <c r="R15" s="84">
        <f>'CAC and HP Upgrades'!S152/'CAC and HP Upgrades'!$K152</f>
        <v>0.3874754196961125</v>
      </c>
      <c r="S15" s="84">
        <f>'CAC and HP Upgrades'!T152/'CAC and HP Upgrades'!$K152</f>
        <v>0.008014560501050236</v>
      </c>
      <c r="T15" s="84">
        <f>'CAC and HP Upgrades'!U152/'CAC and HP Upgrades'!$K152</f>
        <v>0.05581123658960887</v>
      </c>
      <c r="U15" s="84">
        <f>'CAC and HP Upgrades'!V152/'CAC and HP Upgrades'!$K152</f>
        <v>0.4509377851862044</v>
      </c>
      <c r="V15" s="84">
        <f t="shared" si="0"/>
        <v>0.2561165398460239</v>
      </c>
      <c r="W15" s="85">
        <f t="shared" si="1"/>
        <v>2.3146232557892477</v>
      </c>
      <c r="X15" s="85">
        <f>'CAC and HP Upgrades'!Y152/'CAC and HP Upgrades'!D152</f>
        <v>0.18374557889293555</v>
      </c>
      <c r="Y15" s="90">
        <f>'CAC and HP Upgrades'!M152</f>
        <v>3.8230714797973633</v>
      </c>
      <c r="Z15" s="85">
        <f>'CAC and HP Upgrades'!Y152/'CAC and HP Upgrades'!K152</f>
        <v>0.17072759943594476</v>
      </c>
      <c r="AA15" s="84" t="s">
        <v>159</v>
      </c>
      <c r="AB15" s="91" t="s">
        <v>160</v>
      </c>
      <c r="AC15" s="84">
        <f>'CAC and HP Upgrades'!Z152/'CAC and HP Upgrades'!$K152</f>
        <v>0</v>
      </c>
      <c r="AD15" s="84">
        <f>'CAC and HP Upgrades'!AA152/'CAC and HP Upgrades'!$K152</f>
        <v>0</v>
      </c>
      <c r="AE15" s="84">
        <f>'CAC and HP Upgrades'!AC152/'CAC and HP Upgrades'!$K152</f>
        <v>0.1948212525326963</v>
      </c>
      <c r="AF15" s="84">
        <f>'CAC and HP Upgrades'!AB152/'CAC and HP Upgrades'!$K152</f>
        <v>0.621665395536656</v>
      </c>
      <c r="AG15" s="84">
        <f t="shared" si="2"/>
        <v>0.4268441430039597</v>
      </c>
      <c r="AH15" s="85">
        <f t="shared" si="3"/>
        <v>3.1909526679196545</v>
      </c>
      <c r="AI15" s="96" t="s">
        <v>161</v>
      </c>
      <c r="AJ15" s="96" t="s">
        <v>162</v>
      </c>
      <c r="AK15" s="478">
        <f>VLOOKUP(A15,'CAC and HP Upgrades'!$B$141:$R$176,17,0)</f>
        <v>16.34227423991259</v>
      </c>
    </row>
    <row r="16" spans="1:37" ht="56.25">
      <c r="A16" s="88" t="str">
        <f>'CAC and HP Upgrades'!B153</f>
        <v>Pre80 Single Family Construction HP Upgrade w/PTCS  - Zone 3 Heat - Zone 1 Cool</v>
      </c>
      <c r="B16" s="81" t="str">
        <f>VLOOKUP($A16,LookupTable!$A$3:$D$38,2,0)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16" s="81" t="str">
        <f>VLOOKUP($A16,LookupTable!$A$3:$D$38,3,0)</f>
        <v>Single Family Dwellings with existing air source heat pump built prior to 1980</v>
      </c>
      <c r="D16" s="81" t="str">
        <f>VLOOKUP($A16,LookupTable!$A$3:$D$38,4,0)</f>
        <v>Heating Zone 3 - Cooling Zone 1</v>
      </c>
      <c r="E16" s="82">
        <f>'CAC and HP Upgrades'!E153</f>
        <v>1040.16</v>
      </c>
      <c r="F16" s="82">
        <f>'CAC and HP Upgrades'!F153</f>
        <v>0</v>
      </c>
      <c r="G16" s="82">
        <f>'CAC and HP Upgrades'!G153</f>
        <v>0</v>
      </c>
      <c r="H16" s="83">
        <f>'CAC and HP Upgrades'!C153</f>
        <v>18</v>
      </c>
      <c r="I16" s="83" t="s">
        <v>158</v>
      </c>
      <c r="J16" s="83">
        <f>'CAC and HP Upgrades'!D153</f>
        <v>5149.204877477398</v>
      </c>
      <c r="K16" s="83">
        <f>'CAC and HP Upgrades'!K153</f>
        <v>5541.83174938505</v>
      </c>
      <c r="L16" s="85">
        <f>'CAC and HP Upgrades'!J153</f>
        <v>0.34607285261154175</v>
      </c>
      <c r="M16" s="85">
        <f>'CAC and HP Upgrades'!L153</f>
        <v>1.3856695186912094</v>
      </c>
      <c r="N16" s="89">
        <f>'CAC and HP Upgrades'!N153/'CAC and HP Upgrades'!K153</f>
        <v>0.18769188040865972</v>
      </c>
      <c r="O16" s="89">
        <f>('CAC and HP Upgrades'!O153/'CAC and HP Upgrades'!$K153)</f>
        <v>0</v>
      </c>
      <c r="P16" s="89">
        <f>('CAC and HP Upgrades'!P153/'CAC and HP Upgrades'!$K153)</f>
        <v>0</v>
      </c>
      <c r="Q16" s="89">
        <f>('CAC and HP Upgrades'!N153/'CAC and HP Upgrades'!$K153)</f>
        <v>0.18769188040865972</v>
      </c>
      <c r="R16" s="84">
        <f>'CAC and HP Upgrades'!S153/'CAC and HP Upgrades'!$K153</f>
        <v>0.35436809088467447</v>
      </c>
      <c r="S16" s="84">
        <f>'CAC and HP Upgrades'!T153/'CAC and HP Upgrades'!$K153</f>
        <v>0.008942345192843721</v>
      </c>
      <c r="T16" s="84">
        <f>'CAC and HP Upgrades'!U153/'CAC and HP Upgrades'!$K153</f>
        <v>0.052706481775448046</v>
      </c>
      <c r="U16" s="84">
        <f>'CAC and HP Upgrades'!V153/'CAC and HP Upgrades'!$K153</f>
        <v>0.41561141705044385</v>
      </c>
      <c r="V16" s="84">
        <f t="shared" si="0"/>
        <v>0.22791953664178413</v>
      </c>
      <c r="W16" s="85">
        <f t="shared" si="1"/>
        <v>2.214328164572368</v>
      </c>
      <c r="X16" s="85">
        <f>'CAC and HP Upgrades'!Y153/'CAC and HP Upgrades'!D153</f>
        <v>0.18506925950055853</v>
      </c>
      <c r="Y16" s="90">
        <f>'CAC and HP Upgrades'!M153</f>
        <v>3.9968748092651367</v>
      </c>
      <c r="Z16" s="85">
        <f>'CAC and HP Upgrades'!Y153/'CAC and HP Upgrades'!K153</f>
        <v>0.17195750011666297</v>
      </c>
      <c r="AA16" s="84" t="s">
        <v>159</v>
      </c>
      <c r="AB16" s="91" t="s">
        <v>160</v>
      </c>
      <c r="AC16" s="84">
        <f>'CAC and HP Upgrades'!Z153/'CAC and HP Upgrades'!$K153</f>
        <v>0</v>
      </c>
      <c r="AD16" s="84">
        <f>'CAC and HP Upgrades'!AA153/'CAC and HP Upgrades'!$K153</f>
        <v>0</v>
      </c>
      <c r="AE16" s="84">
        <f>'CAC and HP Upgrades'!AC153/'CAC and HP Upgrades'!$K153</f>
        <v>0.18769188733796974</v>
      </c>
      <c r="AF16" s="84">
        <f>'CAC and HP Upgrades'!AB153/'CAC and HP Upgrades'!$K153</f>
        <v>0.5875689041216067</v>
      </c>
      <c r="AG16" s="84">
        <f t="shared" si="2"/>
        <v>0.39987701678363696</v>
      </c>
      <c r="AH16" s="85">
        <f t="shared" si="3"/>
        <v>3.130497073981644</v>
      </c>
      <c r="AI16" s="96" t="s">
        <v>161</v>
      </c>
      <c r="AJ16" s="96" t="s">
        <v>162</v>
      </c>
      <c r="AK16" s="478">
        <f>VLOOKUP(A16,'CAC and HP Upgrades'!$B$141:$R$176,17,0)</f>
        <v>15.744238657787609</v>
      </c>
    </row>
    <row r="17" spans="1:37" ht="56.25">
      <c r="A17" s="88" t="str">
        <f>'CAC and HP Upgrades'!B154</f>
        <v>Post92 Single Family Construction HP Upgrade w/PTCS  - Zone 2 Heat - Zone 3 Cool</v>
      </c>
      <c r="B17" s="81" t="str">
        <f>VLOOKUP($A17,LookupTable!$A$3:$D$38,2,0)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17" s="81" t="str">
        <f>VLOOKUP($A17,LookupTable!$A$3:$D$38,3,0)</f>
        <v>Single Family Dwellings with existing or proposed air source heat pump system built after 1992</v>
      </c>
      <c r="D17" s="81" t="str">
        <f>VLOOKUP($A17,LookupTable!$A$3:$D$38,4,0)</f>
        <v>Heating Zone 2 - Cooling Zone 3</v>
      </c>
      <c r="E17" s="82">
        <f>'CAC and HP Upgrades'!E154</f>
        <v>1040.16</v>
      </c>
      <c r="F17" s="82">
        <f>'CAC and HP Upgrades'!F154</f>
        <v>0</v>
      </c>
      <c r="G17" s="82">
        <f>'CAC and HP Upgrades'!G154</f>
        <v>0</v>
      </c>
      <c r="H17" s="83">
        <f>'CAC and HP Upgrades'!C154</f>
        <v>18</v>
      </c>
      <c r="I17" s="83" t="s">
        <v>158</v>
      </c>
      <c r="J17" s="83">
        <f>'CAC and HP Upgrades'!D154</f>
        <v>4792.110435937295</v>
      </c>
      <c r="K17" s="83">
        <f>'CAC and HP Upgrades'!K154</f>
        <v>5157.508856677513</v>
      </c>
      <c r="L17" s="85">
        <f>'CAC and HP Upgrades'!J154</f>
        <v>0.3009248971939087</v>
      </c>
      <c r="M17" s="85">
        <f>'CAC and HP Upgrades'!L154</f>
        <v>1.1213389251664208</v>
      </c>
      <c r="N17" s="89">
        <f>'CAC and HP Upgrades'!N154/'CAC and HP Upgrades'!K154</f>
        <v>0.2016781455651373</v>
      </c>
      <c r="O17" s="89">
        <f>('CAC and HP Upgrades'!O154/'CAC and HP Upgrades'!$K154)</f>
        <v>0</v>
      </c>
      <c r="P17" s="89">
        <f>('CAC and HP Upgrades'!P154/'CAC and HP Upgrades'!$K154)</f>
        <v>0</v>
      </c>
      <c r="Q17" s="89">
        <f>('CAC and HP Upgrades'!N154/'CAC and HP Upgrades'!$K154)</f>
        <v>0.2016781455651373</v>
      </c>
      <c r="R17" s="84">
        <f>'CAC and HP Upgrades'!S154/'CAC and HP Upgrades'!$K154</f>
        <v>0.39627878125185423</v>
      </c>
      <c r="S17" s="84">
        <f>'CAC and HP Upgrades'!T154/'CAC and HP Upgrades'!$K154</f>
        <v>0.007775744991965925</v>
      </c>
      <c r="T17" s="84">
        <f>'CAC and HP Upgrades'!U154/'CAC and HP Upgrades'!$K154</f>
        <v>0.05663855141774533</v>
      </c>
      <c r="U17" s="84">
        <f>'CAC and HP Upgrades'!V154/'CAC and HP Upgrades'!$K154</f>
        <v>0.46034047532560934</v>
      </c>
      <c r="V17" s="84">
        <f t="shared" si="0"/>
        <v>0.25866232976047204</v>
      </c>
      <c r="W17" s="85">
        <f t="shared" si="1"/>
        <v>2.2825501198241143</v>
      </c>
      <c r="X17" s="85">
        <f>'CAC and HP Upgrades'!Y154/'CAC and HP Upgrades'!D154</f>
        <v>0.18340488937482</v>
      </c>
      <c r="Y17" s="90">
        <f>'CAC and HP Upgrades'!M154</f>
        <v>3.686241865158081</v>
      </c>
      <c r="Z17" s="85">
        <f>'CAC and HP Upgrades'!Y154/'CAC and HP Upgrades'!K154</f>
        <v>0.1704110470381603</v>
      </c>
      <c r="AA17" s="84" t="s">
        <v>159</v>
      </c>
      <c r="AB17" s="91" t="s">
        <v>160</v>
      </c>
      <c r="AC17" s="84">
        <f>'CAC and HP Upgrades'!Z154/'CAC and HP Upgrades'!$K154</f>
        <v>0</v>
      </c>
      <c r="AD17" s="84">
        <f>'CAC and HP Upgrades'!AA154/'CAC and HP Upgrades'!$K154</f>
        <v>0</v>
      </c>
      <c r="AE17" s="84">
        <f>'CAC and HP Upgrades'!AC154/'CAC and HP Upgrades'!$K154</f>
        <v>0.20167815301079978</v>
      </c>
      <c r="AF17" s="84">
        <f>'CAC and HP Upgrades'!AB154/'CAC and HP Upgrades'!$K154</f>
        <v>0.6307514995540238</v>
      </c>
      <c r="AG17" s="84">
        <f t="shared" si="2"/>
        <v>0.429073346543224</v>
      </c>
      <c r="AH17" s="85">
        <f t="shared" si="3"/>
        <v>3.127515252087058</v>
      </c>
      <c r="AI17" s="96" t="s">
        <v>161</v>
      </c>
      <c r="AJ17" s="96" t="s">
        <v>162</v>
      </c>
      <c r="AK17" s="478">
        <f>VLOOKUP(A17,'CAC and HP Upgrades'!$B$141:$R$176,17,0)</f>
        <v>16.917454547975485</v>
      </c>
    </row>
    <row r="18" spans="1:37" ht="56.25">
      <c r="A18" s="88" t="str">
        <f>'CAC and HP Upgrades'!B155</f>
        <v>Post92 Single Family Construction HP Upgrade w/PTCS  - Zone 3 Heat - Zone 1 Cool</v>
      </c>
      <c r="B18" s="81" t="str">
        <f>VLOOKUP($A18,LookupTable!$A$3:$D$38,2,0)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18" s="81" t="str">
        <f>VLOOKUP($A18,LookupTable!$A$3:$D$38,3,0)</f>
        <v>Single Family Dwellings with existing or proposed air source heat pump system built after 1992</v>
      </c>
      <c r="D18" s="81" t="str">
        <f>VLOOKUP($A18,LookupTable!$A$3:$D$38,4,0)</f>
        <v>Heating Zone 3 - Cooling Zone 1</v>
      </c>
      <c r="E18" s="82">
        <f>'CAC and HP Upgrades'!E155</f>
        <v>1040.16</v>
      </c>
      <c r="F18" s="82">
        <f>'CAC and HP Upgrades'!F155</f>
        <v>0</v>
      </c>
      <c r="G18" s="82">
        <f>'CAC and HP Upgrades'!G155</f>
        <v>0</v>
      </c>
      <c r="H18" s="83">
        <f>'CAC and HP Upgrades'!C155</f>
        <v>18</v>
      </c>
      <c r="I18" s="83" t="s">
        <v>158</v>
      </c>
      <c r="J18" s="83">
        <f>'CAC and HP Upgrades'!D155</f>
        <v>5078.193892072062</v>
      </c>
      <c r="K18" s="83">
        <f>'CAC and HP Upgrades'!K155</f>
        <v>5465.406176342556</v>
      </c>
      <c r="L18" s="85">
        <f>'CAC and HP Upgrades'!J155</f>
        <v>0.3430149257183075</v>
      </c>
      <c r="M18" s="85">
        <f>'CAC and HP Upgrades'!L155</f>
        <v>1.354485155229186</v>
      </c>
      <c r="N18" s="89">
        <f>'CAC and HP Upgrades'!N155/'CAC and HP Upgrades'!K155</f>
        <v>0.1903164720772069</v>
      </c>
      <c r="O18" s="89">
        <f>('CAC and HP Upgrades'!O155/'CAC and HP Upgrades'!$K155)</f>
        <v>0</v>
      </c>
      <c r="P18" s="89">
        <f>('CAC and HP Upgrades'!P155/'CAC and HP Upgrades'!$K155)</f>
        <v>0</v>
      </c>
      <c r="Q18" s="89">
        <f>('CAC and HP Upgrades'!N155/'CAC and HP Upgrades'!$K155)</f>
        <v>0.1903164720772069</v>
      </c>
      <c r="R18" s="84">
        <f>'CAC and HP Upgrades'!S155/'CAC and HP Upgrades'!$K155</f>
        <v>0.3563597981089249</v>
      </c>
      <c r="S18" s="84">
        <f>'CAC and HP Upgrades'!T155/'CAC and HP Upgrades'!$K155</f>
        <v>0.00886332956856453</v>
      </c>
      <c r="T18" s="84">
        <f>'CAC and HP Upgrades'!U155/'CAC and HP Upgrades'!$K155</f>
        <v>0.052888113685778185</v>
      </c>
      <c r="U18" s="84">
        <f>'CAC and HP Upgrades'!V155/'CAC and HP Upgrades'!$K155</f>
        <v>0.41770932208192474</v>
      </c>
      <c r="V18" s="84">
        <f t="shared" si="0"/>
        <v>0.22739285000471784</v>
      </c>
      <c r="W18" s="85">
        <f t="shared" si="1"/>
        <v>2.194814340150599</v>
      </c>
      <c r="X18" s="85">
        <f>'CAC and HP Upgrades'!Y155/'CAC and HP Upgrades'!D155</f>
        <v>0.18495651724103476</v>
      </c>
      <c r="Y18" s="90">
        <f>'CAC and HP Upgrades'!M155</f>
        <v>3.939354181289673</v>
      </c>
      <c r="Z18" s="85">
        <f>'CAC and HP Upgrades'!Y155/'CAC and HP Upgrades'!K155</f>
        <v>0.1718527454039812</v>
      </c>
      <c r="AA18" s="84" t="s">
        <v>159</v>
      </c>
      <c r="AB18" s="91" t="s">
        <v>160</v>
      </c>
      <c r="AC18" s="84">
        <f>'CAC and HP Upgrades'!Z155/'CAC and HP Upgrades'!$K155</f>
        <v>0</v>
      </c>
      <c r="AD18" s="84">
        <f>'CAC and HP Upgrades'!AA155/'CAC and HP Upgrades'!$K155</f>
        <v>0</v>
      </c>
      <c r="AE18" s="84">
        <f>'CAC and HP Upgrades'!AC155/'CAC and HP Upgrades'!$K155</f>
        <v>0.190316479103413</v>
      </c>
      <c r="AF18" s="84">
        <f>'CAC and HP Upgrades'!AB155/'CAC and HP Upgrades'!$K155</f>
        <v>0.589562045519948</v>
      </c>
      <c r="AG18" s="84">
        <f t="shared" si="2"/>
        <v>0.39924556641653497</v>
      </c>
      <c r="AH18" s="85">
        <f t="shared" si="3"/>
        <v>3.0977981953921883</v>
      </c>
      <c r="AI18" s="96" t="s">
        <v>161</v>
      </c>
      <c r="AJ18" s="96" t="s">
        <v>162</v>
      </c>
      <c r="AK18" s="478">
        <f>VLOOKUP(A18,'CAC and HP Upgrades'!$B$141:$R$176,17,0)</f>
        <v>15.964398408539093</v>
      </c>
    </row>
    <row r="19" spans="1:37" ht="56.25">
      <c r="A19" s="88" t="str">
        <f>'CAC and HP Upgrades'!B156</f>
        <v>Post79/Pre93 Single Family Construction HP Upgrade w/PTCS  - Zone 1 Heat - Zone 2 Cool</v>
      </c>
      <c r="B19" s="81" t="str">
        <f>VLOOKUP($A19,LookupTable!$A$3:$D$38,2,0)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19" s="81" t="str">
        <f>VLOOKUP($A19,LookupTable!$A$3:$D$38,3,0)</f>
        <v>Single Family Dwellings with existing air source heat pump built between to 1980 and 1992</v>
      </c>
      <c r="D19" s="81" t="str">
        <f>VLOOKUP($A19,LookupTable!$A$3:$D$38,4,0)</f>
        <v>Heating Zone 1 - Cooling Zone 2</v>
      </c>
      <c r="E19" s="82">
        <f>'CAC and HP Upgrades'!E156</f>
        <v>1040.16</v>
      </c>
      <c r="F19" s="82">
        <f>'CAC and HP Upgrades'!F156</f>
        <v>0</v>
      </c>
      <c r="G19" s="82">
        <f>'CAC and HP Upgrades'!G156</f>
        <v>0</v>
      </c>
      <c r="H19" s="83">
        <f>'CAC and HP Upgrades'!C156</f>
        <v>18</v>
      </c>
      <c r="I19" s="83" t="s">
        <v>158</v>
      </c>
      <c r="J19" s="83">
        <f>'CAC and HP Upgrades'!D156</f>
        <v>4838.234749771056</v>
      </c>
      <c r="K19" s="83">
        <f>'CAC and HP Upgrades'!K156</f>
        <v>5207.1501494410995</v>
      </c>
      <c r="L19" s="85">
        <f>'CAC and HP Upgrades'!J156</f>
        <v>0.315768837928772</v>
      </c>
      <c r="M19" s="85">
        <f>'CAC and HP Upgrades'!L156</f>
        <v>1.1879774606889861</v>
      </c>
      <c r="N19" s="89">
        <f>'CAC and HP Upgrades'!N156/'CAC and HP Upgrades'!K156</f>
        <v>0.199755488529966</v>
      </c>
      <c r="O19" s="89">
        <f>('CAC and HP Upgrades'!O156/'CAC and HP Upgrades'!$K156)</f>
        <v>0</v>
      </c>
      <c r="P19" s="89">
        <f>('CAC and HP Upgrades'!P156/'CAC and HP Upgrades'!$K156)</f>
        <v>0</v>
      </c>
      <c r="Q19" s="89">
        <f>('CAC and HP Upgrades'!N156/'CAC and HP Upgrades'!$K156)</f>
        <v>0.199755488529966</v>
      </c>
      <c r="R19" s="84">
        <f>'CAC and HP Upgrades'!S156/'CAC and HP Upgrades'!$K156</f>
        <v>0.360073530863078</v>
      </c>
      <c r="S19" s="84">
        <f>'CAC and HP Upgrades'!T156/'CAC and HP Upgrades'!$K156</f>
        <v>0.008159305464385952</v>
      </c>
      <c r="T19" s="84">
        <f>'CAC and HP Upgrades'!U156/'CAC and HP Upgrades'!$K156</f>
        <v>0.05310318070648335</v>
      </c>
      <c r="U19" s="84">
        <f>'CAC and HP Upgrades'!V156/'CAC and HP Upgrades'!$K156</f>
        <v>0.4209660254583197</v>
      </c>
      <c r="V19" s="84">
        <f t="shared" si="0"/>
        <v>0.22121053692835368</v>
      </c>
      <c r="W19" s="85">
        <f t="shared" si="1"/>
        <v>2.1074065526623524</v>
      </c>
      <c r="X19" s="85">
        <f>'CAC and HP Upgrades'!Y156/'CAC and HP Upgrades'!D156</f>
        <v>0.18395210754211977</v>
      </c>
      <c r="Y19" s="90">
        <f>'CAC and HP Upgrades'!M156</f>
        <v>3.7328267097473145</v>
      </c>
      <c r="Z19" s="85">
        <f>'CAC and HP Upgrades'!Y156/'CAC and HP Upgrades'!K156</f>
        <v>0.170919495974095</v>
      </c>
      <c r="AA19" s="84" t="s">
        <v>159</v>
      </c>
      <c r="AB19" s="91" t="s">
        <v>160</v>
      </c>
      <c r="AC19" s="84">
        <f>'CAC and HP Upgrades'!Z156/'CAC and HP Upgrades'!$K156</f>
        <v>0</v>
      </c>
      <c r="AD19" s="84">
        <f>'CAC and HP Upgrades'!AA156/'CAC and HP Upgrades'!$K156</f>
        <v>0</v>
      </c>
      <c r="AE19" s="84">
        <f>'CAC and HP Upgrades'!AC156/'CAC and HP Upgrades'!$K156</f>
        <v>0.1997554959046468</v>
      </c>
      <c r="AF19" s="84">
        <f>'CAC and HP Upgrades'!AB156/'CAC and HP Upgrades'!$K156</f>
        <v>0.5918855375363393</v>
      </c>
      <c r="AG19" s="84">
        <f t="shared" si="2"/>
        <v>0.3921300416316925</v>
      </c>
      <c r="AH19" s="85">
        <f t="shared" si="3"/>
        <v>2.963050077074603</v>
      </c>
      <c r="AI19" s="96" t="s">
        <v>161</v>
      </c>
      <c r="AJ19" s="96" t="s">
        <v>162</v>
      </c>
      <c r="AK19" s="478">
        <f>VLOOKUP(A19,'CAC and HP Upgrades'!$B$141:$R$176,17,0)</f>
        <v>16.75617548170526</v>
      </c>
    </row>
    <row r="20" spans="1:37" ht="56.25">
      <c r="A20" s="88" t="str">
        <f>'CAC and HP Upgrades'!B157</f>
        <v>Pre80 Single Family Construction HP Upgrade w/PTCS  - Zone 2 Heat - Zone 2 Cool</v>
      </c>
      <c r="B20" s="81" t="str">
        <f>VLOOKUP($A20,LookupTable!$A$3:$D$38,2,0)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20" s="81" t="str">
        <f>VLOOKUP($A20,LookupTable!$A$3:$D$38,3,0)</f>
        <v>Single Family Dwellings with existing air source heat pump built prior to 1980</v>
      </c>
      <c r="D20" s="81" t="str">
        <f>VLOOKUP($A20,LookupTable!$A$3:$D$38,4,0)</f>
        <v>Heating Zone 2 - Cooling Zone 2</v>
      </c>
      <c r="E20" s="82">
        <f>'CAC and HP Upgrades'!E157</f>
        <v>1040.16</v>
      </c>
      <c r="F20" s="82">
        <f>'CAC and HP Upgrades'!F157</f>
        <v>0</v>
      </c>
      <c r="G20" s="82">
        <f>'CAC and HP Upgrades'!G157</f>
        <v>0</v>
      </c>
      <c r="H20" s="83">
        <f>'CAC and HP Upgrades'!C157</f>
        <v>18</v>
      </c>
      <c r="I20" s="83" t="s">
        <v>158</v>
      </c>
      <c r="J20" s="83">
        <f>'CAC and HP Upgrades'!D157</f>
        <v>4638.4605225456135</v>
      </c>
      <c r="K20" s="83">
        <f>'CAC and HP Upgrades'!K157</f>
        <v>4992.143137389716</v>
      </c>
      <c r="L20" s="85">
        <f>'CAC and HP Upgrades'!J157</f>
        <v>0.3317197263240814</v>
      </c>
      <c r="M20" s="85">
        <f>'CAC and HP Upgrades'!L157</f>
        <v>1.1964570783830801</v>
      </c>
      <c r="N20" s="89">
        <f>'CAC and HP Upgrades'!N157/'CAC and HP Upgrades'!K157</f>
        <v>0.20835877364172853</v>
      </c>
      <c r="O20" s="89">
        <f>('CAC and HP Upgrades'!O157/'CAC and HP Upgrades'!$K157)</f>
        <v>0</v>
      </c>
      <c r="P20" s="89">
        <f>('CAC and HP Upgrades'!P157/'CAC and HP Upgrades'!$K157)</f>
        <v>0</v>
      </c>
      <c r="Q20" s="89">
        <f>('CAC and HP Upgrades'!N157/'CAC and HP Upgrades'!$K157)</f>
        <v>0.20835877364172853</v>
      </c>
      <c r="R20" s="84">
        <f>'CAC and HP Upgrades'!S157/'CAC and HP Upgrades'!$K157</f>
        <v>0.3619598716018774</v>
      </c>
      <c r="S20" s="84">
        <f>'CAC and HP Upgrades'!T157/'CAC and HP Upgrades'!$K157</f>
        <v>0.008571467625927646</v>
      </c>
      <c r="T20" s="84">
        <f>'CAC and HP Upgrades'!U157/'CAC and HP Upgrades'!$K157</f>
        <v>0.053383317451225966</v>
      </c>
      <c r="U20" s="84">
        <f>'CAC and HP Upgrades'!V157/'CAC and HP Upgrades'!$K157</f>
        <v>0.4235259770669383</v>
      </c>
      <c r="V20" s="84">
        <f t="shared" si="0"/>
        <v>0.21516720342520976</v>
      </c>
      <c r="W20" s="85">
        <f t="shared" si="1"/>
        <v>2.032676472722902</v>
      </c>
      <c r="X20" s="85">
        <f>'CAC and HP Upgrades'!Y157/'CAC and HP Upgrades'!D157</f>
        <v>0.18454010559502154</v>
      </c>
      <c r="Y20" s="90">
        <f>'CAC and HP Upgrades'!M157</f>
        <v>3.590135097503662</v>
      </c>
      <c r="Z20" s="85">
        <f>'CAC and HP Upgrades'!Y157/'CAC and HP Upgrades'!K157</f>
        <v>0.17146583562835918</v>
      </c>
      <c r="AA20" s="84" t="s">
        <v>159</v>
      </c>
      <c r="AB20" s="91" t="s">
        <v>160</v>
      </c>
      <c r="AC20" s="84">
        <f>'CAC and HP Upgrades'!Z157/'CAC and HP Upgrades'!$K157</f>
        <v>0</v>
      </c>
      <c r="AD20" s="84">
        <f>'CAC and HP Upgrades'!AA157/'CAC and HP Upgrades'!$K157</f>
        <v>0</v>
      </c>
      <c r="AE20" s="84">
        <f>'CAC and HP Upgrades'!AC157/'CAC and HP Upgrades'!$K157</f>
        <v>0.20835878133403005</v>
      </c>
      <c r="AF20" s="84">
        <f>'CAC and HP Upgrades'!AB157/'CAC and HP Upgrades'!$K157</f>
        <v>0.594991789686663</v>
      </c>
      <c r="AG20" s="84">
        <f t="shared" si="2"/>
        <v>0.3866330083526329</v>
      </c>
      <c r="AH20" s="85">
        <f t="shared" si="3"/>
        <v>2.8556117763657047</v>
      </c>
      <c r="AI20" s="96" t="s">
        <v>161</v>
      </c>
      <c r="AJ20" s="96" t="s">
        <v>162</v>
      </c>
      <c r="AK20" s="478">
        <f>VLOOKUP(A20,'CAC and HP Upgrades'!$B$141:$R$176,17,0)</f>
        <v>17.477848543670763</v>
      </c>
    </row>
    <row r="21" spans="1:37" ht="56.25">
      <c r="A21" s="88" t="str">
        <f>'CAC and HP Upgrades'!B158</f>
        <v>Post92 Single Family Construction HP Upgrade w/PTCS  - Zone 2 Heat - Zone 2 Cool</v>
      </c>
      <c r="B21" s="81" t="str">
        <f>VLOOKUP($A21,LookupTable!$A$3:$D$38,2,0)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21" s="81" t="str">
        <f>VLOOKUP($A21,LookupTable!$A$3:$D$38,3,0)</f>
        <v>Single Family Dwellings with existing or proposed air source heat pump system built after 1992</v>
      </c>
      <c r="D21" s="81" t="str">
        <f>VLOOKUP($A21,LookupTable!$A$3:$D$38,4,0)</f>
        <v>Heating Zone 2 - Cooling Zone 2</v>
      </c>
      <c r="E21" s="82">
        <f>'CAC and HP Upgrades'!E158</f>
        <v>1040.16</v>
      </c>
      <c r="F21" s="82">
        <f>'CAC and HP Upgrades'!F158</f>
        <v>0</v>
      </c>
      <c r="G21" s="82">
        <f>'CAC and HP Upgrades'!G158</f>
        <v>0</v>
      </c>
      <c r="H21" s="83">
        <f>'CAC and HP Upgrades'!C158</f>
        <v>18</v>
      </c>
      <c r="I21" s="83" t="s">
        <v>158</v>
      </c>
      <c r="J21" s="83">
        <f>'CAC and HP Upgrades'!D158</f>
        <v>4433.637007805844</v>
      </c>
      <c r="K21" s="83">
        <f>'CAC and HP Upgrades'!K158</f>
        <v>4771.70182965104</v>
      </c>
      <c r="L21" s="85">
        <f>'CAC and HP Upgrades'!J158</f>
        <v>0.3252556025981903</v>
      </c>
      <c r="M21" s="85">
        <f>'CAC and HP Upgrades'!L158</f>
        <v>1.1213389251664208</v>
      </c>
      <c r="N21" s="89">
        <f>'CAC and HP Upgrades'!N158/'CAC and HP Upgrades'!K158</f>
        <v>0.21798445483056517</v>
      </c>
      <c r="O21" s="89">
        <f>('CAC and HP Upgrades'!O158/'CAC and HP Upgrades'!$K158)</f>
        <v>0</v>
      </c>
      <c r="P21" s="89">
        <f>('CAC and HP Upgrades'!P158/'CAC and HP Upgrades'!$K158)</f>
        <v>0</v>
      </c>
      <c r="Q21" s="89">
        <f>('CAC and HP Upgrades'!N158/'CAC and HP Upgrades'!$K158)</f>
        <v>0.21798445483056517</v>
      </c>
      <c r="R21" s="84">
        <f>'CAC and HP Upgrades'!S158/'CAC and HP Upgrades'!$K158</f>
        <v>0.3667324319127287</v>
      </c>
      <c r="S21" s="84">
        <f>'CAC and HP Upgrades'!T158/'CAC and HP Upgrades'!$K158</f>
        <v>0.008404438310484898</v>
      </c>
      <c r="T21" s="84">
        <f>'CAC and HP Upgrades'!U158/'CAC and HP Upgrades'!$K158</f>
        <v>0.053823491082989255</v>
      </c>
      <c r="U21" s="84">
        <f>'CAC and HP Upgrades'!V158/'CAC and HP Upgrades'!$K158</f>
        <v>0.4285792551642083</v>
      </c>
      <c r="V21" s="84">
        <f t="shared" si="0"/>
        <v>0.21059480033364314</v>
      </c>
      <c r="W21" s="85">
        <f t="shared" si="1"/>
        <v>1.9661000849686008</v>
      </c>
      <c r="X21" s="85">
        <f>'CAC and HP Upgrades'!Y158/'CAC and HP Upgrades'!D158</f>
        <v>0.18430183616015894</v>
      </c>
      <c r="Y21" s="90">
        <f>'CAC and HP Upgrades'!M158</f>
        <v>3.4271719455718994</v>
      </c>
      <c r="Z21" s="85">
        <f>'CAC and HP Upgrades'!Y158/'CAC and HP Upgrades'!K158</f>
        <v>0.17124444707099554</v>
      </c>
      <c r="AA21" s="84" t="s">
        <v>159</v>
      </c>
      <c r="AB21" s="91" t="s">
        <v>160</v>
      </c>
      <c r="AC21" s="84">
        <f>'CAC and HP Upgrades'!Z158/'CAC and HP Upgrades'!$K158</f>
        <v>0</v>
      </c>
      <c r="AD21" s="84">
        <f>'CAC and HP Upgrades'!AA158/'CAC and HP Upgrades'!$K158</f>
        <v>0</v>
      </c>
      <c r="AE21" s="84">
        <f>'CAC and HP Upgrades'!AC158/'CAC and HP Upgrades'!$K158</f>
        <v>0.21798446287823278</v>
      </c>
      <c r="AF21" s="84">
        <f>'CAC and HP Upgrades'!AB158/'CAC and HP Upgrades'!$K158</f>
        <v>0.5998237177887411</v>
      </c>
      <c r="AG21" s="84">
        <f t="shared" si="2"/>
        <v>0.3818392549105083</v>
      </c>
      <c r="AH21" s="85">
        <f t="shared" si="3"/>
        <v>2.7516810595982966</v>
      </c>
      <c r="AI21" s="96" t="s">
        <v>161</v>
      </c>
      <c r="AJ21" s="96" t="s">
        <v>162</v>
      </c>
      <c r="AK21" s="478">
        <f>VLOOKUP(A21,'CAC and HP Upgrades'!$B$141:$R$176,17,0)</f>
        <v>18.285283695105417</v>
      </c>
    </row>
    <row r="22" spans="1:37" ht="56.25">
      <c r="A22" s="88" t="str">
        <f>'CAC and HP Upgrades'!B159</f>
        <v>Post79/Pre93 Single Family Construction HP Upgrade w/PTCS  - Zone 1 Heat - Zone 1 Cool</v>
      </c>
      <c r="B22" s="81" t="str">
        <f>VLOOKUP($A22,LookupTable!$A$3:$D$38,2,0)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22" s="81" t="str">
        <f>VLOOKUP($A22,LookupTable!$A$3:$D$38,3,0)</f>
        <v>Single Family Dwellings with existing air source heat pump built between to 1980 and 1992</v>
      </c>
      <c r="D22" s="81" t="str">
        <f>VLOOKUP($A22,LookupTable!$A$3:$D$38,4,0)</f>
        <v>Heating Zone 1 - Cooling Zone 1</v>
      </c>
      <c r="E22" s="82">
        <f>'CAC and HP Upgrades'!E159</f>
        <v>1040.16</v>
      </c>
      <c r="F22" s="82">
        <f>'CAC and HP Upgrades'!F159</f>
        <v>0</v>
      </c>
      <c r="G22" s="82">
        <f>'CAC and HP Upgrades'!G159</f>
        <v>0</v>
      </c>
      <c r="H22" s="83">
        <f>'CAC and HP Upgrades'!C159</f>
        <v>18</v>
      </c>
      <c r="I22" s="83" t="s">
        <v>158</v>
      </c>
      <c r="J22" s="83">
        <f>'CAC and HP Upgrades'!D159</f>
        <v>4558.411299704582</v>
      </c>
      <c r="K22" s="83">
        <f>'CAC and HP Upgrades'!K159</f>
        <v>4905.990161307056</v>
      </c>
      <c r="L22" s="85">
        <f>'CAC and HP Upgrades'!J159</f>
        <v>0.33515268564224243</v>
      </c>
      <c r="M22" s="85">
        <f>'CAC and HP Upgrades'!L159</f>
        <v>1.1879774606889861</v>
      </c>
      <c r="N22" s="89">
        <f>'CAC and HP Upgrades'!N159/'CAC and HP Upgrades'!K159</f>
        <v>0.21201771462040056</v>
      </c>
      <c r="O22" s="89">
        <f>('CAC and HP Upgrades'!O159/'CAC and HP Upgrades'!$K159)</f>
        <v>0</v>
      </c>
      <c r="P22" s="89">
        <f>('CAC and HP Upgrades'!P159/'CAC and HP Upgrades'!$K159)</f>
        <v>0</v>
      </c>
      <c r="Q22" s="89">
        <f>('CAC and HP Upgrades'!N159/'CAC and HP Upgrades'!$K159)</f>
        <v>0.21201771462040056</v>
      </c>
      <c r="R22" s="84">
        <f>'CAC and HP Upgrades'!S159/'CAC and HP Upgrades'!$K159</f>
        <v>0.3434082793421071</v>
      </c>
      <c r="S22" s="84">
        <f>'CAC and HP Upgrades'!T159/'CAC and HP Upgrades'!$K159</f>
        <v>0.008660174046678798</v>
      </c>
      <c r="T22" s="84">
        <f>'CAC and HP Upgrades'!U159/'CAC and HP Upgrades'!$K159</f>
        <v>0.051547857153044295</v>
      </c>
      <c r="U22" s="84">
        <f>'CAC and HP Upgrades'!V159/'CAC and HP Upgrades'!$K159</f>
        <v>0.4032236054309309</v>
      </c>
      <c r="V22" s="84">
        <f t="shared" si="0"/>
        <v>0.19120589081053033</v>
      </c>
      <c r="W22" s="85">
        <f t="shared" si="1"/>
        <v>1.9018392220332532</v>
      </c>
      <c r="X22" s="85">
        <f>'CAC and HP Upgrades'!Y159/'CAC and HP Upgrades'!D159</f>
        <v>0.18466669368308566</v>
      </c>
      <c r="Y22" s="90">
        <f>'CAC and HP Upgrades'!M159</f>
        <v>3.53059720993042</v>
      </c>
      <c r="Z22" s="85">
        <f>'CAC and HP Upgrades'!Y159/'CAC and HP Upgrades'!K159</f>
        <v>0.17158345522237928</v>
      </c>
      <c r="AA22" s="84" t="s">
        <v>159</v>
      </c>
      <c r="AB22" s="91" t="s">
        <v>160</v>
      </c>
      <c r="AC22" s="84">
        <f>'CAC and HP Upgrades'!Z159/'CAC and HP Upgrades'!$K159</f>
        <v>0</v>
      </c>
      <c r="AD22" s="84">
        <f>'CAC and HP Upgrades'!AA159/'CAC and HP Upgrades'!$K159</f>
        <v>0</v>
      </c>
      <c r="AE22" s="84">
        <f>'CAC and HP Upgrades'!AC159/'CAC and HP Upgrades'!$K159</f>
        <v>0.21201772244778483</v>
      </c>
      <c r="AF22" s="84">
        <f>'CAC and HP Upgrades'!AB159/'CAC and HP Upgrades'!$K159</f>
        <v>0.5748070644281663</v>
      </c>
      <c r="AG22" s="84">
        <f t="shared" si="2"/>
        <v>0.3627893419803815</v>
      </c>
      <c r="AH22" s="85">
        <f t="shared" si="3"/>
        <v>2.7111274368572102</v>
      </c>
      <c r="AI22" s="96" t="s">
        <v>161</v>
      </c>
      <c r="AJ22" s="96" t="s">
        <v>162</v>
      </c>
      <c r="AK22" s="478">
        <f>VLOOKUP(A22,'CAC and HP Upgrades'!$B$141:$R$176,17,0)</f>
        <v>17.78477306207584</v>
      </c>
    </row>
    <row r="23" spans="1:37" ht="56.25">
      <c r="A23" s="88" t="str">
        <f>'CAC and HP Upgrades'!B160</f>
        <v>Pre80 Single Family Construction HP Upgrade w/PTCS  - Zone 2 Heat - Zone 1 Cool</v>
      </c>
      <c r="B23" s="81" t="str">
        <f>VLOOKUP($A23,LookupTable!$A$3:$D$38,2,0)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23" s="81" t="str">
        <f>VLOOKUP($A23,LookupTable!$A$3:$D$38,3,0)</f>
        <v>Single Family Dwellings with existing air source heat pump built prior to 1980</v>
      </c>
      <c r="D23" s="81" t="str">
        <f>VLOOKUP($A23,LookupTable!$A$3:$D$38,4,0)</f>
        <v>Heating Zone 2 - Cooling Zone 1</v>
      </c>
      <c r="E23" s="82">
        <f>'CAC and HP Upgrades'!E160</f>
        <v>1040.16</v>
      </c>
      <c r="F23" s="82">
        <f>'CAC and HP Upgrades'!F160</f>
        <v>0</v>
      </c>
      <c r="G23" s="82">
        <f>'CAC and HP Upgrades'!G160</f>
        <v>0</v>
      </c>
      <c r="H23" s="83">
        <f>'CAC and HP Upgrades'!C160</f>
        <v>18</v>
      </c>
      <c r="I23" s="83" t="s">
        <v>158</v>
      </c>
      <c r="J23" s="83">
        <f>'CAC and HP Upgrades'!D160</f>
        <v>4463.764986629512</v>
      </c>
      <c r="K23" s="83">
        <f>'CAC and HP Upgrades'!K160</f>
        <v>4804.127066860013</v>
      </c>
      <c r="L23" s="85">
        <f>'CAC and HP Upgrades'!J160</f>
        <v>0.3447020351886749</v>
      </c>
      <c r="M23" s="85">
        <f>'CAC and HP Upgrades'!L160</f>
        <v>1.1964570783830801</v>
      </c>
      <c r="N23" s="89">
        <f>'CAC and HP Upgrades'!N160/'CAC and HP Upgrades'!K160</f>
        <v>0.2165131786637652</v>
      </c>
      <c r="O23" s="89">
        <f>('CAC and HP Upgrades'!O160/'CAC and HP Upgrades'!$K160)</f>
        <v>0</v>
      </c>
      <c r="P23" s="89">
        <f>('CAC and HP Upgrades'!P160/'CAC and HP Upgrades'!$K160)</f>
        <v>0</v>
      </c>
      <c r="Q23" s="89">
        <f>('CAC and HP Upgrades'!N160/'CAC and HP Upgrades'!$K160)</f>
        <v>0.2165131786637652</v>
      </c>
      <c r="R23" s="84">
        <f>'CAC and HP Upgrades'!S160/'CAC and HP Upgrades'!$K160</f>
        <v>0.35158869013594823</v>
      </c>
      <c r="S23" s="84">
        <f>'CAC and HP Upgrades'!T160/'CAC and HP Upgrades'!$K160</f>
        <v>0.008906923711761945</v>
      </c>
      <c r="T23" s="84">
        <f>'CAC and HP Upgrades'!U160/'CAC and HP Upgrades'!$K160</f>
        <v>0.05242067878342795</v>
      </c>
      <c r="U23" s="84">
        <f>'CAC and HP Upgrades'!V160/'CAC and HP Upgrades'!$K160</f>
        <v>0.4125123981371726</v>
      </c>
      <c r="V23" s="84">
        <f t="shared" si="0"/>
        <v>0.1959992194734074</v>
      </c>
      <c r="W23" s="85">
        <f t="shared" si="1"/>
        <v>1.9052530690419773</v>
      </c>
      <c r="X23" s="85">
        <f>'CAC and HP Upgrades'!Y160/'CAC and HP Upgrades'!D160</f>
        <v>0.18501870222930705</v>
      </c>
      <c r="Y23" s="90">
        <f>'CAC and HP Upgrades'!M160</f>
        <v>3.4638819694519043</v>
      </c>
      <c r="Z23" s="85">
        <f>'CAC and HP Upgrades'!Y160/'CAC and HP Upgrades'!K160</f>
        <v>0.17191052471944906</v>
      </c>
      <c r="AA23" s="84" t="s">
        <v>159</v>
      </c>
      <c r="AB23" s="91" t="s">
        <v>160</v>
      </c>
      <c r="AC23" s="84">
        <f>'CAC and HP Upgrades'!Z160/'CAC and HP Upgrades'!$K160</f>
        <v>0</v>
      </c>
      <c r="AD23" s="84">
        <f>'CAC and HP Upgrades'!AA160/'CAC and HP Upgrades'!$K160</f>
        <v>0</v>
      </c>
      <c r="AE23" s="84">
        <f>'CAC and HP Upgrades'!AC160/'CAC and HP Upgrades'!$K160</f>
        <v>0.21651318665711544</v>
      </c>
      <c r="AF23" s="84">
        <f>'CAC and HP Upgrades'!AB160/'CAC and HP Upgrades'!$K160</f>
        <v>0.5844229452654404</v>
      </c>
      <c r="AG23" s="84">
        <f t="shared" si="2"/>
        <v>0.3679097586083249</v>
      </c>
      <c r="AH23" s="85">
        <f t="shared" si="3"/>
        <v>2.6992487353251655</v>
      </c>
      <c r="AI23" s="96" t="s">
        <v>161</v>
      </c>
      <c r="AJ23" s="96" t="s">
        <v>162</v>
      </c>
      <c r="AK23" s="478">
        <f>VLOOKUP(A23,'CAC and HP Upgrades'!$B$141:$R$176,17,0)</f>
        <v>18.161868004180594</v>
      </c>
    </row>
    <row r="24" spans="1:37" ht="56.25">
      <c r="A24" s="88" t="str">
        <f>'CAC and HP Upgrades'!B161</f>
        <v>Post92 Single Family Construction HP Upgrade w/PTCS  - Zone 2 Heat - Zone 1 Cool</v>
      </c>
      <c r="B24" s="81" t="str">
        <f>VLOOKUP($A24,LookupTable!$A$3:$D$38,2,0)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24" s="81" t="str">
        <f>VLOOKUP($A24,LookupTable!$A$3:$D$38,3,0)</f>
        <v>Single Family Dwellings with existing or proposed air source heat pump system built after 1992</v>
      </c>
      <c r="D24" s="81" t="str">
        <f>VLOOKUP($A24,LookupTable!$A$3:$D$38,4,0)</f>
        <v>Heating Zone 2 - Cooling Zone 1</v>
      </c>
      <c r="E24" s="82">
        <f>'CAC and HP Upgrades'!E161</f>
        <v>1040.16</v>
      </c>
      <c r="F24" s="82">
        <f>'CAC and HP Upgrades'!F161</f>
        <v>0</v>
      </c>
      <c r="G24" s="82">
        <f>'CAC and HP Upgrades'!G161</f>
        <v>0</v>
      </c>
      <c r="H24" s="83">
        <f>'CAC and HP Upgrades'!C161</f>
        <v>18</v>
      </c>
      <c r="I24" s="83" t="s">
        <v>158</v>
      </c>
      <c r="J24" s="83">
        <f>'CAC and HP Upgrades'!D161</f>
        <v>4233.599708806026</v>
      </c>
      <c r="K24" s="83">
        <f>'CAC and HP Upgrades'!K161</f>
        <v>4556.411686602484</v>
      </c>
      <c r="L24" s="85">
        <f>'CAC and HP Upgrades'!J161</f>
        <v>0.3406239151954651</v>
      </c>
      <c r="M24" s="85">
        <f>'CAC and HP Upgrades'!L161</f>
        <v>1.1213389251664208</v>
      </c>
      <c r="N24" s="89">
        <f>'CAC and HP Upgrades'!N161/'CAC and HP Upgrades'!K161</f>
        <v>0.22828420553150047</v>
      </c>
      <c r="O24" s="89">
        <f>('CAC and HP Upgrades'!O161/'CAC and HP Upgrades'!$K161)</f>
        <v>0</v>
      </c>
      <c r="P24" s="89">
        <f>('CAC and HP Upgrades'!P161/'CAC and HP Upgrades'!$K161)</f>
        <v>0</v>
      </c>
      <c r="Q24" s="89">
        <f>('CAC and HP Upgrades'!N161/'CAC and HP Upgrades'!$K161)</f>
        <v>0.22828420553150047</v>
      </c>
      <c r="R24" s="84">
        <f>'CAC and HP Upgrades'!S161/'CAC and HP Upgrades'!$K161</f>
        <v>0.3542883097478619</v>
      </c>
      <c r="S24" s="84">
        <f>'CAC and HP Upgrades'!T161/'CAC and HP Upgrades'!$K161</f>
        <v>0.008801547450430993</v>
      </c>
      <c r="T24" s="84">
        <f>'CAC and HP Upgrades'!U161/'CAC and HP Upgrades'!$K161</f>
        <v>0.05266724444081717</v>
      </c>
      <c r="U24" s="84">
        <f>'CAC and HP Upgrades'!V161/'CAC and HP Upgrades'!$K161</f>
        <v>0.4153579867926369</v>
      </c>
      <c r="V24" s="84">
        <f t="shared" si="0"/>
        <v>0.18707378126113644</v>
      </c>
      <c r="W24" s="85">
        <f t="shared" si="1"/>
        <v>1.819477549161072</v>
      </c>
      <c r="X24" s="85">
        <f>'CAC and HP Upgrades'!Y161/'CAC and HP Upgrades'!D161</f>
        <v>0.1848683877253323</v>
      </c>
      <c r="Y24" s="90">
        <f>'CAC and HP Upgrades'!M161</f>
        <v>3.282604217529297</v>
      </c>
      <c r="Z24" s="85">
        <f>'CAC and HP Upgrades'!Y161/'CAC and HP Upgrades'!K161</f>
        <v>0.17177085967510552</v>
      </c>
      <c r="AA24" s="84" t="s">
        <v>159</v>
      </c>
      <c r="AB24" s="91" t="s">
        <v>160</v>
      </c>
      <c r="AC24" s="84">
        <f>'CAC and HP Upgrades'!Z161/'CAC and HP Upgrades'!$K161</f>
        <v>0</v>
      </c>
      <c r="AD24" s="84">
        <f>'CAC and HP Upgrades'!AA161/'CAC and HP Upgrades'!$K161</f>
        <v>0</v>
      </c>
      <c r="AE24" s="84">
        <f>'CAC and HP Upgrades'!AC161/'CAC and HP Upgrades'!$K161</f>
        <v>0.22828421395941983</v>
      </c>
      <c r="AF24" s="84">
        <f>'CAC and HP Upgrades'!AB161/'CAC and HP Upgrades'!$K161</f>
        <v>0.58712883461778</v>
      </c>
      <c r="AG24" s="84">
        <f t="shared" si="2"/>
        <v>0.35884462065836015</v>
      </c>
      <c r="AH24" s="85">
        <f t="shared" si="3"/>
        <v>2.5719204338945176</v>
      </c>
      <c r="AI24" s="96" t="s">
        <v>161</v>
      </c>
      <c r="AJ24" s="96" t="s">
        <v>162</v>
      </c>
      <c r="AK24" s="478">
        <f>VLOOKUP(A24,'CAC and HP Upgrades'!$B$141:$R$176,17,0)</f>
        <v>19.149262109079253</v>
      </c>
    </row>
    <row r="25" spans="1:37" ht="56.25">
      <c r="A25" s="88" t="str">
        <f>'CAC and HP Upgrades'!B162</f>
        <v>Pre80 Single Family Construction HP Upgrade w/PTCS  - Zone 1 Heat - Zone 3 Cool</v>
      </c>
      <c r="B25" s="81" t="str">
        <f>VLOOKUP($A25,LookupTable!$A$3:$D$38,2,0)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25" s="81" t="str">
        <f>VLOOKUP($A25,LookupTable!$A$3:$D$38,3,0)</f>
        <v>Single Family Dwellings with existing air source heat pump built prior to 1980</v>
      </c>
      <c r="D25" s="81" t="str">
        <f>VLOOKUP($A25,LookupTable!$A$3:$D$38,4,0)</f>
        <v>Heating Zone 1 - Cooling Zone 3</v>
      </c>
      <c r="E25" s="82">
        <f>'CAC and HP Upgrades'!E162</f>
        <v>1040.16</v>
      </c>
      <c r="F25" s="82">
        <f>'CAC and HP Upgrades'!F162</f>
        <v>0</v>
      </c>
      <c r="G25" s="82">
        <f>'CAC and HP Upgrades'!G162</f>
        <v>0</v>
      </c>
      <c r="H25" s="83">
        <f>'CAC and HP Upgrades'!C162</f>
        <v>18</v>
      </c>
      <c r="I25" s="83" t="s">
        <v>158</v>
      </c>
      <c r="J25" s="83">
        <f>'CAC and HP Upgrades'!D162</f>
        <v>3495.420045118446</v>
      </c>
      <c r="K25" s="83">
        <f>'CAC and HP Upgrades'!K162</f>
        <v>3761.945823558727</v>
      </c>
      <c r="L25" s="85">
        <f>'CAC and HP Upgrades'!J162</f>
        <v>0.29137229919433594</v>
      </c>
      <c r="M25" s="85">
        <f>'CAC and HP Upgrades'!L162</f>
        <v>0.7919533642615366</v>
      </c>
      <c r="N25" s="89">
        <f>'CAC and HP Upgrades'!N162/'CAC and HP Upgrades'!K162</f>
        <v>0.27649436508007025</v>
      </c>
      <c r="O25" s="89">
        <f>('CAC and HP Upgrades'!O162/'CAC and HP Upgrades'!$K162)</f>
        <v>0</v>
      </c>
      <c r="P25" s="89">
        <f>('CAC and HP Upgrades'!P162/'CAC and HP Upgrades'!$K162)</f>
        <v>0</v>
      </c>
      <c r="Q25" s="89">
        <f>('CAC and HP Upgrades'!N162/'CAC and HP Upgrades'!$K162)</f>
        <v>0.27649436508007025</v>
      </c>
      <c r="R25" s="84">
        <f>'CAC and HP Upgrades'!S162/'CAC and HP Upgrades'!$K162</f>
        <v>0.39277022049898636</v>
      </c>
      <c r="S25" s="84">
        <f>'CAC and HP Upgrades'!T162/'CAC and HP Upgrades'!$K162</f>
        <v>0.007528911355141374</v>
      </c>
      <c r="T25" s="84">
        <f>'CAC and HP Upgrades'!U162/'CAC and HP Upgrades'!$K162</f>
        <v>0.05623289107379068</v>
      </c>
      <c r="U25" s="84">
        <f>'CAC and HP Upgrades'!V162/'CAC and HP Upgrades'!$K162</f>
        <v>0.45619061616759493</v>
      </c>
      <c r="V25" s="84">
        <f t="shared" si="0"/>
        <v>0.17969625108752468</v>
      </c>
      <c r="W25" s="85">
        <f t="shared" si="1"/>
        <v>1.6499092704311942</v>
      </c>
      <c r="X25" s="85">
        <f>'CAC and HP Upgrades'!Y162/'CAC and HP Upgrades'!D162</f>
        <v>0.18305271529946035</v>
      </c>
      <c r="Y25" s="90">
        <f>'CAC and HP Upgrades'!M162</f>
        <v>2.683624267578125</v>
      </c>
      <c r="Z25" s="85">
        <f>'CAC and HP Upgrades'!Y162/'CAC and HP Upgrades'!K162</f>
        <v>0.170083823739336</v>
      </c>
      <c r="AA25" s="84" t="s">
        <v>159</v>
      </c>
      <c r="AB25" s="91" t="s">
        <v>160</v>
      </c>
      <c r="AC25" s="84">
        <f>'CAC and HP Upgrades'!Z162/'CAC and HP Upgrades'!$K162</f>
        <v>0</v>
      </c>
      <c r="AD25" s="84">
        <f>'CAC and HP Upgrades'!AA162/'CAC and HP Upgrades'!$K162</f>
        <v>0</v>
      </c>
      <c r="AE25" s="84">
        <f>'CAC and HP Upgrades'!AC162/'CAC and HP Upgrades'!$K162</f>
        <v>0.27649437528783827</v>
      </c>
      <c r="AF25" s="84">
        <f>'CAC and HP Upgrades'!AB162/'CAC and HP Upgrades'!$K162</f>
        <v>0.6262744357700865</v>
      </c>
      <c r="AG25" s="84">
        <f t="shared" si="2"/>
        <v>0.3497800604822482</v>
      </c>
      <c r="AH25" s="85">
        <f t="shared" si="3"/>
        <v>2.2650530779084295</v>
      </c>
      <c r="AI25" s="96" t="s">
        <v>161</v>
      </c>
      <c r="AJ25" s="96" t="s">
        <v>162</v>
      </c>
      <c r="AK25" s="478">
        <f>VLOOKUP(A25,'CAC and HP Upgrades'!$B$141:$R$176,17,0)</f>
        <v>23.193295638979784</v>
      </c>
    </row>
    <row r="26" spans="1:37" ht="56.25">
      <c r="A26" s="88" t="str">
        <f>'CAC and HP Upgrades'!B163</f>
        <v>Post92 Single Family Construction HP Upgrade w/PTCS  - Zone 1 Heat - Zone 3 Cool</v>
      </c>
      <c r="B26" s="81" t="str">
        <f>VLOOKUP($A26,LookupTable!$A$3:$D$38,2,0)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26" s="81" t="str">
        <f>VLOOKUP($A26,LookupTable!$A$3:$D$38,3,0)</f>
        <v>Single Family Dwellings with existing or proposed air source heat pump system built after 1992</v>
      </c>
      <c r="D26" s="81" t="str">
        <f>VLOOKUP($A26,LookupTable!$A$3:$D$38,4,0)</f>
        <v>Heating Zone 1 - Cooling Zone 3</v>
      </c>
      <c r="E26" s="82">
        <f>'CAC and HP Upgrades'!E163</f>
        <v>1040.16</v>
      </c>
      <c r="F26" s="82">
        <f>'CAC and HP Upgrades'!F163</f>
        <v>0</v>
      </c>
      <c r="G26" s="82">
        <f>'CAC and HP Upgrades'!G163</f>
        <v>0</v>
      </c>
      <c r="H26" s="83">
        <f>'CAC and HP Upgrades'!C163</f>
        <v>18</v>
      </c>
      <c r="I26" s="83" t="s">
        <v>158</v>
      </c>
      <c r="J26" s="83">
        <f>'CAC and HP Upgrades'!D163</f>
        <v>3401.5209871210545</v>
      </c>
      <c r="K26" s="83">
        <f>'CAC and HP Upgrades'!K163</f>
        <v>3660.886962389035</v>
      </c>
      <c r="L26" s="85">
        <f>'CAC and HP Upgrades'!J163</f>
        <v>0.2788182199001312</v>
      </c>
      <c r="M26" s="85">
        <f>'CAC and HP Upgrades'!L163</f>
        <v>0.7374732841518846</v>
      </c>
      <c r="N26" s="89">
        <f>'CAC and HP Upgrades'!N163/'CAC and HP Upgrades'!K163</f>
        <v>0.28412699781140005</v>
      </c>
      <c r="O26" s="89">
        <f>('CAC and HP Upgrades'!O163/'CAC and HP Upgrades'!$K163)</f>
        <v>0</v>
      </c>
      <c r="P26" s="89">
        <f>('CAC and HP Upgrades'!P163/'CAC and HP Upgrades'!$K163)</f>
        <v>0</v>
      </c>
      <c r="Q26" s="89">
        <f>('CAC and HP Upgrades'!N163/'CAC and HP Upgrades'!$K163)</f>
        <v>0.28412699781140005</v>
      </c>
      <c r="R26" s="84">
        <f>'CAC and HP Upgrades'!S163/'CAC and HP Upgrades'!$K163</f>
        <v>0.4052713175494537</v>
      </c>
      <c r="S26" s="84">
        <f>'CAC and HP Upgrades'!T163/'CAC and HP Upgrades'!$K163</f>
        <v>0.0072045204949279925</v>
      </c>
      <c r="T26" s="84">
        <f>'CAC and HP Upgrades'!U163/'CAC and HP Upgrades'!$K163</f>
        <v>0.05741098045980759</v>
      </c>
      <c r="U26" s="84">
        <f>'CAC and HP Upgrades'!V163/'CAC and HP Upgrades'!$K163</f>
        <v>0.4695601216719929</v>
      </c>
      <c r="V26" s="84">
        <f t="shared" si="0"/>
        <v>0.18543312386059285</v>
      </c>
      <c r="W26" s="85">
        <f t="shared" si="1"/>
        <v>1.6526416894169311</v>
      </c>
      <c r="X26" s="85">
        <f>'CAC and HP Upgrades'!Y163/'CAC and HP Upgrades'!D163</f>
        <v>0.18258989915834795</v>
      </c>
      <c r="Y26" s="90">
        <f>'CAC and HP Upgrades'!M163</f>
        <v>2.6049301624298096</v>
      </c>
      <c r="Z26" s="85">
        <f>'CAC and HP Upgrades'!Y163/'CAC and HP Upgrades'!K163</f>
        <v>0.16965379712738485</v>
      </c>
      <c r="AA26" s="84" t="s">
        <v>159</v>
      </c>
      <c r="AB26" s="91" t="s">
        <v>160</v>
      </c>
      <c r="AC26" s="84">
        <f>'CAC and HP Upgrades'!Z163/'CAC and HP Upgrades'!$K163</f>
        <v>0</v>
      </c>
      <c r="AD26" s="84">
        <f>'CAC and HP Upgrades'!AA163/'CAC and HP Upgrades'!$K163</f>
        <v>0</v>
      </c>
      <c r="AE26" s="84">
        <f>'CAC and HP Upgrades'!AC163/'CAC and HP Upgrades'!$K163</f>
        <v>0.28412700830095367</v>
      </c>
      <c r="AF26" s="84">
        <f>'CAC and HP Upgrades'!AB163/'CAC and HP Upgrades'!$K163</f>
        <v>0.6392139030217135</v>
      </c>
      <c r="AG26" s="84">
        <f t="shared" si="2"/>
        <v>0.3550868947207599</v>
      </c>
      <c r="AH26" s="85">
        <f t="shared" si="3"/>
        <v>2.2497470650331275</v>
      </c>
      <c r="AI26" s="96" t="s">
        <v>161</v>
      </c>
      <c r="AJ26" s="96" t="s">
        <v>162</v>
      </c>
      <c r="AK26" s="478">
        <f>VLOOKUP(A26,'CAC and HP Upgrades'!$B$141:$R$176,17,0)</f>
        <v>23.833547050216392</v>
      </c>
    </row>
    <row r="27" spans="1:37" ht="56.25">
      <c r="A27" s="88" t="str">
        <f>'CAC and HP Upgrades'!B164</f>
        <v>Pre80 Single Family Construction HP Upgrade w/PTCS  - Zone 1 Heat - Zone 2 Cool</v>
      </c>
      <c r="B27" s="81" t="str">
        <f>VLOOKUP($A27,LookupTable!$A$3:$D$38,2,0)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27" s="81" t="str">
        <f>VLOOKUP($A27,LookupTable!$A$3:$D$38,3,0)</f>
        <v>Single Family Dwellings with existing air source heat pump built prior to 1980</v>
      </c>
      <c r="D27" s="81" t="str">
        <f>VLOOKUP($A27,LookupTable!$A$3:$D$38,4,0)</f>
        <v>Heating Zone 1 - Cooling Zone 2</v>
      </c>
      <c r="E27" s="82">
        <f>'CAC and HP Upgrades'!E164</f>
        <v>1040.16</v>
      </c>
      <c r="F27" s="82">
        <f>'CAC and HP Upgrades'!F164</f>
        <v>0</v>
      </c>
      <c r="G27" s="82">
        <f>'CAC and HP Upgrades'!G164</f>
        <v>0</v>
      </c>
      <c r="H27" s="83">
        <f>'CAC and HP Upgrades'!C164</f>
        <v>18</v>
      </c>
      <c r="I27" s="83" t="s">
        <v>158</v>
      </c>
      <c r="J27" s="83">
        <f>'CAC and HP Upgrades'!D164</f>
        <v>3173.1077095724436</v>
      </c>
      <c r="K27" s="83">
        <f>'CAC and HP Upgrades'!K164</f>
        <v>3415.0571724273423</v>
      </c>
      <c r="L27" s="85">
        <f>'CAC and HP Upgrades'!J164</f>
        <v>0.3209688067436218</v>
      </c>
      <c r="M27" s="85">
        <f>'CAC and HP Upgrades'!L164</f>
        <v>0.7919533642615366</v>
      </c>
      <c r="N27" s="89">
        <f>'CAC and HP Upgrades'!N164/'CAC and HP Upgrades'!K164</f>
        <v>0.30457962178453757</v>
      </c>
      <c r="O27" s="89">
        <f>('CAC and HP Upgrades'!O164/'CAC and HP Upgrades'!$K164)</f>
        <v>0</v>
      </c>
      <c r="P27" s="89">
        <f>('CAC and HP Upgrades'!P164/'CAC and HP Upgrades'!$K164)</f>
        <v>0</v>
      </c>
      <c r="Q27" s="89">
        <f>('CAC and HP Upgrades'!N164/'CAC and HP Upgrades'!$K164)</f>
        <v>0.30457962178453757</v>
      </c>
      <c r="R27" s="84">
        <f>'CAC and HP Upgrades'!S164/'CAC and HP Upgrades'!$K164</f>
        <v>0.3560093243651089</v>
      </c>
      <c r="S27" s="84">
        <f>'CAC and HP Upgrades'!T164/'CAC and HP Upgrades'!$K164</f>
        <v>0.008293669826993378</v>
      </c>
      <c r="T27" s="84">
        <f>'CAC and HP Upgrades'!U164/'CAC and HP Upgrades'!$K164</f>
        <v>0.0527265889571954</v>
      </c>
      <c r="U27" s="84">
        <f>'CAC and HP Upgrades'!V164/'CAC and HP Upgrades'!$K164</f>
        <v>0.4166534970170209</v>
      </c>
      <c r="V27" s="84">
        <f t="shared" si="0"/>
        <v>0.11207387523248336</v>
      </c>
      <c r="W27" s="85">
        <f t="shared" si="1"/>
        <v>1.3679624873648488</v>
      </c>
      <c r="X27" s="85">
        <f>'CAC and HP Upgrades'!Y164/'CAC and HP Upgrades'!D164</f>
        <v>0.1841437788798936</v>
      </c>
      <c r="Y27" s="90">
        <f>'CAC and HP Upgrades'!M164</f>
        <v>2.450687885284424</v>
      </c>
      <c r="Z27" s="85">
        <f>'CAC and HP Upgrades'!Y164/'CAC and HP Upgrades'!K164</f>
        <v>0.17109758780942497</v>
      </c>
      <c r="AA27" s="84" t="s">
        <v>159</v>
      </c>
      <c r="AB27" s="91" t="s">
        <v>160</v>
      </c>
      <c r="AC27" s="84">
        <f>'CAC and HP Upgrades'!Z164/'CAC and HP Upgrades'!$K164</f>
        <v>0</v>
      </c>
      <c r="AD27" s="84">
        <f>'CAC and HP Upgrades'!AA164/'CAC and HP Upgrades'!$K164</f>
        <v>0</v>
      </c>
      <c r="AE27" s="84">
        <f>'CAC and HP Upgrades'!AC164/'CAC and HP Upgrades'!$K164</f>
        <v>0.30457963302917224</v>
      </c>
      <c r="AF27" s="84">
        <f>'CAC and HP Upgrades'!AB164/'CAC and HP Upgrades'!$K164</f>
        <v>0.5877511010612384</v>
      </c>
      <c r="AG27" s="84">
        <f t="shared" si="2"/>
        <v>0.28317146803206616</v>
      </c>
      <c r="AH27" s="85">
        <f t="shared" si="3"/>
        <v>1.9297124210696792</v>
      </c>
      <c r="AI27" s="96" t="s">
        <v>161</v>
      </c>
      <c r="AJ27" s="96" t="s">
        <v>162</v>
      </c>
      <c r="AK27" s="478">
        <f>VLOOKUP(A27,'CAC and HP Upgrades'!$B$141:$R$176,17,0)</f>
        <v>25.549183295694647</v>
      </c>
    </row>
    <row r="28" spans="1:37" ht="56.25">
      <c r="A28" s="88" t="str">
        <f>'CAC and HP Upgrades'!B165</f>
        <v>Post92 Single Family Construction HP Upgrade w/PTCS  - Zone 1 Heat - Zone 2 Cool</v>
      </c>
      <c r="B28" s="81" t="str">
        <f>VLOOKUP($A28,LookupTable!$A$3:$D$38,2,0)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28" s="81" t="str">
        <f>VLOOKUP($A28,LookupTable!$A$3:$D$38,3,0)</f>
        <v>Single Family Dwellings with existing or proposed air source heat pump system built after 1992</v>
      </c>
      <c r="D28" s="81" t="str">
        <f>VLOOKUP($A28,LookupTable!$A$3:$D$38,4,0)</f>
        <v>Heating Zone 1 - Cooling Zone 2</v>
      </c>
      <c r="E28" s="82">
        <f>'CAC and HP Upgrades'!E165</f>
        <v>1040.16</v>
      </c>
      <c r="F28" s="82">
        <f>'CAC and HP Upgrades'!F165</f>
        <v>0</v>
      </c>
      <c r="G28" s="82">
        <f>'CAC and HP Upgrades'!G165</f>
        <v>0</v>
      </c>
      <c r="H28" s="83">
        <f>'CAC and HP Upgrades'!C165</f>
        <v>18</v>
      </c>
      <c r="I28" s="83" t="s">
        <v>158</v>
      </c>
      <c r="J28" s="83">
        <f>'CAC and HP Upgrades'!D165</f>
        <v>3043.0475589896037</v>
      </c>
      <c r="K28" s="83">
        <f>'CAC and HP Upgrades'!K165</f>
        <v>3275.0799353625607</v>
      </c>
      <c r="L28" s="85">
        <f>'CAC and HP Upgrades'!J165</f>
        <v>0.3116632401943207</v>
      </c>
      <c r="M28" s="85">
        <f>'CAC and HP Upgrades'!L165</f>
        <v>0.7374732841518846</v>
      </c>
      <c r="N28" s="89">
        <f>'CAC and HP Upgrades'!N165/'CAC and HP Upgrades'!K165</f>
        <v>0.3175973846376803</v>
      </c>
      <c r="O28" s="89">
        <f>('CAC and HP Upgrades'!O165/'CAC and HP Upgrades'!$K165)</f>
        <v>0</v>
      </c>
      <c r="P28" s="89">
        <f>('CAC and HP Upgrades'!P165/'CAC and HP Upgrades'!$K165)</f>
        <v>0</v>
      </c>
      <c r="Q28" s="89">
        <f>('CAC and HP Upgrades'!N165/'CAC and HP Upgrades'!$K165)</f>
        <v>0.3175973846376803</v>
      </c>
      <c r="R28" s="84">
        <f>'CAC and HP Upgrades'!S165/'CAC and HP Upgrades'!$K165</f>
        <v>0.3632824231649918</v>
      </c>
      <c r="S28" s="84">
        <f>'CAC and HP Upgrades'!T165/'CAC and HP Upgrades'!$K165</f>
        <v>0.008053218752117787</v>
      </c>
      <c r="T28" s="84">
        <f>'CAC and HP Upgrades'!U165/'CAC and HP Upgrades'!$K165</f>
        <v>0.053400516672884944</v>
      </c>
      <c r="U28" s="84">
        <f>'CAC and HP Upgrades'!V165/'CAC and HP Upgrades'!$K165</f>
        <v>0.42437097486340086</v>
      </c>
      <c r="V28" s="84">
        <f t="shared" si="0"/>
        <v>0.10677359022572058</v>
      </c>
      <c r="W28" s="85">
        <f t="shared" si="1"/>
        <v>1.3361916545614172</v>
      </c>
      <c r="X28" s="85">
        <f>'CAC and HP Upgrades'!Y165/'CAC and HP Upgrades'!D165</f>
        <v>0.18380071957876304</v>
      </c>
      <c r="Y28" s="90">
        <f>'CAC and HP Upgrades'!M165</f>
        <v>2.345860242843628</v>
      </c>
      <c r="Z28" s="85">
        <f>'CAC and HP Upgrades'!Y165/'CAC and HP Upgrades'!K165</f>
        <v>0.1707788335226602</v>
      </c>
      <c r="AA28" s="84" t="s">
        <v>159</v>
      </c>
      <c r="AB28" s="91" t="s">
        <v>160</v>
      </c>
      <c r="AC28" s="84">
        <f>'CAC and HP Upgrades'!Z165/'CAC and HP Upgrades'!$K165</f>
        <v>0</v>
      </c>
      <c r="AD28" s="84">
        <f>'CAC and HP Upgrades'!AA165/'CAC and HP Upgrades'!$K165</f>
        <v>0</v>
      </c>
      <c r="AE28" s="84">
        <f>'CAC and HP Upgrades'!AC165/'CAC and HP Upgrades'!$K165</f>
        <v>0.31759739636291173</v>
      </c>
      <c r="AF28" s="84">
        <f>'CAC and HP Upgrades'!AB165/'CAC and HP Upgrades'!$K165</f>
        <v>0.5951498120585672</v>
      </c>
      <c r="AG28" s="84">
        <f t="shared" si="2"/>
        <v>0.2775524156956555</v>
      </c>
      <c r="AH28" s="85">
        <f t="shared" si="3"/>
        <v>1.8739127551867658</v>
      </c>
      <c r="AI28" s="96" t="s">
        <v>161</v>
      </c>
      <c r="AJ28" s="96" t="s">
        <v>162</v>
      </c>
      <c r="AK28" s="478">
        <f>VLOOKUP(A28,'CAC and HP Upgrades'!$B$141:$R$176,17,0)</f>
        <v>26.641157890994744</v>
      </c>
    </row>
    <row r="29" spans="1:37" ht="56.25">
      <c r="A29" s="88" t="str">
        <f>'CAC and HP Upgrades'!B166</f>
        <v>Pre80 Single Family Construction HP Upgrade w/PTCS  - Zone 1 Heat - Zone 1 Cool</v>
      </c>
      <c r="B29" s="81" t="str">
        <f>VLOOKUP($A29,LookupTable!$A$3:$D$38,2,0)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29" s="81" t="str">
        <f>VLOOKUP($A29,LookupTable!$A$3:$D$38,3,0)</f>
        <v>Single Family Dwellings with existing air source heat pump built prior to 1980</v>
      </c>
      <c r="D29" s="81" t="str">
        <f>VLOOKUP($A29,LookupTable!$A$3:$D$38,4,0)</f>
        <v>Heating Zone 1 - Cooling Zone 1</v>
      </c>
      <c r="E29" s="82">
        <f>'CAC and HP Upgrades'!E166</f>
        <v>1040.16</v>
      </c>
      <c r="F29" s="82">
        <f>'CAC and HP Upgrades'!F166</f>
        <v>0</v>
      </c>
      <c r="G29" s="82">
        <f>'CAC and HP Upgrades'!G166</f>
        <v>0</v>
      </c>
      <c r="H29" s="83">
        <f>'CAC and HP Upgrades'!C166</f>
        <v>18</v>
      </c>
      <c r="I29" s="83" t="s">
        <v>158</v>
      </c>
      <c r="J29" s="83">
        <f>'CAC and HP Upgrades'!D166</f>
        <v>2998.412173656343</v>
      </c>
      <c r="K29" s="83">
        <f>'CAC and HP Upgrades'!K166</f>
        <v>3227.0411018976392</v>
      </c>
      <c r="L29" s="85">
        <f>'CAC and HP Upgrades'!J166</f>
        <v>0.33966928720474243</v>
      </c>
      <c r="M29" s="85">
        <f>'CAC and HP Upgrades'!L166</f>
        <v>0.7919533642615366</v>
      </c>
      <c r="N29" s="89">
        <f>'CAC and HP Upgrades'!N166/'CAC and HP Upgrades'!K166</f>
        <v>0.322325247527475</v>
      </c>
      <c r="O29" s="89">
        <f>('CAC and HP Upgrades'!O166/'CAC and HP Upgrades'!$K166)</f>
        <v>0</v>
      </c>
      <c r="P29" s="89">
        <f>('CAC and HP Upgrades'!P166/'CAC and HP Upgrades'!$K166)</f>
        <v>0</v>
      </c>
      <c r="Q29" s="89">
        <f>('CAC and HP Upgrades'!N166/'CAC and HP Upgrades'!$K166)</f>
        <v>0.322325247527475</v>
      </c>
      <c r="R29" s="84">
        <f>'CAC and HP Upgrades'!S166/'CAC and HP Upgrades'!$K166</f>
        <v>0.3402229521138261</v>
      </c>
      <c r="S29" s="84">
        <f>'CAC and HP Upgrades'!T166/'CAC and HP Upgrades'!$K166</f>
        <v>0.008776881277329444</v>
      </c>
      <c r="T29" s="84">
        <f>'CAC and HP Upgrades'!U166/'CAC and HP Upgrades'!$K166</f>
        <v>0.05125523203942202</v>
      </c>
      <c r="U29" s="84">
        <f>'CAC and HP Upgrades'!V166/'CAC and HP Upgrades'!$K166</f>
        <v>0.3998570672159278</v>
      </c>
      <c r="V29" s="84">
        <f t="shared" si="0"/>
        <v>0.0775318196884528</v>
      </c>
      <c r="W29" s="85">
        <f t="shared" si="1"/>
        <v>1.2405390836839238</v>
      </c>
      <c r="X29" s="85">
        <f>'CAC and HP Upgrades'!Y166/'CAC and HP Upgrades'!D166</f>
        <v>0.18483317922621909</v>
      </c>
      <c r="Y29" s="90">
        <f>'CAC and HP Upgrades'!M166</f>
        <v>2.324434757232666</v>
      </c>
      <c r="Z29" s="85">
        <f>'CAC and HP Upgrades'!Y166/'CAC and HP Upgrades'!K166</f>
        <v>0.17173814562250322</v>
      </c>
      <c r="AA29" s="84" t="s">
        <v>159</v>
      </c>
      <c r="AB29" s="91" t="s">
        <v>160</v>
      </c>
      <c r="AC29" s="84">
        <f>'CAC and HP Upgrades'!Z166/'CAC and HP Upgrades'!$K166</f>
        <v>0</v>
      </c>
      <c r="AD29" s="84">
        <f>'CAC and HP Upgrades'!AA166/'CAC and HP Upgrades'!$K166</f>
        <v>0</v>
      </c>
      <c r="AE29" s="84">
        <f>'CAC and HP Upgrades'!AC166/'CAC and HP Upgrades'!$K166</f>
        <v>0.32232525942725226</v>
      </c>
      <c r="AF29" s="84">
        <f>'CAC and HP Upgrades'!AB166/'CAC and HP Upgrades'!$K166</f>
        <v>0.5715952233184118</v>
      </c>
      <c r="AG29" s="84">
        <f t="shared" si="2"/>
        <v>0.24926996389115957</v>
      </c>
      <c r="AH29" s="85">
        <f t="shared" si="3"/>
        <v>1.77334914531394</v>
      </c>
      <c r="AI29" s="96" t="s">
        <v>161</v>
      </c>
      <c r="AJ29" s="96" t="s">
        <v>162</v>
      </c>
      <c r="AK29" s="478">
        <f>VLOOKUP(A29,'CAC and HP Upgrades'!$B$141:$R$176,17,0)</f>
        <v>27.03774724539918</v>
      </c>
    </row>
    <row r="30" spans="1:37" ht="56.25">
      <c r="A30" s="88" t="str">
        <f>'CAC and HP Upgrades'!B167</f>
        <v>Post92 Single Family Construction HP Upgrade w/PTCS  - Zone 1 Heat - Zone 1 Cool</v>
      </c>
      <c r="B30" s="81" t="str">
        <f>VLOOKUP($A30,LookupTable!$A$3:$D$38,2,0)</f>
        <v>Heat Pump must be rated HSPF 8.0 and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 </v>
      </c>
      <c r="C30" s="81" t="str">
        <f>VLOOKUP($A30,LookupTable!$A$3:$D$38,3,0)</f>
        <v>Single Family Dwellings with existing or proposed air source heat pump system built after 1992</v>
      </c>
      <c r="D30" s="81" t="str">
        <f>VLOOKUP($A30,LookupTable!$A$3:$D$38,4,0)</f>
        <v>Heating Zone 1 - Cooling Zone 1</v>
      </c>
      <c r="E30" s="82">
        <f>'CAC and HP Upgrades'!E167</f>
        <v>1040.16</v>
      </c>
      <c r="F30" s="82">
        <f>'CAC and HP Upgrades'!F167</f>
        <v>0</v>
      </c>
      <c r="G30" s="82">
        <f>'CAC and HP Upgrades'!G167</f>
        <v>0</v>
      </c>
      <c r="H30" s="83">
        <f>'CAC and HP Upgrades'!C167</f>
        <v>18</v>
      </c>
      <c r="I30" s="83" t="s">
        <v>158</v>
      </c>
      <c r="J30" s="83">
        <f>'CAC and HP Upgrades'!D167</f>
        <v>2843.010259989785</v>
      </c>
      <c r="K30" s="83">
        <f>'CAC and HP Upgrades'!K167</f>
        <v>3059.7897923140063</v>
      </c>
      <c r="L30" s="85">
        <f>'CAC and HP Upgrades'!J167</f>
        <v>0.3335922062397003</v>
      </c>
      <c r="M30" s="85">
        <f>'CAC and HP Upgrades'!L167</f>
        <v>0.7374732841518846</v>
      </c>
      <c r="N30" s="89">
        <f>'CAC and HP Upgrades'!N167/'CAC and HP Upgrades'!K167</f>
        <v>0.3399438826037327</v>
      </c>
      <c r="O30" s="89">
        <f>('CAC and HP Upgrades'!O167/'CAC and HP Upgrades'!$K167)</f>
        <v>0</v>
      </c>
      <c r="P30" s="89">
        <f>('CAC and HP Upgrades'!P167/'CAC and HP Upgrades'!$K167)</f>
        <v>0</v>
      </c>
      <c r="Q30" s="89">
        <f>('CAC and HP Upgrades'!N167/'CAC and HP Upgrades'!$K167)</f>
        <v>0.3399438826037327</v>
      </c>
      <c r="R30" s="84">
        <f>'CAC and HP Upgrades'!S167/'CAC and HP Upgrades'!$K167</f>
        <v>0.34450881437571435</v>
      </c>
      <c r="S30" s="84">
        <f>'CAC and HP Upgrades'!T167/'CAC and HP Upgrades'!$K167</f>
        <v>0.008619851996499436</v>
      </c>
      <c r="T30" s="84">
        <f>'CAC and HP Upgrades'!U167/'CAC and HP Upgrades'!$K167</f>
        <v>0.0516489541287858</v>
      </c>
      <c r="U30" s="84">
        <f>'CAC and HP Upgrades'!V167/'CAC and HP Upgrades'!$K167</f>
        <v>0.40438674485469767</v>
      </c>
      <c r="V30" s="84">
        <f t="shared" si="0"/>
        <v>0.06444286225096496</v>
      </c>
      <c r="W30" s="85">
        <f t="shared" si="1"/>
        <v>1.1895691187538886</v>
      </c>
      <c r="X30" s="85">
        <f>'CAC and HP Upgrades'!Y167/'CAC and HP Upgrades'!D167</f>
        <v>0.18460912697927778</v>
      </c>
      <c r="Y30" s="90">
        <f>'CAC and HP Upgrades'!M167</f>
        <v>2.2012925148010254</v>
      </c>
      <c r="Z30" s="85">
        <f>'CAC and HP Upgrades'!Y167/'CAC and HP Upgrades'!K167</f>
        <v>0.1715299669958446</v>
      </c>
      <c r="AA30" s="84" t="s">
        <v>159</v>
      </c>
      <c r="AB30" s="91" t="s">
        <v>160</v>
      </c>
      <c r="AC30" s="84">
        <f>'CAC and HP Upgrades'!Z167/'CAC and HP Upgrades'!$K167</f>
        <v>0</v>
      </c>
      <c r="AD30" s="84">
        <f>'CAC and HP Upgrades'!AA167/'CAC and HP Upgrades'!$K167</f>
        <v>0</v>
      </c>
      <c r="AE30" s="84">
        <f>'CAC and HP Upgrades'!AC167/'CAC and HP Upgrades'!$K167</f>
        <v>0.3399438951539642</v>
      </c>
      <c r="AF30" s="84">
        <f>'CAC and HP Upgrades'!AB167/'CAC and HP Upgrades'!$K167</f>
        <v>0.5759167137748293</v>
      </c>
      <c r="AG30" s="84">
        <f t="shared" si="2"/>
        <v>0.2359728186208651</v>
      </c>
      <c r="AH30" s="85">
        <f t="shared" si="3"/>
        <v>1.6941522468405867</v>
      </c>
      <c r="AI30" s="96" t="s">
        <v>161</v>
      </c>
      <c r="AJ30" s="96" t="s">
        <v>162</v>
      </c>
      <c r="AK30" s="478">
        <f>VLOOKUP(A30,'CAC and HP Upgrades'!$B$141:$R$176,17,0)</f>
        <v>28.515658782441204</v>
      </c>
    </row>
    <row r="31" spans="1:37" ht="56.25">
      <c r="A31" s="88" t="str">
        <f>'CAC and HP Upgrades'!B168</f>
        <v>Post79/Pre93 Single Family Construction CAC Upgrade SEER w/PTCS - Cooling Zone 3</v>
      </c>
      <c r="B31" s="81" t="str">
        <f>VLOOKUP($A31,LookupTable!$A$3:$D$38,2,0)</f>
        <v>Central AC must be rated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v>
      </c>
      <c r="C31" s="81" t="str">
        <f>VLOOKUP($A31,LookupTable!$A$3:$D$38,3,0)</f>
        <v>Single Family Dwellings with existing central air conditioning system built between to 1980 and 1992</v>
      </c>
      <c r="D31" s="81" t="str">
        <f>VLOOKUP($A31,LookupTable!$A$3:$D$38,4,0)</f>
        <v>Cooling Zone 3</v>
      </c>
      <c r="E31" s="82">
        <f>'CAC and HP Upgrades'!E168</f>
        <v>960.65</v>
      </c>
      <c r="F31" s="82">
        <f>'CAC and HP Upgrades'!F168</f>
        <v>0</v>
      </c>
      <c r="G31" s="82">
        <f>'CAC and HP Upgrades'!G168</f>
        <v>0</v>
      </c>
      <c r="H31" s="83">
        <f>'CAC and HP Upgrades'!C168</f>
        <v>18</v>
      </c>
      <c r="I31" s="83" t="s">
        <v>158</v>
      </c>
      <c r="J31" s="83">
        <f>'CAC and HP Upgrades'!D168</f>
        <v>1030.8741567717698</v>
      </c>
      <c r="K31" s="83">
        <f>'CAC and HP Upgrades'!K168</f>
        <v>1109.478311225617</v>
      </c>
      <c r="L31" s="85">
        <f>'CAC and HP Upgrades'!J168</f>
        <v>0</v>
      </c>
      <c r="M31" s="85">
        <f>'CAC and HP Upgrades'!L168</f>
        <v>0</v>
      </c>
      <c r="N31" s="89">
        <f>'CAC and HP Upgrades'!N168/'CAC and HP Upgrades'!K168</f>
        <v>0.8658549655859473</v>
      </c>
      <c r="O31" s="89">
        <f>('CAC and HP Upgrades'!O168/'CAC and HP Upgrades'!$K168)</f>
        <v>0</v>
      </c>
      <c r="P31" s="89">
        <f>('CAC and HP Upgrades'!P168/'CAC and HP Upgrades'!$K168)</f>
        <v>0</v>
      </c>
      <c r="Q31" s="89">
        <f>('CAC and HP Upgrades'!N168/'CAC and HP Upgrades'!$K168)</f>
        <v>0.8658549655859473</v>
      </c>
      <c r="R31" s="84">
        <f>'CAC and HP Upgrades'!S168/'CAC and HP Upgrades'!$K168</f>
        <v>0.6829130196863479</v>
      </c>
      <c r="S31" s="84">
        <f>'CAC and HP Upgrades'!T168/'CAC and HP Upgrades'!$K168</f>
        <v>0</v>
      </c>
      <c r="T31" s="84">
        <f>'CAC and HP Upgrades'!U168/'CAC and HP Upgrades'!$K168</f>
        <v>0.083575644288735</v>
      </c>
      <c r="U31" s="84">
        <f>'CAC and HP Upgrades'!V168/'CAC and HP Upgrades'!$K168</f>
        <v>0.7664886639750829</v>
      </c>
      <c r="V31" s="84">
        <f aca="true" t="shared" si="4" ref="V31:V39">U31-Q31</f>
        <v>-0.09936630161086446</v>
      </c>
      <c r="W31" s="85">
        <f aca="true" t="shared" si="5" ref="W31:W39">U31/Q31</f>
        <v>0.8852390925036497</v>
      </c>
      <c r="X31" s="85">
        <f>'CAC and HP Upgrades'!Y168/'CAC and HP Upgrades'!D168</f>
        <v>0.1723113643218312</v>
      </c>
      <c r="Y31" s="90">
        <f>'CAC and HP Upgrades'!M168</f>
        <v>0.74501633644104</v>
      </c>
      <c r="Z31" s="85">
        <f>'CAC and HP Upgrades'!Y168/'CAC and HP Upgrades'!K168</f>
        <v>0.160103474398914</v>
      </c>
      <c r="AA31" s="84" t="s">
        <v>159</v>
      </c>
      <c r="AB31" s="91" t="s">
        <v>160</v>
      </c>
      <c r="AC31" s="84">
        <f>'CAC and HP Upgrades'!Z168/'CAC and HP Upgrades'!$K168</f>
        <v>0</v>
      </c>
      <c r="AD31" s="84">
        <f>'CAC and HP Upgrades'!AA168/'CAC and HP Upgrades'!$K168</f>
        <v>0</v>
      </c>
      <c r="AE31" s="84">
        <f>'CAC and HP Upgrades'!AC168/'CAC and HP Upgrades'!$K168</f>
        <v>0.865854941112661</v>
      </c>
      <c r="AF31" s="84">
        <f>'CAC and HP Upgrades'!AB168/'CAC and HP Upgrades'!$K168</f>
        <v>0.9265921876482901</v>
      </c>
      <c r="AG31" s="84">
        <f aca="true" t="shared" si="6" ref="AG31:AG39">AF31-AE31</f>
        <v>0.060737246535629064</v>
      </c>
      <c r="AH31" s="85">
        <f aca="true" t="shared" si="7" ref="AH31:AH39">AF31/AE31</f>
        <v>1.0701471385698615</v>
      </c>
      <c r="AI31" s="96" t="s">
        <v>161</v>
      </c>
      <c r="AJ31" s="96" t="s">
        <v>162</v>
      </c>
      <c r="AK31" s="478">
        <f>VLOOKUP(A31,'CAC and HP Upgrades'!$B$141:$R$176,17,0)</f>
        <v>72.63087628512558</v>
      </c>
    </row>
    <row r="32" spans="1:37" ht="56.25">
      <c r="A32" s="88" t="str">
        <f>'CAC and HP Upgrades'!B169</f>
        <v>Post92 Single Family Construction CAC Upgrade SEER w/PTCS - Cooling Zone 3</v>
      </c>
      <c r="B32" s="81" t="str">
        <f>VLOOKUP($A32,LookupTable!$A$3:$D$38,2,0)</f>
        <v>Central AC must be rated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v>
      </c>
      <c r="C32" s="81" t="str">
        <f>VLOOKUP($A32,LookupTable!$A$3:$D$38,3,0)</f>
        <v>Single Family Dwellings with existing or proposed central air conditioning system built after 1992</v>
      </c>
      <c r="D32" s="81" t="str">
        <f>VLOOKUP($A32,LookupTable!$A$3:$D$38,4,0)</f>
        <v>Cooling Zone 3</v>
      </c>
      <c r="E32" s="82">
        <f>'CAC and HP Upgrades'!E169</f>
        <v>960.65</v>
      </c>
      <c r="F32" s="82">
        <f>'CAC and HP Upgrades'!F169</f>
        <v>0</v>
      </c>
      <c r="G32" s="82">
        <f>'CAC and HP Upgrades'!G169</f>
        <v>0</v>
      </c>
      <c r="H32" s="83">
        <f>'CAC and HP Upgrades'!C169</f>
        <v>18</v>
      </c>
      <c r="I32" s="83" t="s">
        <v>158</v>
      </c>
      <c r="J32" s="83">
        <f>'CAC and HP Upgrades'!D169</f>
        <v>729.9545374250838</v>
      </c>
      <c r="K32" s="83">
        <f>'CAC and HP Upgrades'!K169</f>
        <v>785.6135709037464</v>
      </c>
      <c r="L32" s="85">
        <f>'CAC and HP Upgrades'!J169</f>
        <v>0</v>
      </c>
      <c r="M32" s="85">
        <f>'CAC and HP Upgrades'!L169</f>
        <v>0</v>
      </c>
      <c r="N32" s="89">
        <f>'CAC and HP Upgrades'!N169/'CAC and HP Upgrades'!K169</f>
        <v>1.2227987659117339</v>
      </c>
      <c r="O32" s="89">
        <f>('CAC and HP Upgrades'!O169/'CAC and HP Upgrades'!$K169)</f>
        <v>0</v>
      </c>
      <c r="P32" s="89">
        <f>('CAC and HP Upgrades'!P169/'CAC and HP Upgrades'!$K169)</f>
        <v>0</v>
      </c>
      <c r="Q32" s="89">
        <f>('CAC and HP Upgrades'!N169/'CAC and HP Upgrades'!$K169)</f>
        <v>1.2227987659117339</v>
      </c>
      <c r="R32" s="84">
        <f>'CAC and HP Upgrades'!S169/'CAC and HP Upgrades'!$K169</f>
        <v>0.6829130196863487</v>
      </c>
      <c r="S32" s="84">
        <f>'CAC and HP Upgrades'!T169/'CAC and HP Upgrades'!$K169</f>
        <v>0</v>
      </c>
      <c r="T32" s="84">
        <f>'CAC and HP Upgrades'!U169/'CAC and HP Upgrades'!$K169</f>
        <v>0.08357564046799959</v>
      </c>
      <c r="U32" s="84">
        <f>'CAC and HP Upgrades'!V169/'CAC and HP Upgrades'!$K169</f>
        <v>0.7664886601543482</v>
      </c>
      <c r="V32" s="84">
        <f t="shared" si="4"/>
        <v>-0.4563101057573856</v>
      </c>
      <c r="W32" s="85">
        <f t="shared" si="5"/>
        <v>0.626831398200541</v>
      </c>
      <c r="X32" s="85">
        <f>'CAC and HP Upgrades'!Y169/'CAC and HP Upgrades'!D169</f>
        <v>0.17231138862997705</v>
      </c>
      <c r="Y32" s="90">
        <f>'CAC and HP Upgrades'!M169</f>
        <v>0.5275406837463379</v>
      </c>
      <c r="Z32" s="85">
        <f>'CAC and HP Upgrades'!Y169/'CAC and HP Upgrades'!K169</f>
        <v>0.16010349698487997</v>
      </c>
      <c r="AA32" s="84" t="s">
        <v>159</v>
      </c>
      <c r="AB32" s="91" t="s">
        <v>160</v>
      </c>
      <c r="AC32" s="84">
        <f>'CAC and HP Upgrades'!Z169/'CAC and HP Upgrades'!$K169</f>
        <v>0</v>
      </c>
      <c r="AD32" s="84">
        <f>'CAC and HP Upgrades'!AA169/'CAC and HP Upgrades'!$K169</f>
        <v>0</v>
      </c>
      <c r="AE32" s="84">
        <f>'CAC and HP Upgrades'!AC169/'CAC and HP Upgrades'!$K169</f>
        <v>1.2227987313494741</v>
      </c>
      <c r="AF32" s="84">
        <f>'CAC and HP Upgrades'!AB169/'CAC and HP Upgrades'!$K169</f>
        <v>0.9265922170524012</v>
      </c>
      <c r="AG32" s="84">
        <f t="shared" si="6"/>
        <v>-0.2962065142970729</v>
      </c>
      <c r="AH32" s="85">
        <f t="shared" si="7"/>
        <v>0.7577634759481792</v>
      </c>
      <c r="AI32" s="96" t="s">
        <v>161</v>
      </c>
      <c r="AJ32" s="96" t="s">
        <v>162</v>
      </c>
      <c r="AK32" s="478">
        <f>VLOOKUP(A32,'CAC and HP Upgrades'!$B$141:$R$176,17,0)</f>
        <v>102.57254323007464</v>
      </c>
    </row>
    <row r="33" spans="1:37" ht="56.25">
      <c r="A33" s="88" t="str">
        <f>'CAC and HP Upgrades'!B170</f>
        <v>Pre80 Single Family Construction CAC Upgrade SEER w/PTCS - Cooling Zone 3</v>
      </c>
      <c r="B33" s="81" t="str">
        <f>VLOOKUP($A33,LookupTable!$A$3:$D$38,2,0)</f>
        <v>Central AC must be rated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v>
      </c>
      <c r="C33" s="81" t="str">
        <f>VLOOKUP($A33,LookupTable!$A$3:$D$38,3,0)</f>
        <v>Single Family Dwellings with existing central air conditioning system built prior to 1980</v>
      </c>
      <c r="D33" s="81" t="str">
        <f>VLOOKUP($A33,LookupTable!$A$3:$D$38,4,0)</f>
        <v>Cooling Zone 3</v>
      </c>
      <c r="E33" s="82">
        <f>'CAC and HP Upgrades'!E170</f>
        <v>960.65</v>
      </c>
      <c r="F33" s="82">
        <f>'CAC and HP Upgrades'!F170</f>
        <v>0</v>
      </c>
      <c r="G33" s="82">
        <f>'CAC and HP Upgrades'!G170</f>
        <v>0</v>
      </c>
      <c r="H33" s="83">
        <f>'CAC and HP Upgrades'!C170</f>
        <v>18</v>
      </c>
      <c r="I33" s="83" t="s">
        <v>158</v>
      </c>
      <c r="J33" s="83">
        <f>'CAC and HP Upgrades'!D170</f>
        <v>626.4943726201489</v>
      </c>
      <c r="K33" s="83">
        <f>'CAC and HP Upgrades'!K170</f>
        <v>674.2645685324352</v>
      </c>
      <c r="L33" s="85">
        <f>'CAC and HP Upgrades'!J170</f>
        <v>0</v>
      </c>
      <c r="M33" s="85">
        <f>'CAC and HP Upgrades'!L170</f>
        <v>0</v>
      </c>
      <c r="N33" s="89">
        <f>'CAC and HP Upgrades'!N170/'CAC and HP Upgrades'!K170</f>
        <v>1.4247334797311098</v>
      </c>
      <c r="O33" s="89">
        <f>('CAC and HP Upgrades'!O170/'CAC and HP Upgrades'!$K170)</f>
        <v>0</v>
      </c>
      <c r="P33" s="89">
        <f>('CAC and HP Upgrades'!P170/'CAC and HP Upgrades'!$K170)</f>
        <v>0</v>
      </c>
      <c r="Q33" s="89">
        <f>('CAC and HP Upgrades'!N170/'CAC and HP Upgrades'!$K170)</f>
        <v>1.4247334797311098</v>
      </c>
      <c r="R33" s="84">
        <f>'CAC and HP Upgrades'!S170/'CAC and HP Upgrades'!$K170</f>
        <v>0.6829130196863488</v>
      </c>
      <c r="S33" s="84">
        <f>'CAC and HP Upgrades'!T170/'CAC and HP Upgrades'!$K170</f>
        <v>0</v>
      </c>
      <c r="T33" s="84">
        <f>'CAC and HP Upgrades'!U170/'CAC and HP Upgrades'!$K170</f>
        <v>0.08357564550702977</v>
      </c>
      <c r="U33" s="84">
        <f>'CAC and HP Upgrades'!V170/'CAC and HP Upgrades'!$K170</f>
        <v>0.7664886651933785</v>
      </c>
      <c r="V33" s="84">
        <f t="shared" si="4"/>
        <v>-0.6582448145377312</v>
      </c>
      <c r="W33" s="85">
        <f t="shared" si="5"/>
        <v>0.5379874033268581</v>
      </c>
      <c r="X33" s="85">
        <f>'CAC and HP Upgrades'!Y170/'CAC and HP Upgrades'!D170</f>
        <v>0.17231136843201222</v>
      </c>
      <c r="Y33" s="90">
        <f>'CAC and HP Upgrades'!M170</f>
        <v>0.4527696669101715</v>
      </c>
      <c r="Z33" s="85">
        <f>'CAC and HP Upgrades'!Y170/'CAC and HP Upgrades'!K170</f>
        <v>0.16010347821789753</v>
      </c>
      <c r="AA33" s="84" t="s">
        <v>159</v>
      </c>
      <c r="AB33" s="91" t="s">
        <v>160</v>
      </c>
      <c r="AC33" s="84">
        <f>'CAC and HP Upgrades'!Z170/'CAC and HP Upgrades'!$K170</f>
        <v>0</v>
      </c>
      <c r="AD33" s="84">
        <f>'CAC and HP Upgrades'!AA170/'CAC and HP Upgrades'!$K170</f>
        <v>0</v>
      </c>
      <c r="AE33" s="84">
        <f>'CAC and HP Upgrades'!AC170/'CAC and HP Upgrades'!$K170</f>
        <v>1.4247334394611895</v>
      </c>
      <c r="AF33" s="84">
        <f>'CAC and HP Upgrades'!AB170/'CAC and HP Upgrades'!$K170</f>
        <v>0.9265921400431181</v>
      </c>
      <c r="AG33" s="84">
        <f t="shared" si="6"/>
        <v>-0.4981412994180714</v>
      </c>
      <c r="AH33" s="85">
        <f t="shared" si="7"/>
        <v>0.6503617549634687</v>
      </c>
      <c r="AI33" s="96" t="s">
        <v>161</v>
      </c>
      <c r="AJ33" s="96" t="s">
        <v>162</v>
      </c>
      <c r="AK33" s="478">
        <f>VLOOKUP(A33,'CAC and HP Upgrades'!$B$141:$R$176,17,0)</f>
        <v>119.51151776972168</v>
      </c>
    </row>
    <row r="34" spans="1:37" ht="56.25">
      <c r="A34" s="88" t="str">
        <f>'CAC and HP Upgrades'!B171</f>
        <v>Post79/Pre93 Single Family Construction CAC Upgrade SEER w/PTCS - Cooling Zone 2</v>
      </c>
      <c r="B34" s="81" t="str">
        <f>VLOOKUP($A34,LookupTable!$A$3:$D$38,2,0)</f>
        <v>Central AC must be rated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v>
      </c>
      <c r="C34" s="81" t="str">
        <f>VLOOKUP($A34,LookupTable!$A$3:$D$38,3,0)</f>
        <v>Single Family Dwellings with existing central air conditioning system built between to 1980 and 1992</v>
      </c>
      <c r="D34" s="81" t="str">
        <f>VLOOKUP($A34,LookupTable!$A$3:$D$38,4,0)</f>
        <v>Cooling Zone 2</v>
      </c>
      <c r="E34" s="82">
        <f>'CAC and HP Upgrades'!E171</f>
        <v>960.65</v>
      </c>
      <c r="F34" s="82">
        <f>'CAC and HP Upgrades'!F171</f>
        <v>0</v>
      </c>
      <c r="G34" s="82">
        <f>'CAC and HP Upgrades'!G171</f>
        <v>0</v>
      </c>
      <c r="H34" s="83">
        <f>'CAC and HP Upgrades'!C171</f>
        <v>18</v>
      </c>
      <c r="I34" s="83" t="s">
        <v>158</v>
      </c>
      <c r="J34" s="83">
        <f>'CAC and HP Upgrades'!D171</f>
        <v>534.6744782669505</v>
      </c>
      <c r="K34" s="83">
        <f>'CAC and HP Upgrades'!K171</f>
        <v>575.4434072348055</v>
      </c>
      <c r="L34" s="85">
        <f>'CAC and HP Upgrades'!J171</f>
        <v>0</v>
      </c>
      <c r="M34" s="85">
        <f>'CAC and HP Upgrades'!L171</f>
        <v>0</v>
      </c>
      <c r="N34" s="89">
        <f>'CAC and HP Upgrades'!N171/'CAC and HP Upgrades'!K171</f>
        <v>1.6694036162493153</v>
      </c>
      <c r="O34" s="89">
        <f>('CAC and HP Upgrades'!O171/'CAC and HP Upgrades'!$K171)</f>
        <v>0</v>
      </c>
      <c r="P34" s="89">
        <f>('CAC and HP Upgrades'!P171/'CAC and HP Upgrades'!$K171)</f>
        <v>0</v>
      </c>
      <c r="Q34" s="89">
        <f>('CAC and HP Upgrades'!N171/'CAC and HP Upgrades'!$K171)</f>
        <v>1.6694036162493153</v>
      </c>
      <c r="R34" s="84">
        <f>'CAC and HP Upgrades'!S171/'CAC and HP Upgrades'!$K171</f>
        <v>0.6068740796235366</v>
      </c>
      <c r="S34" s="84">
        <f>'CAC and HP Upgrades'!T171/'CAC and HP Upgrades'!$K171</f>
        <v>0</v>
      </c>
      <c r="T34" s="84">
        <f>'CAC and HP Upgrades'!U171/'CAC and HP Upgrades'!$K171</f>
        <v>0.0759717480627931</v>
      </c>
      <c r="U34" s="84">
        <f>'CAC and HP Upgrades'!V171/'CAC and HP Upgrades'!$K171</f>
        <v>0.6828458276863297</v>
      </c>
      <c r="V34" s="84">
        <f t="shared" si="4"/>
        <v>-0.9865577885629856</v>
      </c>
      <c r="W34" s="85">
        <f t="shared" si="5"/>
        <v>0.40903579041028676</v>
      </c>
      <c r="X34" s="85">
        <f>'CAC and HP Upgrades'!Y171/'CAC and HP Upgrades'!D171</f>
        <v>0.17231138671903923</v>
      </c>
      <c r="Y34" s="90">
        <f>'CAC and HP Upgrades'!M171</f>
        <v>0.3864111006259918</v>
      </c>
      <c r="Z34" s="85">
        <f>'CAC and HP Upgrades'!Y171/'CAC and HP Upgrades'!K171</f>
        <v>0.16010349520932796</v>
      </c>
      <c r="AA34" s="84" t="s">
        <v>159</v>
      </c>
      <c r="AB34" s="91" t="s">
        <v>160</v>
      </c>
      <c r="AC34" s="84">
        <f>'CAC and HP Upgrades'!Z171/'CAC and HP Upgrades'!$K171</f>
        <v>0</v>
      </c>
      <c r="AD34" s="84">
        <f>'CAC and HP Upgrades'!AA171/'CAC and HP Upgrades'!$K171</f>
        <v>0</v>
      </c>
      <c r="AE34" s="84">
        <f>'CAC and HP Upgrades'!AC171/'CAC and HP Upgrades'!$K171</f>
        <v>1.6694035690638231</v>
      </c>
      <c r="AF34" s="84">
        <f>'CAC and HP Upgrades'!AB171/'CAC and HP Upgrades'!$K171</f>
        <v>0.8429493943840254</v>
      </c>
      <c r="AG34" s="84">
        <f t="shared" si="6"/>
        <v>-0.8264541746797978</v>
      </c>
      <c r="AH34" s="85">
        <f t="shared" si="7"/>
        <v>0.5049404529886916</v>
      </c>
      <c r="AI34" s="96" t="s">
        <v>161</v>
      </c>
      <c r="AJ34" s="96" t="s">
        <v>162</v>
      </c>
      <c r="AK34" s="478">
        <f>VLOOKUP(A34,'CAC and HP Upgrades'!$B$141:$R$176,17,0)</f>
        <v>140.0352857475293</v>
      </c>
    </row>
    <row r="35" spans="1:37" ht="56.25">
      <c r="A35" s="88" t="str">
        <f>'CAC and HP Upgrades'!B172</f>
        <v>Post92 Single Family Construction CAC Upgrade SEER w/PTCS - Cooling Zone 2</v>
      </c>
      <c r="B35" s="81" t="str">
        <f>VLOOKUP($A35,LookupTable!$A$3:$D$38,2,0)</f>
        <v>Central AC must be rated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v>
      </c>
      <c r="C35" s="81" t="str">
        <f>VLOOKUP($A35,LookupTable!$A$3:$D$38,3,0)</f>
        <v>Single Family Dwellings with existing or proposed central air conditioning system built after 1992</v>
      </c>
      <c r="D35" s="81" t="str">
        <f>VLOOKUP($A35,LookupTable!$A$3:$D$38,4,0)</f>
        <v>Cooling Zone 2</v>
      </c>
      <c r="E35" s="82">
        <f>'CAC and HP Upgrades'!E172</f>
        <v>960.65</v>
      </c>
      <c r="F35" s="82">
        <f>'CAC and HP Upgrades'!F172</f>
        <v>0</v>
      </c>
      <c r="G35" s="82">
        <f>'CAC and HP Upgrades'!G172</f>
        <v>0</v>
      </c>
      <c r="H35" s="83">
        <f>'CAC and HP Upgrades'!C172</f>
        <v>18</v>
      </c>
      <c r="I35" s="83" t="s">
        <v>158</v>
      </c>
      <c r="J35" s="83">
        <f>'CAC and HP Upgrades'!D172</f>
        <v>371.4811092936329</v>
      </c>
      <c r="K35" s="83">
        <f>'CAC and HP Upgrades'!K172</f>
        <v>399.8065438772724</v>
      </c>
      <c r="L35" s="85">
        <f>'CAC and HP Upgrades'!J172</f>
        <v>0</v>
      </c>
      <c r="M35" s="85">
        <f>'CAC and HP Upgrades'!L172</f>
        <v>0</v>
      </c>
      <c r="N35" s="89">
        <f>'CAC and HP Upgrades'!N172/'CAC and HP Upgrades'!K172</f>
        <v>2.4027803438842636</v>
      </c>
      <c r="O35" s="89">
        <f>('CAC and HP Upgrades'!O172/'CAC and HP Upgrades'!$K172)</f>
        <v>0</v>
      </c>
      <c r="P35" s="89">
        <f>('CAC and HP Upgrades'!P172/'CAC and HP Upgrades'!$K172)</f>
        <v>0</v>
      </c>
      <c r="Q35" s="89">
        <f>('CAC and HP Upgrades'!N172/'CAC and HP Upgrades'!$K172)</f>
        <v>2.4027803438842636</v>
      </c>
      <c r="R35" s="84">
        <f>'CAC and HP Upgrades'!S172/'CAC and HP Upgrades'!$K172</f>
        <v>0.6068740796235367</v>
      </c>
      <c r="S35" s="84">
        <f>'CAC and HP Upgrades'!T172/'CAC and HP Upgrades'!$K172</f>
        <v>0</v>
      </c>
      <c r="T35" s="84">
        <f>'CAC and HP Upgrades'!U172/'CAC and HP Upgrades'!$K172</f>
        <v>0.07597174914172708</v>
      </c>
      <c r="U35" s="84">
        <f>'CAC and HP Upgrades'!V172/'CAC and HP Upgrades'!$K172</f>
        <v>0.6828458287652637</v>
      </c>
      <c r="V35" s="84">
        <f t="shared" si="4"/>
        <v>-1.719934515119</v>
      </c>
      <c r="W35" s="85">
        <f t="shared" si="5"/>
        <v>0.2841898680015816</v>
      </c>
      <c r="X35" s="85">
        <f>'CAC and HP Upgrades'!Y172/'CAC and HP Upgrades'!D172</f>
        <v>0.17231137775658303</v>
      </c>
      <c r="Y35" s="90">
        <f>'CAC and HP Upgrades'!M172</f>
        <v>0.2684706747531891</v>
      </c>
      <c r="Z35" s="85">
        <f>'CAC and HP Upgrades'!Y172/'CAC and HP Upgrades'!K172</f>
        <v>0.16010348688184253</v>
      </c>
      <c r="AA35" s="84" t="s">
        <v>159</v>
      </c>
      <c r="AB35" s="91" t="s">
        <v>160</v>
      </c>
      <c r="AC35" s="84">
        <f>'CAC and HP Upgrades'!Z172/'CAC and HP Upgrades'!$K172</f>
        <v>0</v>
      </c>
      <c r="AD35" s="84">
        <f>'CAC and HP Upgrades'!AA172/'CAC and HP Upgrades'!$K172</f>
        <v>0</v>
      </c>
      <c r="AE35" s="84">
        <f>'CAC and HP Upgrades'!AC172/'CAC and HP Upgrades'!$K172</f>
        <v>2.402780275969967</v>
      </c>
      <c r="AF35" s="84">
        <f>'CAC and HP Upgrades'!AB172/'CAC and HP Upgrades'!$K172</f>
        <v>0.8429494171028064</v>
      </c>
      <c r="AG35" s="84">
        <f t="shared" si="6"/>
        <v>-1.5598308588671603</v>
      </c>
      <c r="AH35" s="85">
        <f t="shared" si="7"/>
        <v>0.35082251404054005</v>
      </c>
      <c r="AI35" s="96" t="s">
        <v>161</v>
      </c>
      <c r="AJ35" s="96" t="s">
        <v>162</v>
      </c>
      <c r="AK35" s="478">
        <f>VLOOKUP(A35,'CAC and HP Upgrades'!$B$141:$R$176,17,0)</f>
        <v>201.55343427393726</v>
      </c>
    </row>
    <row r="36" spans="1:37" ht="56.25">
      <c r="A36" s="88" t="str">
        <f>'CAC and HP Upgrades'!B173</f>
        <v>Pre80 Single Family Construction CAC Upgrade SEER w/PTCS - Cooling Zone 2</v>
      </c>
      <c r="B36" s="81" t="str">
        <f>VLOOKUP($A36,LookupTable!$A$3:$D$38,2,0)</f>
        <v>Central AC must be rated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v>
      </c>
      <c r="C36" s="81" t="str">
        <f>VLOOKUP($A36,LookupTable!$A$3:$D$38,3,0)</f>
        <v>Single Family Dwellings with existing central air conditioning system built prior to 1980</v>
      </c>
      <c r="D36" s="81" t="str">
        <f>VLOOKUP($A36,LookupTable!$A$3:$D$38,4,0)</f>
        <v>Cooling Zone 2</v>
      </c>
      <c r="E36" s="82">
        <f>'CAC and HP Upgrades'!E173</f>
        <v>960.65</v>
      </c>
      <c r="F36" s="82">
        <f>'CAC and HP Upgrades'!F173</f>
        <v>0</v>
      </c>
      <c r="G36" s="82">
        <f>'CAC and HP Upgrades'!G173</f>
        <v>0</v>
      </c>
      <c r="H36" s="83">
        <f>'CAC and HP Upgrades'!C173</f>
        <v>18</v>
      </c>
      <c r="I36" s="83" t="s">
        <v>158</v>
      </c>
      <c r="J36" s="83">
        <f>'CAC and HP Upgrades'!D173</f>
        <v>304.1820370741467</v>
      </c>
      <c r="K36" s="83">
        <f>'CAC and HP Upgrades'!K173</f>
        <v>327.3759174010504</v>
      </c>
      <c r="L36" s="85">
        <f>'CAC and HP Upgrades'!J173</f>
        <v>0</v>
      </c>
      <c r="M36" s="85">
        <f>'CAC and HP Upgrades'!L173</f>
        <v>0</v>
      </c>
      <c r="N36" s="89">
        <f>'CAC and HP Upgrades'!N173/'CAC and HP Upgrades'!K173</f>
        <v>2.934385988471397</v>
      </c>
      <c r="O36" s="89">
        <f>('CAC and HP Upgrades'!O173/'CAC and HP Upgrades'!$K173)</f>
        <v>0</v>
      </c>
      <c r="P36" s="89">
        <f>('CAC and HP Upgrades'!P173/'CAC and HP Upgrades'!$K173)</f>
        <v>0</v>
      </c>
      <c r="Q36" s="89">
        <f>('CAC and HP Upgrades'!N173/'CAC and HP Upgrades'!$K173)</f>
        <v>2.934385988471397</v>
      </c>
      <c r="R36" s="84">
        <f>'CAC and HP Upgrades'!S173/'CAC and HP Upgrades'!$K173</f>
        <v>0.6068740796235371</v>
      </c>
      <c r="S36" s="84">
        <f>'CAC and HP Upgrades'!T173/'CAC and HP Upgrades'!$K173</f>
        <v>0</v>
      </c>
      <c r="T36" s="84">
        <f>'CAC and HP Upgrades'!U173/'CAC and HP Upgrades'!$K173</f>
        <v>0.07597174808072032</v>
      </c>
      <c r="U36" s="84">
        <f>'CAC and HP Upgrades'!V173/'CAC and HP Upgrades'!$K173</f>
        <v>0.6828458277042575</v>
      </c>
      <c r="V36" s="84">
        <f t="shared" si="4"/>
        <v>-2.2515401607671395</v>
      </c>
      <c r="W36" s="85">
        <f t="shared" si="5"/>
        <v>0.23270484196251592</v>
      </c>
      <c r="X36" s="85">
        <f>'CAC and HP Upgrades'!Y173/'CAC and HP Upgrades'!D173</f>
        <v>0.17231136013976314</v>
      </c>
      <c r="Y36" s="90">
        <f>'CAC and HP Upgrades'!M173</f>
        <v>0.21983341872692108</v>
      </c>
      <c r="Z36" s="85">
        <f>'CAC and HP Upgrades'!Y173/'CAC and HP Upgrades'!K173</f>
        <v>0.16010347051313648</v>
      </c>
      <c r="AA36" s="84" t="s">
        <v>159</v>
      </c>
      <c r="AB36" s="91" t="s">
        <v>160</v>
      </c>
      <c r="AC36" s="84">
        <f>'CAC and HP Upgrades'!Z173/'CAC and HP Upgrades'!$K173</f>
        <v>0</v>
      </c>
      <c r="AD36" s="84">
        <f>'CAC and HP Upgrades'!AA173/'CAC and HP Upgrades'!$K173</f>
        <v>0</v>
      </c>
      <c r="AE36" s="84">
        <f>'CAC and HP Upgrades'!AC173/'CAC and HP Upgrades'!$K173</f>
        <v>2.93438590553133</v>
      </c>
      <c r="AF36" s="84">
        <f>'CAC and HP Upgrades'!AB173/'CAC and HP Upgrades'!$K173</f>
        <v>0.8429494033015582</v>
      </c>
      <c r="AG36" s="84">
        <f t="shared" si="6"/>
        <v>-2.091436502229772</v>
      </c>
      <c r="AH36" s="85">
        <f t="shared" si="7"/>
        <v>0.2872660346795542</v>
      </c>
      <c r="AI36" s="96" t="s">
        <v>161</v>
      </c>
      <c r="AJ36" s="96" t="s">
        <v>162</v>
      </c>
      <c r="AK36" s="478">
        <f>VLOOKUP(A36,'CAC and HP Upgrades'!$B$141:$R$176,17,0)</f>
        <v>246.14633416953743</v>
      </c>
    </row>
    <row r="37" spans="1:37" ht="56.25">
      <c r="A37" s="88" t="str">
        <f>'CAC and HP Upgrades'!B174</f>
        <v>Post79/Pre93 Single Family Construction CAC Upgrade SEER w/PTCS - Cooling Zone 1</v>
      </c>
      <c r="B37" s="81" t="str">
        <f>VLOOKUP($A37,LookupTable!$A$3:$D$38,2,0)</f>
        <v>Central AC must be rated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v>
      </c>
      <c r="C37" s="81" t="str">
        <f>VLOOKUP($A37,LookupTable!$A$3:$D$38,3,0)</f>
        <v>Single Family Dwellings with existing central air conditioning system built between to 1980 and 1992</v>
      </c>
      <c r="D37" s="81" t="str">
        <f>VLOOKUP($A37,LookupTable!$A$3:$D$38,4,0)</f>
        <v>Cooling Zone 1</v>
      </c>
      <c r="E37" s="82">
        <f>'CAC and HP Upgrades'!E174</f>
        <v>960.65</v>
      </c>
      <c r="F37" s="82">
        <f>'CAC and HP Upgrades'!F174</f>
        <v>0</v>
      </c>
      <c r="G37" s="82">
        <f>'CAC and HP Upgrades'!G174</f>
        <v>0</v>
      </c>
      <c r="H37" s="83">
        <f>'CAC and HP Upgrades'!C174</f>
        <v>18</v>
      </c>
      <c r="I37" s="83" t="s">
        <v>158</v>
      </c>
      <c r="J37" s="83">
        <f>'CAC and HP Upgrades'!D174</f>
        <v>254.8510282004761</v>
      </c>
      <c r="K37" s="83">
        <f>'CAC and HP Upgrades'!K174</f>
        <v>274.2834191007624</v>
      </c>
      <c r="L37" s="85">
        <f>'CAC and HP Upgrades'!J174</f>
        <v>0</v>
      </c>
      <c r="M37" s="85">
        <f>'CAC and HP Upgrades'!L174</f>
        <v>0</v>
      </c>
      <c r="N37" s="89">
        <f>'CAC and HP Upgrades'!N174/'CAC and HP Upgrades'!K174</f>
        <v>3.5023892735991544</v>
      </c>
      <c r="O37" s="89">
        <f>('CAC and HP Upgrades'!O174/'CAC and HP Upgrades'!$K174)</f>
        <v>0</v>
      </c>
      <c r="P37" s="89">
        <f>('CAC and HP Upgrades'!P174/'CAC and HP Upgrades'!$K174)</f>
        <v>0</v>
      </c>
      <c r="Q37" s="89">
        <f>('CAC and HP Upgrades'!N174/'CAC and HP Upgrades'!$K174)</f>
        <v>3.5023892735991544</v>
      </c>
      <c r="R37" s="84">
        <f>'CAC and HP Upgrades'!S174/'CAC and HP Upgrades'!$K174</f>
        <v>0.5797739738796862</v>
      </c>
      <c r="S37" s="84">
        <f>'CAC and HP Upgrades'!T174/'CAC and HP Upgrades'!$K174</f>
        <v>0</v>
      </c>
      <c r="T37" s="84">
        <f>'CAC and HP Upgrades'!U174/'CAC and HP Upgrades'!$K174</f>
        <v>0.07326173991999253</v>
      </c>
      <c r="U37" s="84">
        <f>'CAC and HP Upgrades'!V174/'CAC and HP Upgrades'!$K174</f>
        <v>0.6530357137996787</v>
      </c>
      <c r="V37" s="84">
        <f t="shared" si="4"/>
        <v>-2.849353559799476</v>
      </c>
      <c r="W37" s="85">
        <f t="shared" si="5"/>
        <v>0.18645434952711604</v>
      </c>
      <c r="X37" s="85">
        <f>'CAC and HP Upgrades'!Y174/'CAC and HP Upgrades'!D174</f>
        <v>0.1723113731634372</v>
      </c>
      <c r="Y37" s="90">
        <f>'CAC and HP Upgrades'!M174</f>
        <v>0.18418172001838684</v>
      </c>
      <c r="Z37" s="85">
        <f>'CAC and HP Upgrades'!Y174/'CAC and HP Upgrades'!K174</f>
        <v>0.16010348261411123</v>
      </c>
      <c r="AA37" s="84" t="s">
        <v>159</v>
      </c>
      <c r="AB37" s="91" t="s">
        <v>160</v>
      </c>
      <c r="AC37" s="84">
        <f>'CAC and HP Upgrades'!Z174/'CAC and HP Upgrades'!$K174</f>
        <v>0</v>
      </c>
      <c r="AD37" s="84">
        <f>'CAC and HP Upgrades'!AA174/'CAC and HP Upgrades'!$K174</f>
        <v>0</v>
      </c>
      <c r="AE37" s="84">
        <f>'CAC and HP Upgrades'!AC174/'CAC and HP Upgrades'!$K174</f>
        <v>3.5023891746045437</v>
      </c>
      <c r="AF37" s="84">
        <f>'CAC and HP Upgrades'!AB174/'CAC and HP Upgrades'!$K174</f>
        <v>0.8131392889911241</v>
      </c>
      <c r="AG37" s="84">
        <f t="shared" si="6"/>
        <v>-2.6892498856134197</v>
      </c>
      <c r="AH37" s="85">
        <f t="shared" si="7"/>
        <v>0.2321670289775653</v>
      </c>
      <c r="AI37" s="96" t="s">
        <v>161</v>
      </c>
      <c r="AJ37" s="96" t="s">
        <v>162</v>
      </c>
      <c r="AK37" s="478">
        <f>VLOOKUP(A37,'CAC and HP Upgrades'!$B$141:$R$176,17,0)</f>
        <v>293.7923926566433</v>
      </c>
    </row>
    <row r="38" spans="1:37" ht="56.25">
      <c r="A38" s="88" t="str">
        <f>'CAC and HP Upgrades'!B175</f>
        <v>Post92 Single Family Construction CAC Upgrade SEER w/PTCS - Cooling Zone 1</v>
      </c>
      <c r="B38" s="81" t="str">
        <f>VLOOKUP($A38,LookupTable!$A$3:$D$38,2,0)</f>
        <v>Central AC must be rated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v>
      </c>
      <c r="C38" s="81" t="str">
        <f>VLOOKUP($A38,LookupTable!$A$3:$D$38,3,0)</f>
        <v>Single Family Dwellings with existing or proposed central air conditioning system built after 1992</v>
      </c>
      <c r="D38" s="81" t="str">
        <f>VLOOKUP($A38,LookupTable!$A$3:$D$38,4,0)</f>
        <v>Cooling Zone 1</v>
      </c>
      <c r="E38" s="82">
        <f>'CAC and HP Upgrades'!E175</f>
        <v>960.65</v>
      </c>
      <c r="F38" s="82">
        <f>'CAC and HP Upgrades'!F175</f>
        <v>0</v>
      </c>
      <c r="G38" s="82">
        <f>'CAC and HP Upgrades'!G175</f>
        <v>0</v>
      </c>
      <c r="H38" s="83">
        <f>'CAC and HP Upgrades'!C175</f>
        <v>18</v>
      </c>
      <c r="I38" s="83" t="s">
        <v>158</v>
      </c>
      <c r="J38" s="83">
        <f>'CAC and HP Upgrades'!D175</f>
        <v>171.44381029381435</v>
      </c>
      <c r="K38" s="83">
        <f>'CAC and HP Upgrades'!K175</f>
        <v>184.5164008287177</v>
      </c>
      <c r="L38" s="85">
        <f>'CAC and HP Upgrades'!J175</f>
        <v>0</v>
      </c>
      <c r="M38" s="85">
        <f>'CAC and HP Upgrades'!L175</f>
        <v>0</v>
      </c>
      <c r="N38" s="89">
        <f>'CAC and HP Upgrades'!N175/'CAC and HP Upgrades'!K175</f>
        <v>5.206297655222303</v>
      </c>
      <c r="O38" s="89">
        <f>('CAC and HP Upgrades'!O175/'CAC and HP Upgrades'!$K175)</f>
        <v>0</v>
      </c>
      <c r="P38" s="89">
        <f>('CAC and HP Upgrades'!P175/'CAC and HP Upgrades'!$K175)</f>
        <v>0</v>
      </c>
      <c r="Q38" s="89">
        <f>('CAC and HP Upgrades'!N175/'CAC and HP Upgrades'!$K175)</f>
        <v>5.206297655222303</v>
      </c>
      <c r="R38" s="84">
        <f>'CAC and HP Upgrades'!S175/'CAC and HP Upgrades'!$K175</f>
        <v>0.579773973879686</v>
      </c>
      <c r="S38" s="84">
        <f>'CAC and HP Upgrades'!T175/'CAC and HP Upgrades'!$K175</f>
        <v>0</v>
      </c>
      <c r="T38" s="84">
        <f>'CAC and HP Upgrades'!U175/'CAC and HP Upgrades'!$K175</f>
        <v>0.0732617421140578</v>
      </c>
      <c r="U38" s="84">
        <f>'CAC and HP Upgrades'!V175/'CAC and HP Upgrades'!$K175</f>
        <v>0.6530357159937438</v>
      </c>
      <c r="V38" s="84">
        <f t="shared" si="4"/>
        <v>-4.55326193922856</v>
      </c>
      <c r="W38" s="85">
        <f t="shared" si="5"/>
        <v>0.12543188254684218</v>
      </c>
      <c r="X38" s="85">
        <f>'CAC and HP Upgrades'!Y175/'CAC and HP Upgrades'!D175</f>
        <v>0.17231139049795138</v>
      </c>
      <c r="Y38" s="90">
        <f>'CAC and HP Upgrades'!M175</f>
        <v>0.12390303611755371</v>
      </c>
      <c r="Z38" s="85">
        <f>'CAC and HP Upgrades'!Y175/'CAC and HP Upgrades'!K175</f>
        <v>0.1601034987205123</v>
      </c>
      <c r="AA38" s="84" t="s">
        <v>159</v>
      </c>
      <c r="AB38" s="91" t="s">
        <v>160</v>
      </c>
      <c r="AC38" s="84">
        <f>'CAC and HP Upgrades'!Z175/'CAC and HP Upgrades'!$K175</f>
        <v>0</v>
      </c>
      <c r="AD38" s="84">
        <f>'CAC and HP Upgrades'!AA175/'CAC and HP Upgrades'!$K175</f>
        <v>0</v>
      </c>
      <c r="AE38" s="84">
        <f>'CAC and HP Upgrades'!AC175/'CAC and HP Upgrades'!$K175</f>
        <v>5.206297508066927</v>
      </c>
      <c r="AF38" s="84">
        <f>'CAC and HP Upgrades'!AB175/'CAC and HP Upgrades'!$K175</f>
        <v>0.8131393805971708</v>
      </c>
      <c r="AG38" s="84">
        <f t="shared" si="6"/>
        <v>-4.393158127469756</v>
      </c>
      <c r="AH38" s="85">
        <f t="shared" si="7"/>
        <v>0.1561838099603888</v>
      </c>
      <c r="AI38" s="96" t="s">
        <v>161</v>
      </c>
      <c r="AJ38" s="96" t="s">
        <v>162</v>
      </c>
      <c r="AK38" s="478">
        <f>VLOOKUP(A38,'CAC and HP Upgrades'!$B$141:$R$176,17,0)</f>
        <v>436.72205615185715</v>
      </c>
    </row>
    <row r="39" spans="1:37" ht="56.25">
      <c r="A39" s="88" t="str">
        <f>'CAC and HP Upgrades'!B176</f>
        <v>Pre80 Single Family Construction CAC Upgrade SEER w/PTCS - Cooling Zone 1</v>
      </c>
      <c r="B39" s="81" t="str">
        <f>VLOOKUP($A39,LookupTable!$A$3:$D$38,2,0)</f>
        <v>Central AC must be rated SEER 13 or higher and be installed in substantial compliance with the applicable specifications for Air Source Heat Pump Installation provided in the RTF's Appendix H - "Air Source Heat Pump Installation Standards." Duct system and Heat Pump installation must be PTCS (tm) or equivalent certified.</v>
      </c>
      <c r="C39" s="81" t="str">
        <f>VLOOKUP($A39,LookupTable!$A$3:$D$38,3,0)</f>
        <v>Single Family Dwellings with existing central air conditioning system built prior to 1980</v>
      </c>
      <c r="D39" s="81" t="str">
        <f>VLOOKUP($A39,LookupTable!$A$3:$D$38,4,0)</f>
        <v>Cooling Zone 1</v>
      </c>
      <c r="E39" s="82">
        <f>'CAC and HP Upgrades'!E176</f>
        <v>960.65</v>
      </c>
      <c r="F39" s="82">
        <f>'CAC and HP Upgrades'!F176</f>
        <v>0</v>
      </c>
      <c r="G39" s="82">
        <f>'CAC and HP Upgrades'!G176</f>
        <v>0</v>
      </c>
      <c r="H39" s="83">
        <f>'CAC and HP Upgrades'!C176</f>
        <v>18</v>
      </c>
      <c r="I39" s="83" t="s">
        <v>158</v>
      </c>
      <c r="J39" s="83">
        <f>'CAC and HP Upgrades'!D176</f>
        <v>129.48650115804594</v>
      </c>
      <c r="K39" s="83">
        <f>'CAC and HP Upgrades'!K176</f>
        <v>139.35984687134692</v>
      </c>
      <c r="L39" s="85">
        <f>'CAC and HP Upgrades'!J176</f>
        <v>0</v>
      </c>
      <c r="M39" s="85">
        <f>'CAC and HP Upgrades'!L176</f>
        <v>0</v>
      </c>
      <c r="N39" s="89">
        <f>'CAC and HP Upgrades'!N176/'CAC and HP Upgrades'!K176</f>
        <v>6.893286169232478</v>
      </c>
      <c r="O39" s="89">
        <f>('CAC and HP Upgrades'!O176/'CAC and HP Upgrades'!$K176)</f>
        <v>0</v>
      </c>
      <c r="P39" s="89">
        <f>('CAC and HP Upgrades'!P176/'CAC and HP Upgrades'!$K176)</f>
        <v>0</v>
      </c>
      <c r="Q39" s="89">
        <f>('CAC and HP Upgrades'!N176/'CAC and HP Upgrades'!$K176)</f>
        <v>6.893286169232478</v>
      </c>
      <c r="R39" s="84">
        <f>'CAC and HP Upgrades'!S176/'CAC and HP Upgrades'!$K176</f>
        <v>0.5797739738796858</v>
      </c>
      <c r="S39" s="84">
        <f>'CAC and HP Upgrades'!T176/'CAC and HP Upgrades'!$K176</f>
        <v>0</v>
      </c>
      <c r="T39" s="84">
        <f>'CAC and HP Upgrades'!U176/'CAC and HP Upgrades'!$K176</f>
        <v>0.07326173702569812</v>
      </c>
      <c r="U39" s="84">
        <f>'CAC and HP Upgrades'!V176/'CAC and HP Upgrades'!$K176</f>
        <v>0.6530357109053839</v>
      </c>
      <c r="V39" s="84">
        <f t="shared" si="4"/>
        <v>-6.240250458327093</v>
      </c>
      <c r="W39" s="85">
        <f t="shared" si="5"/>
        <v>0.09473503563803085</v>
      </c>
      <c r="X39" s="85">
        <f>'CAC and HP Upgrades'!Y176/'CAC and HP Upgrades'!D176</f>
        <v>0.172311370377734</v>
      </c>
      <c r="Y39" s="90">
        <f>'CAC and HP Upgrades'!M176</f>
        <v>0.09358034282922745</v>
      </c>
      <c r="Z39" s="85">
        <f>'CAC and HP Upgrades'!Y176/'CAC and HP Upgrades'!K176</f>
        <v>0.16010348002576913</v>
      </c>
      <c r="AA39" s="84" t="s">
        <v>159</v>
      </c>
      <c r="AB39" s="91" t="s">
        <v>160</v>
      </c>
      <c r="AC39" s="84">
        <f>'CAC and HP Upgrades'!Z176/'CAC and HP Upgrades'!$K176</f>
        <v>0</v>
      </c>
      <c r="AD39" s="84">
        <f>'CAC and HP Upgrades'!AA176/'CAC and HP Upgrades'!$K176</f>
        <v>0</v>
      </c>
      <c r="AE39" s="84">
        <f>'CAC and HP Upgrades'!AC176/'CAC and HP Upgrades'!$K176</f>
        <v>6.893285974394574</v>
      </c>
      <c r="AF39" s="84">
        <f>'CAC and HP Upgrades'!AB176/'CAC and HP Upgrades'!$K176</f>
        <v>0.8131393647452119</v>
      </c>
      <c r="AG39" s="84">
        <f t="shared" si="6"/>
        <v>-6.080146609649361</v>
      </c>
      <c r="AH39" s="85">
        <f t="shared" si="7"/>
        <v>0.11796106642980653</v>
      </c>
      <c r="AI39" s="96" t="s">
        <v>161</v>
      </c>
      <c r="AJ39" s="96" t="s">
        <v>162</v>
      </c>
      <c r="AK39" s="478">
        <f>VLOOKUP(A39,'CAC and HP Upgrades'!$B$141:$R$176,17,0)</f>
        <v>578.232423275043</v>
      </c>
    </row>
  </sheetData>
  <mergeCells count="4">
    <mergeCell ref="X2:Z2"/>
    <mergeCell ref="AE2:AH2"/>
    <mergeCell ref="AA2:AD2"/>
    <mergeCell ref="A2:W2"/>
  </mergeCells>
  <printOptions/>
  <pageMargins left="0.75" right="0.75" top="1" bottom="1" header="0.5" footer="0.5"/>
  <pageSetup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18</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154</v>
      </c>
      <c r="E8" s="31" t="b">
        <v>0</v>
      </c>
      <c r="F8" s="16"/>
      <c r="G8" s="5"/>
      <c r="H8" s="5"/>
      <c r="I8"/>
      <c r="J8"/>
      <c r="K8"/>
    </row>
    <row r="9" spans="1:11" ht="15" customHeight="1">
      <c r="A9" s="17" t="s">
        <v>24</v>
      </c>
      <c r="B9" s="21">
        <v>1</v>
      </c>
      <c r="C9" s="4"/>
      <c r="D9" s="92" t="s">
        <v>393</v>
      </c>
      <c r="E9" s="31" t="b">
        <v>1</v>
      </c>
      <c r="F9"/>
      <c r="G9" s="5"/>
      <c r="H9" s="5"/>
      <c r="I9"/>
      <c r="J9"/>
      <c r="K9"/>
    </row>
    <row r="10" spans="1:10" ht="15" customHeight="1">
      <c r="A10" s="17" t="s">
        <v>25</v>
      </c>
      <c r="B10" s="21">
        <v>0</v>
      </c>
      <c r="C10" s="4"/>
      <c r="D10" s="30" t="s">
        <v>394</v>
      </c>
      <c r="E10" s="32" t="b">
        <v>0</v>
      </c>
      <c r="F10" s="8"/>
      <c r="G10" s="9"/>
      <c r="H10" s="5"/>
      <c r="I10"/>
      <c r="J10"/>
    </row>
    <row r="11" spans="1:11" s="10" customFormat="1" ht="15" customHeight="1">
      <c r="A11" s="87" t="s">
        <v>26</v>
      </c>
      <c r="B11" s="21">
        <v>0</v>
      </c>
      <c r="C11" s="4"/>
      <c r="D11" s="30" t="s">
        <v>395</v>
      </c>
      <c r="E11" s="32" t="b">
        <v>0</v>
      </c>
      <c r="F11" s="5"/>
      <c r="G11" s="5"/>
      <c r="H11" s="5"/>
      <c r="I11"/>
      <c r="J11"/>
      <c r="K11" s="3"/>
    </row>
    <row r="12" spans="1:10" ht="15" customHeight="1">
      <c r="A12" s="17" t="s">
        <v>27</v>
      </c>
      <c r="B12" s="18">
        <v>18</v>
      </c>
      <c r="C12" s="4"/>
      <c r="D12" s="30" t="s">
        <v>396</v>
      </c>
      <c r="E12" s="32" t="b">
        <v>0</v>
      </c>
      <c r="F12" s="4"/>
      <c r="G12" s="5"/>
      <c r="H12" s="5"/>
      <c r="I12"/>
      <c r="J12" s="11"/>
    </row>
    <row r="13" spans="1:9" ht="15" customHeight="1">
      <c r="A13" s="34" t="s">
        <v>29</v>
      </c>
      <c r="B13" s="20">
        <v>0.025</v>
      </c>
      <c r="C13" s="4"/>
      <c r="D13" s="17" t="s">
        <v>402</v>
      </c>
      <c r="E13" s="33" t="b">
        <v>0</v>
      </c>
      <c r="F13" s="4"/>
      <c r="G13" s="5"/>
      <c r="H13" s="5"/>
      <c r="I13"/>
    </row>
    <row r="14" spans="1:9" ht="15" customHeight="1">
      <c r="A14" s="34" t="s">
        <v>28</v>
      </c>
      <c r="B14" s="22">
        <v>3</v>
      </c>
      <c r="C14" s="4"/>
      <c r="D14" s="17"/>
      <c r="E14" s="33"/>
      <c r="F14" s="5"/>
      <c r="G14" s="5"/>
      <c r="H14" s="5"/>
      <c r="I14"/>
    </row>
    <row r="15" spans="1:9" ht="14.25">
      <c r="A15" s="34" t="s">
        <v>30</v>
      </c>
      <c r="B15" s="20">
        <v>0.05</v>
      </c>
      <c r="C15" s="4"/>
      <c r="D15" s="17"/>
      <c r="E15" s="33"/>
      <c r="F15" s="5"/>
      <c r="G15" s="13"/>
      <c r="H15" s="5"/>
      <c r="I15"/>
    </row>
    <row r="16" spans="1:9" ht="14.25">
      <c r="A16" s="34" t="s">
        <v>31</v>
      </c>
      <c r="B16" s="22">
        <v>20</v>
      </c>
      <c r="C16" s="4"/>
      <c r="D16" s="17"/>
      <c r="E16" s="33"/>
      <c r="F16" s="4"/>
      <c r="G16" s="5"/>
      <c r="H16" s="5"/>
      <c r="I16" s="5"/>
    </row>
    <row r="17" spans="1:9" ht="14.25">
      <c r="A17" s="17" t="s">
        <v>14</v>
      </c>
      <c r="B17" s="23">
        <v>0</v>
      </c>
      <c r="C17" s="4"/>
      <c r="D17" s="17"/>
      <c r="E17" s="33"/>
      <c r="F17" s="4"/>
      <c r="G17" s="5"/>
      <c r="H17"/>
      <c r="I17" s="5"/>
    </row>
    <row r="18" spans="1:9" ht="14.25">
      <c r="A18" s="17" t="s">
        <v>15</v>
      </c>
      <c r="B18" s="24">
        <v>0.1</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484" t="s">
        <v>478</v>
      </c>
      <c r="C21" s="485"/>
      <c r="D21" s="486"/>
      <c r="E21" s="12"/>
      <c r="F21" s="5"/>
      <c r="G21" s="5"/>
      <c r="H21" s="14"/>
      <c r="I21" s="5"/>
    </row>
    <row r="22" spans="1:9" ht="14.25">
      <c r="A22" s="34" t="s">
        <v>0</v>
      </c>
      <c r="B22" s="7" t="s">
        <v>479</v>
      </c>
      <c r="C22" s="4"/>
      <c r="D22" s="4"/>
      <c r="E22" s="4"/>
      <c r="F22" s="5"/>
      <c r="G22" s="5"/>
      <c r="H22" s="5"/>
      <c r="I22" s="5"/>
    </row>
    <row r="23" spans="1:9" ht="14.25">
      <c r="A23" s="17" t="s">
        <v>19</v>
      </c>
      <c r="B23" s="7" t="s">
        <v>155</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DN626"/>
  <sheetViews>
    <sheetView workbookViewId="0" topLeftCell="E156">
      <selection activeCell="K191" sqref="K191"/>
    </sheetView>
  </sheetViews>
  <sheetFormatPr defaultColWidth="9.140625" defaultRowHeight="12.75"/>
  <cols>
    <col min="1" max="1" width="79.28125" style="37" customWidth="1"/>
    <col min="2" max="2" width="70.421875" style="37" customWidth="1"/>
    <col min="3" max="3" width="8.8515625" style="37" customWidth="1"/>
    <col min="4" max="4" width="8.57421875" style="37" customWidth="1"/>
    <col min="5" max="5" width="8.421875" style="37" customWidth="1"/>
    <col min="6" max="6" width="9.00390625" style="37" customWidth="1"/>
    <col min="7" max="7" width="12.7109375" style="37" customWidth="1"/>
    <col min="8" max="8" width="16.0039062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127</v>
      </c>
    </row>
    <row r="2" ht="12.75">
      <c r="A2" s="37" t="s">
        <v>176</v>
      </c>
    </row>
    <row r="3" ht="12.75"/>
    <row r="4" spans="1:23" ht="12.75">
      <c r="A4" s="40" t="s">
        <v>32</v>
      </c>
      <c r="B4" s="41"/>
      <c r="C4" s="42"/>
      <c r="D4" s="42"/>
      <c r="E4" s="42"/>
      <c r="F4" s="42"/>
      <c r="G4" s="42"/>
      <c r="H4" s="43"/>
      <c r="I4" s="44" t="s">
        <v>33</v>
      </c>
      <c r="J4" s="45"/>
      <c r="K4" s="45"/>
      <c r="L4" s="45"/>
      <c r="M4" s="45"/>
      <c r="N4" s="45"/>
      <c r="O4"/>
      <c r="P4"/>
      <c r="Q4"/>
      <c r="R4"/>
      <c r="S4"/>
      <c r="T4"/>
      <c r="U4"/>
      <c r="V4"/>
      <c r="W4"/>
    </row>
    <row r="5" spans="1:25" s="97" customFormat="1" ht="26.25" customHeight="1">
      <c r="A5" s="46" t="s">
        <v>34</v>
      </c>
      <c r="B5" s="46" t="s">
        <v>35</v>
      </c>
      <c r="C5" s="46" t="s">
        <v>177</v>
      </c>
      <c r="D5" s="46" t="s">
        <v>178</v>
      </c>
      <c r="E5" s="46" t="s">
        <v>36</v>
      </c>
      <c r="F5" s="46" t="s">
        <v>37</v>
      </c>
      <c r="G5" s="47" t="s">
        <v>38</v>
      </c>
      <c r="H5" s="47" t="s">
        <v>179</v>
      </c>
      <c r="I5" s="47" t="s">
        <v>39</v>
      </c>
      <c r="J5" s="47" t="s">
        <v>40</v>
      </c>
      <c r="K5" s="47" t="s">
        <v>41</v>
      </c>
      <c r="L5" s="47" t="s">
        <v>42</v>
      </c>
      <c r="M5" s="47" t="s">
        <v>43</v>
      </c>
      <c r="N5" s="47" t="s">
        <v>44</v>
      </c>
      <c r="O5"/>
      <c r="P5"/>
      <c r="Q5"/>
      <c r="R5"/>
      <c r="S5"/>
      <c r="T5"/>
      <c r="U5"/>
      <c r="V5"/>
      <c r="W5"/>
      <c r="X5"/>
      <c r="Y5"/>
    </row>
    <row r="6" spans="1:23" ht="12.75">
      <c r="A6" s="98" t="s">
        <v>438</v>
      </c>
      <c r="B6" s="98" t="s">
        <v>439</v>
      </c>
      <c r="C6" s="99">
        <f>'CAC &amp; HP Use &amp; Savings'!H35</f>
        <v>156.60620135625317</v>
      </c>
      <c r="D6" s="100">
        <v>18</v>
      </c>
      <c r="E6" s="101">
        <f>VLOOKUP('CAC &amp; HP Use &amp; Savings'!$B$139,'Central AC and HP Cost vs SEER'!$C$78:$J$85,4,0)+'Central AC and HP Cost vs SEER'!L$51</f>
        <v>960.6471131959138</v>
      </c>
      <c r="F6" s="101">
        <f>VLOOKUP('CAC &amp; HP Use &amp; Savings'!$B$130,'Central AC and HP Cost vs SEER'!$C$78:$J$85,8,0)</f>
        <v>0</v>
      </c>
      <c r="G6" s="98" t="s">
        <v>180</v>
      </c>
      <c r="H6"/>
      <c r="I6" s="94">
        <f>VLOOKUP('CAC &amp; HP Use &amp; Savings'!$B$130,'Central AC and HP Cost vs SEER'!$C$78:$L$84,10,0)</f>
        <v>0</v>
      </c>
      <c r="J6">
        <v>14</v>
      </c>
      <c r="K6"/>
      <c r="L6"/>
      <c r="M6"/>
      <c r="N6"/>
      <c r="O6"/>
      <c r="P6"/>
      <c r="Q6"/>
      <c r="R6"/>
      <c r="S6"/>
      <c r="T6"/>
      <c r="U6"/>
      <c r="V6"/>
      <c r="W6"/>
    </row>
    <row r="7" spans="1:23" ht="12.75">
      <c r="A7" s="98" t="s">
        <v>403</v>
      </c>
      <c r="B7" s="98" t="s">
        <v>440</v>
      </c>
      <c r="C7" s="99">
        <f>'CAC &amp; HP Use &amp; Savings'!I35</f>
        <v>357.22919804906314</v>
      </c>
      <c r="D7" s="100">
        <v>18</v>
      </c>
      <c r="E7" s="101">
        <f>VLOOKUP('CAC &amp; HP Use &amp; Savings'!$B$139,'Central AC and HP Cost vs SEER'!$C$78:$J$85,4,0)+'Central AC and HP Cost vs SEER'!L$51</f>
        <v>960.6471131959138</v>
      </c>
      <c r="F7" s="101">
        <f>VLOOKUP('CAC &amp; HP Use &amp; Savings'!$B$130,'Central AC and HP Cost vs SEER'!$C$78:$J$85,8,0)</f>
        <v>0</v>
      </c>
      <c r="G7" s="98" t="s">
        <v>181</v>
      </c>
      <c r="H7"/>
      <c r="I7" s="94">
        <f>VLOOKUP('CAC &amp; HP Use &amp; Savings'!$B$130,'Central AC and HP Cost vs SEER'!$C$78:$L$84,10,0)</f>
        <v>0</v>
      </c>
      <c r="J7">
        <v>14</v>
      </c>
      <c r="K7"/>
      <c r="L7"/>
      <c r="M7"/>
      <c r="N7"/>
      <c r="O7"/>
      <c r="P7"/>
      <c r="Q7"/>
      <c r="R7"/>
      <c r="S7"/>
      <c r="T7"/>
      <c r="U7"/>
      <c r="V7"/>
      <c r="W7"/>
    </row>
    <row r="8" spans="1:23" ht="12.75">
      <c r="A8" s="98" t="s">
        <v>404</v>
      </c>
      <c r="B8" s="98" t="s">
        <v>441</v>
      </c>
      <c r="C8" s="99">
        <f>'CAC &amp; HP Use &amp; Savings'!J35</f>
        <v>726.3924726438158</v>
      </c>
      <c r="D8" s="100">
        <v>18</v>
      </c>
      <c r="E8" s="101">
        <f>VLOOKUP('CAC &amp; HP Use &amp; Savings'!$B$139,'Central AC and HP Cost vs SEER'!$C$78:$J$85,4,0)+'Central AC and HP Cost vs SEER'!L$51</f>
        <v>960.6471131959138</v>
      </c>
      <c r="F8" s="101">
        <f>VLOOKUP('CAC &amp; HP Use &amp; Savings'!$B$130,'Central AC and HP Cost vs SEER'!$C$78:$J$85,8,0)</f>
        <v>0</v>
      </c>
      <c r="G8" s="98" t="s">
        <v>182</v>
      </c>
      <c r="H8"/>
      <c r="I8" s="94">
        <f>VLOOKUP('CAC &amp; HP Use &amp; Savings'!$B$130,'Central AC and HP Cost vs SEER'!$C$78:$L$84,10,0)</f>
        <v>0</v>
      </c>
      <c r="J8">
        <v>14</v>
      </c>
      <c r="K8"/>
      <c r="L8"/>
      <c r="M8"/>
      <c r="N8"/>
      <c r="O8"/>
      <c r="P8"/>
      <c r="Q8"/>
      <c r="R8"/>
      <c r="S8"/>
      <c r="T8"/>
      <c r="U8"/>
      <c r="V8"/>
      <c r="W8"/>
    </row>
    <row r="9" spans="1:10" ht="12.75" customHeight="1">
      <c r="A9" s="98" t="s">
        <v>405</v>
      </c>
      <c r="B9" s="98" t="s">
        <v>442</v>
      </c>
      <c r="C9" s="99">
        <f>'CAC &amp; HP Use &amp; Savings'!H36</f>
        <v>254.8510282004761</v>
      </c>
      <c r="D9" s="100">
        <v>18</v>
      </c>
      <c r="E9" s="101">
        <f>VLOOKUP('CAC &amp; HP Use &amp; Savings'!$B$139,'Central AC and HP Cost vs SEER'!$C$78:$J$85,4,0)+'Central AC and HP Cost vs SEER'!L$51</f>
        <v>960.6471131959138</v>
      </c>
      <c r="F9" s="101">
        <f>VLOOKUP('CAC &amp; HP Use &amp; Savings'!$B$130,'Central AC and HP Cost vs SEER'!$C$78:$J$85,8,0)</f>
        <v>0</v>
      </c>
      <c r="G9" s="98" t="s">
        <v>180</v>
      </c>
      <c r="I9" s="94">
        <f>VLOOKUP('CAC &amp; HP Use &amp; Savings'!$B$130,'Central AC and HP Cost vs SEER'!$C$78:$L$84,10,0)</f>
        <v>0</v>
      </c>
      <c r="J9">
        <v>14</v>
      </c>
    </row>
    <row r="10" spans="1:118" ht="12" customHeight="1">
      <c r="A10" s="98" t="s">
        <v>406</v>
      </c>
      <c r="B10" s="98" t="s">
        <v>443</v>
      </c>
      <c r="C10" s="99">
        <f>'CAC &amp; HP Use &amp; Savings'!I36</f>
        <v>534.6744782669505</v>
      </c>
      <c r="D10" s="100">
        <v>18</v>
      </c>
      <c r="E10" s="101">
        <f>VLOOKUP('CAC &amp; HP Use &amp; Savings'!$B$139,'Central AC and HP Cost vs SEER'!$C$78:$J$85,4,0)+'Central AC and HP Cost vs SEER'!L$51</f>
        <v>960.6471131959138</v>
      </c>
      <c r="F10" s="101">
        <f>VLOOKUP('CAC &amp; HP Use &amp; Savings'!$B$130,'Central AC and HP Cost vs SEER'!$C$78:$J$85,8,0)</f>
        <v>0</v>
      </c>
      <c r="G10" s="98" t="s">
        <v>181</v>
      </c>
      <c r="H10"/>
      <c r="I10" s="94">
        <f>VLOOKUP('CAC &amp; HP Use &amp; Savings'!$B$130,'Central AC and HP Cost vs SEER'!$C$78:$L$84,10,0)</f>
        <v>0</v>
      </c>
      <c r="J10">
        <v>14</v>
      </c>
      <c r="K10"/>
      <c r="L10"/>
      <c r="M10"/>
      <c r="N10"/>
      <c r="O10"/>
      <c r="P10"/>
      <c r="Q10"/>
      <c r="R10"/>
      <c r="S10"/>
      <c r="T10"/>
      <c r="U10"/>
      <c r="V10"/>
      <c r="W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row>
    <row r="11" spans="1:118" ht="12" customHeight="1">
      <c r="A11" s="98" t="s">
        <v>407</v>
      </c>
      <c r="B11" s="98" t="s">
        <v>444</v>
      </c>
      <c r="C11" s="99">
        <f>'CAC &amp; HP Use &amp; Savings'!J36</f>
        <v>1030.8741567717698</v>
      </c>
      <c r="D11" s="100">
        <v>18</v>
      </c>
      <c r="E11" s="101">
        <f>VLOOKUP('CAC &amp; HP Use &amp; Savings'!$B$139,'Central AC and HP Cost vs SEER'!$C$78:$J$85,4,0)+'Central AC and HP Cost vs SEER'!L$51</f>
        <v>960.6471131959138</v>
      </c>
      <c r="F11" s="101">
        <f>VLOOKUP('CAC &amp; HP Use &amp; Savings'!$B$130,'Central AC and HP Cost vs SEER'!$C$78:$J$85,8,0)</f>
        <v>0</v>
      </c>
      <c r="G11" s="98" t="s">
        <v>182</v>
      </c>
      <c r="H11"/>
      <c r="I11" s="94">
        <f>VLOOKUP('CAC &amp; HP Use &amp; Savings'!$B$130,'Central AC and HP Cost vs SEER'!$C$78:$L$84,10,0)</f>
        <v>0</v>
      </c>
      <c r="J11">
        <v>14</v>
      </c>
      <c r="K11"/>
      <c r="L11"/>
      <c r="M11"/>
      <c r="N11"/>
      <c r="O11"/>
      <c r="P11"/>
      <c r="Q11"/>
      <c r="R11"/>
      <c r="S11"/>
      <c r="T11"/>
      <c r="U11"/>
      <c r="V11"/>
      <c r="W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row>
    <row r="12" spans="1:118" ht="12" customHeight="1">
      <c r="A12" s="98" t="s">
        <v>408</v>
      </c>
      <c r="B12" s="98" t="s">
        <v>445</v>
      </c>
      <c r="C12" s="99">
        <f>'CAC &amp; HP Use &amp; Savings'!H37</f>
        <v>171.44381029381435</v>
      </c>
      <c r="D12" s="100">
        <v>18</v>
      </c>
      <c r="E12" s="101">
        <f>VLOOKUP('CAC &amp; HP Use &amp; Savings'!$B$139,'Central AC and HP Cost vs SEER'!$C$78:$J$85,4,0)+'Central AC and HP Cost vs SEER'!L$51</f>
        <v>960.6471131959138</v>
      </c>
      <c r="F12" s="101">
        <f>VLOOKUP('CAC &amp; HP Use &amp; Savings'!$B$130,'Central AC and HP Cost vs SEER'!$C$78:$J$85,8,0)</f>
        <v>0</v>
      </c>
      <c r="G12" s="98" t="s">
        <v>180</v>
      </c>
      <c r="H12"/>
      <c r="I12" s="94">
        <f>VLOOKUP('CAC &amp; HP Use &amp; Savings'!$B$130,'Central AC and HP Cost vs SEER'!$C$78:$L$84,10,0)</f>
        <v>0</v>
      </c>
      <c r="J12">
        <v>14</v>
      </c>
      <c r="K12"/>
      <c r="L12"/>
      <c r="M12"/>
      <c r="N12"/>
      <c r="O12"/>
      <c r="P12"/>
      <c r="Q12"/>
      <c r="R12"/>
      <c r="S12"/>
      <c r="T12"/>
      <c r="U12"/>
      <c r="V12"/>
      <c r="W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row>
    <row r="13" spans="1:118" ht="12" customHeight="1">
      <c r="A13" s="98" t="s">
        <v>409</v>
      </c>
      <c r="B13" s="98" t="s">
        <v>446</v>
      </c>
      <c r="C13" s="99">
        <f>'CAC &amp; HP Use &amp; Savings'!I37</f>
        <v>371.4811092936329</v>
      </c>
      <c r="D13" s="100">
        <v>18</v>
      </c>
      <c r="E13" s="101">
        <f>VLOOKUP('CAC &amp; HP Use &amp; Savings'!$B$139,'Central AC and HP Cost vs SEER'!$C$78:$J$85,4,0)+'Central AC and HP Cost vs SEER'!L$51</f>
        <v>960.6471131959138</v>
      </c>
      <c r="F13" s="101">
        <f>VLOOKUP('CAC &amp; HP Use &amp; Savings'!$B$130,'Central AC and HP Cost vs SEER'!$C$78:$J$85,8,0)</f>
        <v>0</v>
      </c>
      <c r="G13" s="98" t="s">
        <v>181</v>
      </c>
      <c r="H13"/>
      <c r="I13" s="94">
        <f>VLOOKUP('CAC &amp; HP Use &amp; Savings'!$B$130,'Central AC and HP Cost vs SEER'!$C$78:$L$84,10,0)</f>
        <v>0</v>
      </c>
      <c r="J13">
        <v>14</v>
      </c>
      <c r="K13"/>
      <c r="L13"/>
      <c r="M13"/>
      <c r="N13"/>
      <c r="O13"/>
      <c r="P13"/>
      <c r="Q13"/>
      <c r="R13"/>
      <c r="S13"/>
      <c r="T13"/>
      <c r="U13"/>
      <c r="V13"/>
      <c r="W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row>
    <row r="14" spans="1:118" ht="12" customHeight="1">
      <c r="A14" s="98" t="s">
        <v>410</v>
      </c>
      <c r="B14" s="98" t="s">
        <v>447</v>
      </c>
      <c r="C14" s="99">
        <f>'CAC &amp; HP Use &amp; Savings'!J37</f>
        <v>729.9545374250838</v>
      </c>
      <c r="D14" s="100">
        <v>18</v>
      </c>
      <c r="E14" s="101">
        <f>VLOOKUP('CAC &amp; HP Use &amp; Savings'!$B$139,'Central AC and HP Cost vs SEER'!$C$78:$J$85,4,0)+'Central AC and HP Cost vs SEER'!L$51</f>
        <v>960.6471131959138</v>
      </c>
      <c r="F14" s="101">
        <f>VLOOKUP('CAC &amp; HP Use &amp; Savings'!$B$130,'Central AC and HP Cost vs SEER'!$C$78:$J$85,8,0)</f>
        <v>0</v>
      </c>
      <c r="G14" s="98" t="s">
        <v>182</v>
      </c>
      <c r="H14"/>
      <c r="I14" s="94">
        <f>VLOOKUP('CAC &amp; HP Use &amp; Savings'!$B$130,'Central AC and HP Cost vs SEER'!$C$78:$L$84,10,0)</f>
        <v>0</v>
      </c>
      <c r="J14">
        <v>14</v>
      </c>
      <c r="K14"/>
      <c r="L14"/>
      <c r="M14"/>
      <c r="N14"/>
      <c r="O14"/>
      <c r="P14"/>
      <c r="Q14"/>
      <c r="R14"/>
      <c r="S14"/>
      <c r="T14"/>
      <c r="U14"/>
      <c r="V14"/>
      <c r="W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row>
    <row r="15" spans="1:23" ht="12.75">
      <c r="A15" s="98" t="s">
        <v>411</v>
      </c>
      <c r="B15" s="98" t="s">
        <v>448</v>
      </c>
      <c r="C15" s="99">
        <f>'CAC &amp; HP Use &amp; Savings'!H63</f>
        <v>2868.925672498297</v>
      </c>
      <c r="D15" s="100">
        <v>18</v>
      </c>
      <c r="E15" s="102">
        <f>VLOOKUP('CAC &amp; HP Use &amp; Savings'!B$138,'Central AC and HP Cost vs SEER'!D$58:G$64,4,0)+'Central AC and HP Cost vs SEER'!L$51</f>
        <v>1040.1566419228243</v>
      </c>
      <c r="F15" s="99">
        <f>VLOOKUP('CAC &amp; HP Use &amp; Savings'!B$129,'Central AC and HP Cost vs SEER'!D$58:K$64,8)</f>
        <v>0</v>
      </c>
      <c r="G15" s="98" t="s">
        <v>183</v>
      </c>
      <c r="H15"/>
      <c r="I15" s="94">
        <f>VLOOKUP('CAC &amp; HP Use &amp; Savings'!$B$129,'Central AC and HP Cost vs SEER'!$D$57:$M$64,10,0)</f>
        <v>0</v>
      </c>
      <c r="J15">
        <v>14</v>
      </c>
      <c r="K15"/>
      <c r="L15"/>
      <c r="M15"/>
      <c r="N15"/>
      <c r="O15"/>
      <c r="P15"/>
      <c r="Q15"/>
      <c r="R15"/>
      <c r="S15"/>
      <c r="T15"/>
      <c r="U15"/>
      <c r="V15"/>
      <c r="W15"/>
    </row>
    <row r="16" spans="1:23" ht="12.75">
      <c r="A16" s="98" t="s">
        <v>411</v>
      </c>
      <c r="B16" s="98" t="s">
        <v>449</v>
      </c>
      <c r="C16" s="99">
        <f>'CAC &amp; HP Use &amp; Savings'!H35</f>
        <v>156.60620135625317</v>
      </c>
      <c r="D16" s="100">
        <v>18</v>
      </c>
      <c r="E16" s="102"/>
      <c r="F16" s="99">
        <v>0</v>
      </c>
      <c r="G16" s="98" t="s">
        <v>180</v>
      </c>
      <c r="H16"/>
      <c r="I16" s="99">
        <v>0</v>
      </c>
      <c r="J16"/>
      <c r="K16"/>
      <c r="L16"/>
      <c r="M16"/>
      <c r="N16"/>
      <c r="O16"/>
      <c r="P16"/>
      <c r="Q16"/>
      <c r="R16"/>
      <c r="S16"/>
      <c r="T16"/>
      <c r="U16"/>
      <c r="V16"/>
      <c r="W16"/>
    </row>
    <row r="17" spans="1:23" ht="12.75">
      <c r="A17" s="98" t="s">
        <v>412</v>
      </c>
      <c r="B17" s="98" t="s">
        <v>450</v>
      </c>
      <c r="C17" s="99">
        <f>'CAC &amp; HP Use &amp; Savings'!I63</f>
        <v>4334.278485471466</v>
      </c>
      <c r="D17" s="100">
        <v>18</v>
      </c>
      <c r="E17" s="102">
        <f>VLOOKUP('CAC &amp; HP Use &amp; Savings'!B$138,'Central AC and HP Cost vs SEER'!D$58:G$64,4,0)+'Central AC and HP Cost vs SEER'!L$51</f>
        <v>1040.1566419228243</v>
      </c>
      <c r="F17" s="99">
        <f>VLOOKUP('CAC &amp; HP Use &amp; Savings'!B$129,'Central AC and HP Cost vs SEER'!D$58:K$64,8)</f>
        <v>0</v>
      </c>
      <c r="G17" s="98" t="s">
        <v>184</v>
      </c>
      <c r="H17"/>
      <c r="I17" s="94">
        <f>VLOOKUP('CAC &amp; HP Use &amp; Savings'!$B$129,'Central AC and HP Cost vs SEER'!$D$57:$M$64,10,0)</f>
        <v>0</v>
      </c>
      <c r="J17">
        <v>14</v>
      </c>
      <c r="K17"/>
      <c r="L17"/>
      <c r="M17"/>
      <c r="N17"/>
      <c r="O17"/>
      <c r="P17"/>
      <c r="Q17"/>
      <c r="R17"/>
      <c r="S17"/>
      <c r="T17"/>
      <c r="U17"/>
      <c r="V17"/>
      <c r="W17"/>
    </row>
    <row r="18" spans="1:23" ht="12.75">
      <c r="A18" s="98" t="s">
        <v>412</v>
      </c>
      <c r="B18" s="98" t="s">
        <v>451</v>
      </c>
      <c r="C18" s="99">
        <f>'CAC &amp; HP Use &amp; Savings'!I35</f>
        <v>357.22919804906314</v>
      </c>
      <c r="D18" s="100">
        <v>18</v>
      </c>
      <c r="E18" s="102"/>
      <c r="F18" s="99">
        <v>0</v>
      </c>
      <c r="G18" s="98" t="s">
        <v>181</v>
      </c>
      <c r="H18"/>
      <c r="I18" s="94">
        <v>0</v>
      </c>
      <c r="J18"/>
      <c r="K18"/>
      <c r="L18"/>
      <c r="M18"/>
      <c r="N18"/>
      <c r="O18"/>
      <c r="P18"/>
      <c r="Q18"/>
      <c r="R18"/>
      <c r="S18"/>
      <c r="T18"/>
      <c r="U18"/>
      <c r="V18"/>
      <c r="W18"/>
    </row>
    <row r="19" spans="1:23" ht="12.75">
      <c r="A19" s="98" t="s">
        <v>413</v>
      </c>
      <c r="B19" s="98" t="s">
        <v>452</v>
      </c>
      <c r="C19" s="99">
        <f>'CAC &amp; HP Use &amp; Savings'!J63</f>
        <v>5019.7183763193525</v>
      </c>
      <c r="D19" s="100">
        <v>18</v>
      </c>
      <c r="E19" s="102">
        <f>VLOOKUP('CAC &amp; HP Use &amp; Savings'!B$138,'Central AC and HP Cost vs SEER'!D$58:G$64,4,0)+'Central AC and HP Cost vs SEER'!L$51</f>
        <v>1040.1566419228243</v>
      </c>
      <c r="F19" s="99">
        <f>VLOOKUP('CAC &amp; HP Use &amp; Savings'!B$129,'Central AC and HP Cost vs SEER'!D$58:K$64,8)</f>
        <v>0</v>
      </c>
      <c r="G19" s="98" t="s">
        <v>185</v>
      </c>
      <c r="H19"/>
      <c r="I19" s="94">
        <f>VLOOKUP('CAC &amp; HP Use &amp; Savings'!$B$129,'Central AC and HP Cost vs SEER'!$D$57:$M$64,10,0)</f>
        <v>0</v>
      </c>
      <c r="J19">
        <v>14</v>
      </c>
      <c r="K19"/>
      <c r="L19"/>
      <c r="M19"/>
      <c r="N19"/>
      <c r="O19"/>
      <c r="P19"/>
      <c r="Q19"/>
      <c r="R19"/>
      <c r="S19"/>
      <c r="T19"/>
      <c r="U19"/>
      <c r="V19"/>
      <c r="W19"/>
    </row>
    <row r="20" spans="1:23" ht="12.75">
      <c r="A20" s="98" t="s">
        <v>413</v>
      </c>
      <c r="B20" s="98" t="s">
        <v>453</v>
      </c>
      <c r="C20" s="99">
        <f>'CAC &amp; HP Use &amp; Savings'!J35</f>
        <v>726.3924726438158</v>
      </c>
      <c r="D20" s="100">
        <v>18</v>
      </c>
      <c r="E20" s="102"/>
      <c r="F20" s="99">
        <v>0</v>
      </c>
      <c r="G20" s="98" t="s">
        <v>182</v>
      </c>
      <c r="H20"/>
      <c r="I20" s="99">
        <v>0</v>
      </c>
      <c r="J20"/>
      <c r="K20"/>
      <c r="L20"/>
      <c r="M20"/>
      <c r="N20"/>
      <c r="O20"/>
      <c r="P20"/>
      <c r="Q20"/>
      <c r="R20"/>
      <c r="S20"/>
      <c r="T20"/>
      <c r="U20"/>
      <c r="V20"/>
      <c r="W20"/>
    </row>
    <row r="21" spans="1:23" ht="12.75">
      <c r="A21" s="98" t="s">
        <v>414</v>
      </c>
      <c r="B21" s="98" t="str">
        <f aca="true" t="shared" si="0" ref="B21:G21">B15</f>
        <v>Pre80 Single Family Construction HP Upgrade HSPF 8 - Heating Zone 1</v>
      </c>
      <c r="C21" s="99">
        <f t="shared" si="0"/>
        <v>2868.925672498297</v>
      </c>
      <c r="D21" s="100">
        <f t="shared" si="0"/>
        <v>18</v>
      </c>
      <c r="E21" s="102">
        <f t="shared" si="0"/>
        <v>1040.1566419228243</v>
      </c>
      <c r="F21" s="99">
        <f t="shared" si="0"/>
        <v>0</v>
      </c>
      <c r="G21" s="98" t="str">
        <f t="shared" si="0"/>
        <v>ResSpHtHPZ1</v>
      </c>
      <c r="H21"/>
      <c r="I21" s="94">
        <f>I15</f>
        <v>0</v>
      </c>
      <c r="J21">
        <f>J15</f>
        <v>14</v>
      </c>
      <c r="K21"/>
      <c r="L21"/>
      <c r="M21"/>
      <c r="N21"/>
      <c r="O21"/>
      <c r="P21"/>
      <c r="Q21"/>
      <c r="R21"/>
      <c r="S21"/>
      <c r="T21"/>
      <c r="U21"/>
      <c r="V21"/>
      <c r="W21"/>
    </row>
    <row r="22" spans="1:23" ht="12.75">
      <c r="A22" s="98" t="s">
        <v>414</v>
      </c>
      <c r="B22" s="98" t="str">
        <f aca="true" t="shared" si="1" ref="B22:G22">B18</f>
        <v>Pre80 Single Family Construction AC Upgrade SEER 13  - Cooling Zone 2</v>
      </c>
      <c r="C22" s="99">
        <f t="shared" si="1"/>
        <v>357.22919804906314</v>
      </c>
      <c r="D22" s="100">
        <f t="shared" si="1"/>
        <v>18</v>
      </c>
      <c r="E22" s="102">
        <f t="shared" si="1"/>
        <v>0</v>
      </c>
      <c r="F22" s="99">
        <f t="shared" si="1"/>
        <v>0</v>
      </c>
      <c r="G22" s="98" t="str">
        <f t="shared" si="1"/>
        <v>ResCACZ2</v>
      </c>
      <c r="H22"/>
      <c r="I22" s="99">
        <f>I18</f>
        <v>0</v>
      </c>
      <c r="J22"/>
      <c r="K22"/>
      <c r="L22"/>
      <c r="M22"/>
      <c r="N22"/>
      <c r="O22"/>
      <c r="P22"/>
      <c r="Q22"/>
      <c r="R22"/>
      <c r="S22"/>
      <c r="T22"/>
      <c r="U22"/>
      <c r="V22"/>
      <c r="W22"/>
    </row>
    <row r="23" spans="1:23" ht="12.75">
      <c r="A23" s="98" t="s">
        <v>415</v>
      </c>
      <c r="B23" s="98" t="str">
        <f aca="true" t="shared" si="2" ref="B23:G23">B15</f>
        <v>Pre80 Single Family Construction HP Upgrade HSPF 8 - Heating Zone 1</v>
      </c>
      <c r="C23" s="99">
        <f t="shared" si="2"/>
        <v>2868.925672498297</v>
      </c>
      <c r="D23" s="100">
        <f t="shared" si="2"/>
        <v>18</v>
      </c>
      <c r="E23" s="102">
        <f t="shared" si="2"/>
        <v>1040.1566419228243</v>
      </c>
      <c r="F23" s="99">
        <f t="shared" si="2"/>
        <v>0</v>
      </c>
      <c r="G23" s="98" t="str">
        <f t="shared" si="2"/>
        <v>ResSpHtHPZ1</v>
      </c>
      <c r="H23"/>
      <c r="I23" s="94">
        <f>I15</f>
        <v>0</v>
      </c>
      <c r="J23">
        <f>J15</f>
        <v>14</v>
      </c>
      <c r="K23"/>
      <c r="L23"/>
      <c r="M23"/>
      <c r="N23"/>
      <c r="O23"/>
      <c r="P23"/>
      <c r="Q23"/>
      <c r="R23"/>
      <c r="S23"/>
      <c r="T23"/>
      <c r="U23"/>
      <c r="V23"/>
      <c r="W23"/>
    </row>
    <row r="24" spans="1:23" ht="12.75">
      <c r="A24" s="98" t="s">
        <v>415</v>
      </c>
      <c r="B24" s="98" t="str">
        <f aca="true" t="shared" si="3" ref="B24:G24">B20</f>
        <v>Pre80 Single Family Construction AC Upgrade SEER 13 - Cooling Zone 3</v>
      </c>
      <c r="C24" s="99">
        <f t="shared" si="3"/>
        <v>726.3924726438158</v>
      </c>
      <c r="D24" s="100">
        <f t="shared" si="3"/>
        <v>18</v>
      </c>
      <c r="E24" s="102">
        <f t="shared" si="3"/>
        <v>0</v>
      </c>
      <c r="F24" s="99">
        <f t="shared" si="3"/>
        <v>0</v>
      </c>
      <c r="G24" s="98" t="str">
        <f t="shared" si="3"/>
        <v>ResCACZ3</v>
      </c>
      <c r="H24"/>
      <c r="I24" s="94">
        <f>I20</f>
        <v>0</v>
      </c>
      <c r="J24"/>
      <c r="K24"/>
      <c r="L24"/>
      <c r="M24"/>
      <c r="N24"/>
      <c r="O24"/>
      <c r="P24"/>
      <c r="Q24"/>
      <c r="R24"/>
      <c r="S24"/>
      <c r="T24"/>
      <c r="U24"/>
      <c r="V24"/>
      <c r="W24"/>
    </row>
    <row r="25" spans="1:23" ht="12.75">
      <c r="A25" s="98" t="s">
        <v>416</v>
      </c>
      <c r="B25" s="98" t="str">
        <f aca="true" t="shared" si="4" ref="B25:G25">B17</f>
        <v>Pre80 Single Family Construction HP Upgrade HSPF 8 - Heating Zone 2</v>
      </c>
      <c r="C25" s="99">
        <f t="shared" si="4"/>
        <v>4334.278485471466</v>
      </c>
      <c r="D25" s="100">
        <f t="shared" si="4"/>
        <v>18</v>
      </c>
      <c r="E25" s="102">
        <f t="shared" si="4"/>
        <v>1040.1566419228243</v>
      </c>
      <c r="F25" s="99">
        <f t="shared" si="4"/>
        <v>0</v>
      </c>
      <c r="G25" s="98" t="str">
        <f t="shared" si="4"/>
        <v>ResSpHtHPZ2</v>
      </c>
      <c r="H25"/>
      <c r="I25" s="94">
        <f>I17</f>
        <v>0</v>
      </c>
      <c r="J25">
        <f>J17</f>
        <v>14</v>
      </c>
      <c r="K25"/>
      <c r="L25"/>
      <c r="M25"/>
      <c r="N25"/>
      <c r="O25"/>
      <c r="P25"/>
      <c r="Q25"/>
      <c r="R25"/>
      <c r="S25"/>
      <c r="T25"/>
      <c r="U25"/>
      <c r="V25"/>
      <c r="W25"/>
    </row>
    <row r="26" spans="1:23" ht="12.75">
      <c r="A26" s="98" t="s">
        <v>416</v>
      </c>
      <c r="B26" s="98" t="str">
        <f aca="true" t="shared" si="5" ref="B26:G26">B20</f>
        <v>Pre80 Single Family Construction AC Upgrade SEER 13 - Cooling Zone 3</v>
      </c>
      <c r="C26" s="99">
        <f t="shared" si="5"/>
        <v>726.3924726438158</v>
      </c>
      <c r="D26" s="100">
        <f t="shared" si="5"/>
        <v>18</v>
      </c>
      <c r="E26" s="102">
        <f t="shared" si="5"/>
        <v>0</v>
      </c>
      <c r="F26" s="99">
        <f t="shared" si="5"/>
        <v>0</v>
      </c>
      <c r="G26" s="98" t="str">
        <f t="shared" si="5"/>
        <v>ResCACZ3</v>
      </c>
      <c r="H26"/>
      <c r="I26" s="99">
        <f>I20</f>
        <v>0</v>
      </c>
      <c r="J26"/>
      <c r="K26"/>
      <c r="L26"/>
      <c r="M26"/>
      <c r="N26"/>
      <c r="O26"/>
      <c r="P26"/>
      <c r="Q26"/>
      <c r="R26"/>
      <c r="S26"/>
      <c r="T26"/>
      <c r="U26"/>
      <c r="V26"/>
      <c r="W26"/>
    </row>
    <row r="27" spans="1:23" ht="12.75">
      <c r="A27" s="98" t="s">
        <v>417</v>
      </c>
      <c r="B27" s="98" t="str">
        <f>B17</f>
        <v>Pre80 Single Family Construction HP Upgrade HSPF 8 - Heating Zone 2</v>
      </c>
      <c r="C27" s="99">
        <f aca="true" t="shared" si="6" ref="C27:J27">C17</f>
        <v>4334.278485471466</v>
      </c>
      <c r="D27" s="100">
        <f t="shared" si="6"/>
        <v>18</v>
      </c>
      <c r="E27" s="102">
        <f t="shared" si="6"/>
        <v>1040.1566419228243</v>
      </c>
      <c r="F27" s="99">
        <f t="shared" si="6"/>
        <v>0</v>
      </c>
      <c r="G27" s="98" t="str">
        <f t="shared" si="6"/>
        <v>ResSpHtHPZ2</v>
      </c>
      <c r="H27"/>
      <c r="I27" s="94">
        <f t="shared" si="6"/>
        <v>0</v>
      </c>
      <c r="J27">
        <f t="shared" si="6"/>
        <v>14</v>
      </c>
      <c r="K27"/>
      <c r="L27"/>
      <c r="M27"/>
      <c r="N27"/>
      <c r="O27"/>
      <c r="P27"/>
      <c r="Q27"/>
      <c r="R27"/>
      <c r="S27"/>
      <c r="T27"/>
      <c r="U27"/>
      <c r="V27"/>
      <c r="W27"/>
    </row>
    <row r="28" spans="1:23" ht="12.75">
      <c r="A28" s="98" t="s">
        <v>417</v>
      </c>
      <c r="B28" s="98" t="str">
        <f>B16</f>
        <v>Pre80 Single Family Construction AC Upgrade SEER 13 - Cooling Zone 1</v>
      </c>
      <c r="C28" s="99">
        <f aca="true" t="shared" si="7" ref="C28:I28">C16</f>
        <v>156.60620135625317</v>
      </c>
      <c r="D28" s="100">
        <f t="shared" si="7"/>
        <v>18</v>
      </c>
      <c r="E28" s="102">
        <f t="shared" si="7"/>
        <v>0</v>
      </c>
      <c r="F28" s="99">
        <f t="shared" si="7"/>
        <v>0</v>
      </c>
      <c r="G28" s="98" t="str">
        <f t="shared" si="7"/>
        <v>ResCACZ1</v>
      </c>
      <c r="H28"/>
      <c r="I28" s="99">
        <f t="shared" si="7"/>
        <v>0</v>
      </c>
      <c r="J28"/>
      <c r="K28"/>
      <c r="L28"/>
      <c r="M28"/>
      <c r="N28"/>
      <c r="O28"/>
      <c r="P28"/>
      <c r="Q28"/>
      <c r="R28"/>
      <c r="S28"/>
      <c r="T28"/>
      <c r="U28"/>
      <c r="V28"/>
      <c r="W28"/>
    </row>
    <row r="29" spans="1:23" ht="12.75">
      <c r="A29" s="98" t="s">
        <v>418</v>
      </c>
      <c r="B29" s="98" t="str">
        <f>B19</f>
        <v>Pre80 Single Family Construction HP Upgrade HSPF 8 - Heating Zone 3</v>
      </c>
      <c r="C29" s="99">
        <f aca="true" t="shared" si="8" ref="C29:J29">C19</f>
        <v>5019.7183763193525</v>
      </c>
      <c r="D29" s="100">
        <f t="shared" si="8"/>
        <v>18</v>
      </c>
      <c r="E29" s="102">
        <f t="shared" si="8"/>
        <v>1040.1566419228243</v>
      </c>
      <c r="F29" s="99">
        <f t="shared" si="8"/>
        <v>0</v>
      </c>
      <c r="G29" s="98" t="str">
        <f t="shared" si="8"/>
        <v>ResSpHtHPZ3</v>
      </c>
      <c r="H29"/>
      <c r="I29" s="94">
        <f t="shared" si="8"/>
        <v>0</v>
      </c>
      <c r="J29">
        <f t="shared" si="8"/>
        <v>14</v>
      </c>
      <c r="K29"/>
      <c r="L29"/>
      <c r="M29"/>
      <c r="N29"/>
      <c r="O29"/>
      <c r="P29"/>
      <c r="Q29"/>
      <c r="R29"/>
      <c r="S29"/>
      <c r="T29"/>
      <c r="U29"/>
      <c r="V29"/>
      <c r="W29"/>
    </row>
    <row r="30" spans="1:23" ht="12.75">
      <c r="A30" s="98" t="s">
        <v>418</v>
      </c>
      <c r="B30" s="98" t="str">
        <f>B16</f>
        <v>Pre80 Single Family Construction AC Upgrade SEER 13 - Cooling Zone 1</v>
      </c>
      <c r="C30" s="99">
        <f aca="true" t="shared" si="9" ref="C30:I30">C16</f>
        <v>156.60620135625317</v>
      </c>
      <c r="D30" s="100">
        <f t="shared" si="9"/>
        <v>18</v>
      </c>
      <c r="E30" s="102">
        <f t="shared" si="9"/>
        <v>0</v>
      </c>
      <c r="F30" s="99">
        <f t="shared" si="9"/>
        <v>0</v>
      </c>
      <c r="G30" s="98" t="str">
        <f t="shared" si="9"/>
        <v>ResCACZ1</v>
      </c>
      <c r="H30"/>
      <c r="I30" s="94">
        <f t="shared" si="9"/>
        <v>0</v>
      </c>
      <c r="J30"/>
      <c r="K30"/>
      <c r="L30"/>
      <c r="M30"/>
      <c r="N30"/>
      <c r="O30"/>
      <c r="P30"/>
      <c r="Q30"/>
      <c r="R30"/>
      <c r="S30"/>
      <c r="T30"/>
      <c r="U30"/>
      <c r="V30"/>
      <c r="W30"/>
    </row>
    <row r="31" spans="1:23" ht="12.75">
      <c r="A31" s="98" t="s">
        <v>419</v>
      </c>
      <c r="B31" s="98" t="str">
        <f>B19</f>
        <v>Pre80 Single Family Construction HP Upgrade HSPF 8 - Heating Zone 3</v>
      </c>
      <c r="C31" s="99">
        <f aca="true" t="shared" si="10" ref="C31:J31">C19</f>
        <v>5019.7183763193525</v>
      </c>
      <c r="D31" s="100">
        <f t="shared" si="10"/>
        <v>18</v>
      </c>
      <c r="E31" s="102">
        <f t="shared" si="10"/>
        <v>1040.1566419228243</v>
      </c>
      <c r="F31" s="99">
        <f t="shared" si="10"/>
        <v>0</v>
      </c>
      <c r="G31" s="98" t="str">
        <f t="shared" si="10"/>
        <v>ResSpHtHPZ3</v>
      </c>
      <c r="H31"/>
      <c r="I31" s="94">
        <f t="shared" si="10"/>
        <v>0</v>
      </c>
      <c r="J31">
        <f t="shared" si="10"/>
        <v>14</v>
      </c>
      <c r="K31"/>
      <c r="L31"/>
      <c r="M31"/>
      <c r="N31"/>
      <c r="O31"/>
      <c r="P31"/>
      <c r="Q31"/>
      <c r="R31"/>
      <c r="S31"/>
      <c r="T31"/>
      <c r="U31"/>
      <c r="V31"/>
      <c r="W31"/>
    </row>
    <row r="32" spans="1:23" ht="12.75">
      <c r="A32" s="98" t="s">
        <v>419</v>
      </c>
      <c r="B32" s="98" t="str">
        <f>B18</f>
        <v>Pre80 Single Family Construction AC Upgrade SEER 13  - Cooling Zone 2</v>
      </c>
      <c r="C32" s="99">
        <f aca="true" t="shared" si="11" ref="C32:I32">C18</f>
        <v>357.22919804906314</v>
      </c>
      <c r="D32" s="100">
        <f t="shared" si="11"/>
        <v>18</v>
      </c>
      <c r="E32" s="102">
        <f t="shared" si="11"/>
        <v>0</v>
      </c>
      <c r="F32" s="99">
        <f t="shared" si="11"/>
        <v>0</v>
      </c>
      <c r="G32" s="98" t="str">
        <f t="shared" si="11"/>
        <v>ResCACZ2</v>
      </c>
      <c r="H32"/>
      <c r="I32" s="99">
        <f t="shared" si="11"/>
        <v>0</v>
      </c>
      <c r="J32"/>
      <c r="K32"/>
      <c r="L32"/>
      <c r="M32"/>
      <c r="N32"/>
      <c r="O32"/>
      <c r="P32"/>
      <c r="Q32"/>
      <c r="R32"/>
      <c r="S32"/>
      <c r="T32"/>
      <c r="U32"/>
      <c r="V32"/>
      <c r="W32"/>
    </row>
    <row r="33" spans="1:30" ht="12" customHeight="1">
      <c r="A33" s="98" t="s">
        <v>420</v>
      </c>
      <c r="B33" s="98" t="s">
        <v>454</v>
      </c>
      <c r="C33" s="103">
        <f>'CAC &amp; HP Use &amp; Savings'!H64</f>
        <v>4303.560271504106</v>
      </c>
      <c r="D33" s="100">
        <v>18</v>
      </c>
      <c r="E33" s="102">
        <f>VLOOKUP('CAC &amp; HP Use &amp; Savings'!B$138,'Central AC and HP Cost vs SEER'!D$58:G$64,4,0)+'Central AC and HP Cost vs SEER'!L$51</f>
        <v>1040.1566419228243</v>
      </c>
      <c r="F33" s="99">
        <f>VLOOKUP('CAC &amp; HP Use &amp; Savings'!B$129,'Central AC and HP Cost vs SEER'!D$58:K$64,8)</f>
        <v>0</v>
      </c>
      <c r="G33" s="98" t="s">
        <v>183</v>
      </c>
      <c r="H33"/>
      <c r="I33" s="94">
        <f>VLOOKUP('CAC &amp; HP Use &amp; Savings'!$B$129,'Central AC and HP Cost vs SEER'!$D$57:$M$64,10,0)</f>
        <v>0</v>
      </c>
      <c r="J33">
        <v>14</v>
      </c>
      <c r="K33"/>
      <c r="L33"/>
      <c r="M33"/>
      <c r="N33"/>
      <c r="O33"/>
      <c r="P33"/>
      <c r="Q33"/>
      <c r="R33"/>
      <c r="S33"/>
      <c r="T33"/>
      <c r="U33"/>
      <c r="V33"/>
      <c r="W33"/>
      <c r="Z33"/>
      <c r="AA33"/>
      <c r="AB33"/>
      <c r="AC33"/>
      <c r="AD33"/>
    </row>
    <row r="34" spans="1:30" ht="12" customHeight="1">
      <c r="A34" s="98" t="s">
        <v>420</v>
      </c>
      <c r="B34" s="98" t="s">
        <v>455</v>
      </c>
      <c r="C34" s="103">
        <f>'CAC &amp; HP Use &amp; Savings'!H36</f>
        <v>254.8510282004761</v>
      </c>
      <c r="D34" s="100">
        <v>18</v>
      </c>
      <c r="E34" s="102"/>
      <c r="F34" s="99">
        <v>0</v>
      </c>
      <c r="G34" s="98" t="s">
        <v>180</v>
      </c>
      <c r="H34"/>
      <c r="I34" s="94">
        <v>0</v>
      </c>
      <c r="J34"/>
      <c r="K34"/>
      <c r="L34"/>
      <c r="M34"/>
      <c r="N34"/>
      <c r="O34"/>
      <c r="P34"/>
      <c r="Q34"/>
      <c r="R34"/>
      <c r="S34"/>
      <c r="T34"/>
      <c r="U34"/>
      <c r="V34"/>
      <c r="W34"/>
      <c r="Z34"/>
      <c r="AA34"/>
      <c r="AB34"/>
      <c r="AC34"/>
      <c r="AD34"/>
    </row>
    <row r="35" spans="1:30" ht="12" customHeight="1">
      <c r="A35" s="98" t="s">
        <v>421</v>
      </c>
      <c r="B35" s="98" t="s">
        <v>456</v>
      </c>
      <c r="C35" s="103">
        <f>'CAC &amp; HP Use &amp; Savings'!I64</f>
        <v>6346.925241445269</v>
      </c>
      <c r="D35" s="100">
        <v>18</v>
      </c>
      <c r="E35" s="102">
        <f>VLOOKUP('CAC &amp; HP Use &amp; Savings'!B$138,'Central AC and HP Cost vs SEER'!D$58:G$64,4,0)+'Central AC and HP Cost vs SEER'!L$51</f>
        <v>1040.1566419228243</v>
      </c>
      <c r="F35" s="99">
        <f>VLOOKUP('CAC &amp; HP Use &amp; Savings'!B$129,'Central AC and HP Cost vs SEER'!D$58:K$64,8)</f>
        <v>0</v>
      </c>
      <c r="G35" s="98" t="s">
        <v>184</v>
      </c>
      <c r="H35"/>
      <c r="I35" s="94">
        <f>VLOOKUP('CAC &amp; HP Use &amp; Savings'!$B$129,'Central AC and HP Cost vs SEER'!$D$57:$M$64,10,0)</f>
        <v>0</v>
      </c>
      <c r="J35">
        <v>14</v>
      </c>
      <c r="K35"/>
      <c r="L35"/>
      <c r="M35"/>
      <c r="N35"/>
      <c r="O35"/>
      <c r="P35"/>
      <c r="Q35"/>
      <c r="R35"/>
      <c r="S35"/>
      <c r="T35"/>
      <c r="U35"/>
      <c r="V35"/>
      <c r="W35"/>
      <c r="Z35"/>
      <c r="AA35"/>
      <c r="AB35"/>
      <c r="AC35"/>
      <c r="AD35"/>
    </row>
    <row r="36" spans="1:30" ht="12" customHeight="1">
      <c r="A36" s="98" t="s">
        <v>421</v>
      </c>
      <c r="B36" s="98" t="s">
        <v>457</v>
      </c>
      <c r="C36" s="103">
        <f>'CAC &amp; HP Use &amp; Savings'!I36</f>
        <v>534.6744782669505</v>
      </c>
      <c r="D36" s="100">
        <v>18</v>
      </c>
      <c r="E36" s="102"/>
      <c r="F36" s="99">
        <v>0</v>
      </c>
      <c r="G36" s="98" t="s">
        <v>181</v>
      </c>
      <c r="H36"/>
      <c r="I36" s="94">
        <v>0</v>
      </c>
      <c r="J36"/>
      <c r="K36"/>
      <c r="L36"/>
      <c r="M36"/>
      <c r="N36"/>
      <c r="O36"/>
      <c r="P36"/>
      <c r="Q36"/>
      <c r="R36"/>
      <c r="S36"/>
      <c r="T36"/>
      <c r="U36"/>
      <c r="V36"/>
      <c r="W36"/>
      <c r="Z36"/>
      <c r="AA36"/>
      <c r="AB36"/>
      <c r="AC36"/>
      <c r="AD36"/>
    </row>
    <row r="37" spans="1:30" ht="12" customHeight="1">
      <c r="A37" s="98" t="s">
        <v>422</v>
      </c>
      <c r="B37" s="98" t="s">
        <v>458</v>
      </c>
      <c r="C37" s="103">
        <f>'CAC &amp; HP Use &amp; Savings'!J64</f>
        <v>7580.718560511597</v>
      </c>
      <c r="D37" s="100">
        <v>18</v>
      </c>
      <c r="E37" s="102">
        <f>VLOOKUP('CAC &amp; HP Use &amp; Savings'!B$138,'Central AC and HP Cost vs SEER'!D$58:G$64,4,0)+'Central AC and HP Cost vs SEER'!L$51</f>
        <v>1040.1566419228243</v>
      </c>
      <c r="F37" s="99">
        <f>VLOOKUP('CAC &amp; HP Use &amp; Savings'!B$129,'Central AC and HP Cost vs SEER'!D$58:K$64,8)</f>
        <v>0</v>
      </c>
      <c r="G37" s="98" t="s">
        <v>185</v>
      </c>
      <c r="H37"/>
      <c r="I37" s="94">
        <f>VLOOKUP('CAC &amp; HP Use &amp; Savings'!$B$129,'Central AC and HP Cost vs SEER'!$D$57:$M$64,10,0)</f>
        <v>0</v>
      </c>
      <c r="J37">
        <v>14</v>
      </c>
      <c r="K37"/>
      <c r="L37"/>
      <c r="M37"/>
      <c r="N37"/>
      <c r="O37"/>
      <c r="P37"/>
      <c r="Q37"/>
      <c r="R37"/>
      <c r="S37"/>
      <c r="T37"/>
      <c r="U37"/>
      <c r="V37"/>
      <c r="W37"/>
      <c r="Z37"/>
      <c r="AA37"/>
      <c r="AB37"/>
      <c r="AC37"/>
      <c r="AD37"/>
    </row>
    <row r="38" spans="1:30" ht="12" customHeight="1">
      <c r="A38" s="98" t="s">
        <v>422</v>
      </c>
      <c r="B38" s="98" t="s">
        <v>459</v>
      </c>
      <c r="C38" s="103">
        <f>'CAC &amp; HP Use &amp; Savings'!J36</f>
        <v>1030.8741567717698</v>
      </c>
      <c r="D38" s="100">
        <v>18</v>
      </c>
      <c r="E38" s="102"/>
      <c r="F38" s="99">
        <v>0</v>
      </c>
      <c r="G38" s="98" t="s">
        <v>182</v>
      </c>
      <c r="H38"/>
      <c r="I38" s="94">
        <v>0</v>
      </c>
      <c r="J38"/>
      <c r="K38"/>
      <c r="L38"/>
      <c r="M38"/>
      <c r="N38"/>
      <c r="O38"/>
      <c r="P38"/>
      <c r="Q38"/>
      <c r="R38"/>
      <c r="S38"/>
      <c r="T38"/>
      <c r="U38"/>
      <c r="V38"/>
      <c r="W38"/>
      <c r="Z38"/>
      <c r="AA38"/>
      <c r="AB38"/>
      <c r="AC38"/>
      <c r="AD38"/>
    </row>
    <row r="39" spans="1:30" ht="12" customHeight="1">
      <c r="A39" s="98" t="s">
        <v>423</v>
      </c>
      <c r="B39" s="98" t="str">
        <f aca="true" t="shared" si="12" ref="B39:G39">B33</f>
        <v>Post79/Pre93 Single Family Construction HP Upgrade HSPF 8 -  Heating Zone 1</v>
      </c>
      <c r="C39" s="99">
        <f t="shared" si="12"/>
        <v>4303.560271504106</v>
      </c>
      <c r="D39" s="100">
        <f t="shared" si="12"/>
        <v>18</v>
      </c>
      <c r="E39" s="102">
        <f t="shared" si="12"/>
        <v>1040.1566419228243</v>
      </c>
      <c r="F39" s="99">
        <f t="shared" si="12"/>
        <v>0</v>
      </c>
      <c r="G39" s="98" t="str">
        <f t="shared" si="12"/>
        <v>ResSpHtHPZ1</v>
      </c>
      <c r="H39"/>
      <c r="I39" s="94">
        <f>I33</f>
        <v>0</v>
      </c>
      <c r="J39">
        <f>J33</f>
        <v>14</v>
      </c>
      <c r="K39"/>
      <c r="L39"/>
      <c r="M39"/>
      <c r="N39"/>
      <c r="O39"/>
      <c r="P39"/>
      <c r="Q39"/>
      <c r="R39"/>
      <c r="S39"/>
      <c r="T39"/>
      <c r="U39"/>
      <c r="V39"/>
      <c r="W39"/>
      <c r="Z39"/>
      <c r="AA39"/>
      <c r="AB39"/>
      <c r="AC39"/>
      <c r="AD39"/>
    </row>
    <row r="40" spans="1:30" ht="12" customHeight="1">
      <c r="A40" s="98" t="s">
        <v>423</v>
      </c>
      <c r="B40" s="98" t="str">
        <f aca="true" t="shared" si="13" ref="B40:G40">B36</f>
        <v>Post79/Pre93 Single Family Construction AC Upgrade SEER 13 - Cooling Zone 2</v>
      </c>
      <c r="C40" s="99">
        <f t="shared" si="13"/>
        <v>534.6744782669505</v>
      </c>
      <c r="D40" s="100">
        <f t="shared" si="13"/>
        <v>18</v>
      </c>
      <c r="E40" s="102">
        <f t="shared" si="13"/>
        <v>0</v>
      </c>
      <c r="F40" s="99">
        <f t="shared" si="13"/>
        <v>0</v>
      </c>
      <c r="G40" s="98" t="str">
        <f t="shared" si="13"/>
        <v>ResCACZ2</v>
      </c>
      <c r="H40"/>
      <c r="I40" s="99">
        <f>I36</f>
        <v>0</v>
      </c>
      <c r="J40"/>
      <c r="K40"/>
      <c r="L40"/>
      <c r="M40"/>
      <c r="N40"/>
      <c r="O40"/>
      <c r="P40"/>
      <c r="Q40"/>
      <c r="R40"/>
      <c r="S40"/>
      <c r="T40"/>
      <c r="U40"/>
      <c r="V40"/>
      <c r="W40"/>
      <c r="Z40"/>
      <c r="AA40"/>
      <c r="AB40"/>
      <c r="AC40"/>
      <c r="AD40"/>
    </row>
    <row r="41" spans="1:30" ht="12" customHeight="1">
      <c r="A41" s="98" t="s">
        <v>424</v>
      </c>
      <c r="B41" s="98" t="str">
        <f aca="true" t="shared" si="14" ref="B41:G41">B33</f>
        <v>Post79/Pre93 Single Family Construction HP Upgrade HSPF 8 -  Heating Zone 1</v>
      </c>
      <c r="C41" s="99">
        <f t="shared" si="14"/>
        <v>4303.560271504106</v>
      </c>
      <c r="D41" s="100">
        <f t="shared" si="14"/>
        <v>18</v>
      </c>
      <c r="E41" s="102">
        <f t="shared" si="14"/>
        <v>1040.1566419228243</v>
      </c>
      <c r="F41" s="99">
        <f t="shared" si="14"/>
        <v>0</v>
      </c>
      <c r="G41" s="98" t="str">
        <f t="shared" si="14"/>
        <v>ResSpHtHPZ1</v>
      </c>
      <c r="H41"/>
      <c r="I41" s="94">
        <f>I33</f>
        <v>0</v>
      </c>
      <c r="J41">
        <f>J33</f>
        <v>14</v>
      </c>
      <c r="K41"/>
      <c r="L41"/>
      <c r="M41"/>
      <c r="N41"/>
      <c r="O41"/>
      <c r="P41"/>
      <c r="Q41"/>
      <c r="R41"/>
      <c r="S41"/>
      <c r="T41"/>
      <c r="U41"/>
      <c r="V41"/>
      <c r="W41"/>
      <c r="Z41"/>
      <c r="AA41"/>
      <c r="AB41"/>
      <c r="AC41"/>
      <c r="AD41"/>
    </row>
    <row r="42" spans="1:30" ht="12" customHeight="1">
      <c r="A42" s="98" t="s">
        <v>424</v>
      </c>
      <c r="B42" s="98" t="str">
        <f aca="true" t="shared" si="15" ref="B42:G42">B38</f>
        <v>Post79/Pre93 Single Family Construction AC Upgrade SEER 13 - Cooling Zone 3</v>
      </c>
      <c r="C42" s="99">
        <f t="shared" si="15"/>
        <v>1030.8741567717698</v>
      </c>
      <c r="D42" s="100">
        <f t="shared" si="15"/>
        <v>18</v>
      </c>
      <c r="E42" s="102">
        <f t="shared" si="15"/>
        <v>0</v>
      </c>
      <c r="F42" s="99">
        <f t="shared" si="15"/>
        <v>0</v>
      </c>
      <c r="G42" s="98" t="str">
        <f t="shared" si="15"/>
        <v>ResCACZ3</v>
      </c>
      <c r="H42"/>
      <c r="I42" s="94">
        <f>I38</f>
        <v>0</v>
      </c>
      <c r="J42"/>
      <c r="K42"/>
      <c r="L42"/>
      <c r="M42"/>
      <c r="N42"/>
      <c r="O42"/>
      <c r="P42"/>
      <c r="Q42"/>
      <c r="R42"/>
      <c r="S42"/>
      <c r="T42"/>
      <c r="U42"/>
      <c r="V42"/>
      <c r="W42"/>
      <c r="Z42"/>
      <c r="AA42"/>
      <c r="AB42"/>
      <c r="AC42"/>
      <c r="AD42"/>
    </row>
    <row r="43" spans="1:30" ht="12" customHeight="1">
      <c r="A43" s="98" t="s">
        <v>425</v>
      </c>
      <c r="B43" s="98" t="str">
        <f aca="true" t="shared" si="16" ref="B43:G43">B35</f>
        <v>Post79/Pre93 Single Family Construction HP Upgrade HSPF 8 - Heating Zone 2</v>
      </c>
      <c r="C43" s="99">
        <f t="shared" si="16"/>
        <v>6346.925241445269</v>
      </c>
      <c r="D43" s="100">
        <f t="shared" si="16"/>
        <v>18</v>
      </c>
      <c r="E43" s="102">
        <f t="shared" si="16"/>
        <v>1040.1566419228243</v>
      </c>
      <c r="F43" s="99">
        <f t="shared" si="16"/>
        <v>0</v>
      </c>
      <c r="G43" s="98" t="str">
        <f t="shared" si="16"/>
        <v>ResSpHtHPZ2</v>
      </c>
      <c r="H43"/>
      <c r="I43" s="94">
        <f>I35</f>
        <v>0</v>
      </c>
      <c r="J43">
        <f>J35</f>
        <v>14</v>
      </c>
      <c r="K43"/>
      <c r="L43"/>
      <c r="M43"/>
      <c r="N43"/>
      <c r="O43"/>
      <c r="P43"/>
      <c r="Q43"/>
      <c r="R43"/>
      <c r="S43"/>
      <c r="T43"/>
      <c r="U43"/>
      <c r="V43"/>
      <c r="W43"/>
      <c r="Z43"/>
      <c r="AA43"/>
      <c r="AB43"/>
      <c r="AC43"/>
      <c r="AD43"/>
    </row>
    <row r="44" spans="1:30" ht="12" customHeight="1">
      <c r="A44" s="98" t="s">
        <v>425</v>
      </c>
      <c r="B44" s="98" t="str">
        <f aca="true" t="shared" si="17" ref="B44:G44">B38</f>
        <v>Post79/Pre93 Single Family Construction AC Upgrade SEER 13 - Cooling Zone 3</v>
      </c>
      <c r="C44" s="99">
        <f t="shared" si="17"/>
        <v>1030.8741567717698</v>
      </c>
      <c r="D44" s="100">
        <f t="shared" si="17"/>
        <v>18</v>
      </c>
      <c r="E44" s="102">
        <f t="shared" si="17"/>
        <v>0</v>
      </c>
      <c r="F44" s="99">
        <f t="shared" si="17"/>
        <v>0</v>
      </c>
      <c r="G44" s="98" t="str">
        <f t="shared" si="17"/>
        <v>ResCACZ3</v>
      </c>
      <c r="H44"/>
      <c r="I44" s="99">
        <f>I38</f>
        <v>0</v>
      </c>
      <c r="J44"/>
      <c r="K44"/>
      <c r="L44"/>
      <c r="M44"/>
      <c r="N44"/>
      <c r="O44"/>
      <c r="P44"/>
      <c r="Q44"/>
      <c r="R44"/>
      <c r="S44"/>
      <c r="T44"/>
      <c r="U44"/>
      <c r="V44"/>
      <c r="W44"/>
      <c r="Z44"/>
      <c r="AA44"/>
      <c r="AB44"/>
      <c r="AC44"/>
      <c r="AD44"/>
    </row>
    <row r="45" spans="1:30" ht="12" customHeight="1">
      <c r="A45" s="98" t="s">
        <v>426</v>
      </c>
      <c r="B45" s="98" t="str">
        <f aca="true" t="shared" si="18" ref="B45:G45">B35</f>
        <v>Post79/Pre93 Single Family Construction HP Upgrade HSPF 8 - Heating Zone 2</v>
      </c>
      <c r="C45" s="99">
        <f t="shared" si="18"/>
        <v>6346.925241445269</v>
      </c>
      <c r="D45" s="100">
        <f t="shared" si="18"/>
        <v>18</v>
      </c>
      <c r="E45" s="102">
        <f t="shared" si="18"/>
        <v>1040.1566419228243</v>
      </c>
      <c r="F45" s="99">
        <f t="shared" si="18"/>
        <v>0</v>
      </c>
      <c r="G45" s="98" t="str">
        <f t="shared" si="18"/>
        <v>ResSpHtHPZ2</v>
      </c>
      <c r="H45"/>
      <c r="I45" s="94">
        <f>I35</f>
        <v>0</v>
      </c>
      <c r="J45">
        <f>J35</f>
        <v>14</v>
      </c>
      <c r="K45"/>
      <c r="L45"/>
      <c r="M45"/>
      <c r="N45"/>
      <c r="O45"/>
      <c r="P45"/>
      <c r="Q45"/>
      <c r="R45"/>
      <c r="S45"/>
      <c r="T45"/>
      <c r="U45"/>
      <c r="V45"/>
      <c r="W45"/>
      <c r="Z45"/>
      <c r="AA45"/>
      <c r="AB45"/>
      <c r="AC45"/>
      <c r="AD45"/>
    </row>
    <row r="46" spans="1:30" ht="12" customHeight="1">
      <c r="A46" s="98" t="s">
        <v>426</v>
      </c>
      <c r="B46" s="98" t="str">
        <f aca="true" t="shared" si="19" ref="B46:G46">B34</f>
        <v>Post79/Pre93 Single Family Construction AC Upgrade SEER 13 - Cooling Zone 1</v>
      </c>
      <c r="C46" s="99">
        <f t="shared" si="19"/>
        <v>254.8510282004761</v>
      </c>
      <c r="D46" s="100">
        <f t="shared" si="19"/>
        <v>18</v>
      </c>
      <c r="E46" s="102">
        <f t="shared" si="19"/>
        <v>0</v>
      </c>
      <c r="F46" s="99">
        <f t="shared" si="19"/>
        <v>0</v>
      </c>
      <c r="G46" s="98" t="str">
        <f t="shared" si="19"/>
        <v>ResCACZ1</v>
      </c>
      <c r="H46"/>
      <c r="I46" s="99">
        <f>I34</f>
        <v>0</v>
      </c>
      <c r="J46"/>
      <c r="K46"/>
      <c r="L46"/>
      <c r="M46"/>
      <c r="N46"/>
      <c r="O46"/>
      <c r="P46"/>
      <c r="Q46"/>
      <c r="R46"/>
      <c r="S46"/>
      <c r="T46"/>
      <c r="U46"/>
      <c r="V46"/>
      <c r="W46"/>
      <c r="Z46"/>
      <c r="AA46"/>
      <c r="AB46"/>
      <c r="AC46"/>
      <c r="AD46"/>
    </row>
    <row r="47" spans="1:30" ht="12" customHeight="1">
      <c r="A47" s="98" t="s">
        <v>427</v>
      </c>
      <c r="B47" s="98" t="str">
        <f aca="true" t="shared" si="20" ref="B47:G47">B37</f>
        <v>Post79/Pre93 Single Family Construction HP Upgrade HSPF 8 - Heating Zone 3</v>
      </c>
      <c r="C47" s="99">
        <f t="shared" si="20"/>
        <v>7580.718560511597</v>
      </c>
      <c r="D47" s="100">
        <f t="shared" si="20"/>
        <v>18</v>
      </c>
      <c r="E47" s="102">
        <f t="shared" si="20"/>
        <v>1040.1566419228243</v>
      </c>
      <c r="F47" s="99">
        <f t="shared" si="20"/>
        <v>0</v>
      </c>
      <c r="G47" s="98" t="str">
        <f t="shared" si="20"/>
        <v>ResSpHtHPZ3</v>
      </c>
      <c r="H47"/>
      <c r="I47" s="94">
        <f>I37</f>
        <v>0</v>
      </c>
      <c r="J47">
        <f>J37</f>
        <v>14</v>
      </c>
      <c r="K47"/>
      <c r="L47"/>
      <c r="M47"/>
      <c r="N47"/>
      <c r="O47"/>
      <c r="P47"/>
      <c r="Q47"/>
      <c r="R47"/>
      <c r="S47"/>
      <c r="T47"/>
      <c r="U47"/>
      <c r="V47"/>
      <c r="W47"/>
      <c r="Z47"/>
      <c r="AA47"/>
      <c r="AB47"/>
      <c r="AC47"/>
      <c r="AD47"/>
    </row>
    <row r="48" spans="1:30" ht="12" customHeight="1">
      <c r="A48" s="98" t="s">
        <v>427</v>
      </c>
      <c r="B48" s="98" t="str">
        <f aca="true" t="shared" si="21" ref="B48:G48">B34</f>
        <v>Post79/Pre93 Single Family Construction AC Upgrade SEER 13 - Cooling Zone 1</v>
      </c>
      <c r="C48" s="99">
        <f t="shared" si="21"/>
        <v>254.8510282004761</v>
      </c>
      <c r="D48" s="100">
        <f t="shared" si="21"/>
        <v>18</v>
      </c>
      <c r="E48" s="102">
        <f t="shared" si="21"/>
        <v>0</v>
      </c>
      <c r="F48" s="99">
        <f t="shared" si="21"/>
        <v>0</v>
      </c>
      <c r="G48" s="98" t="str">
        <f t="shared" si="21"/>
        <v>ResCACZ1</v>
      </c>
      <c r="H48"/>
      <c r="I48" s="94">
        <f>I34</f>
        <v>0</v>
      </c>
      <c r="J48"/>
      <c r="K48"/>
      <c r="L48"/>
      <c r="M48"/>
      <c r="N48"/>
      <c r="O48"/>
      <c r="P48"/>
      <c r="Q48"/>
      <c r="R48"/>
      <c r="S48"/>
      <c r="T48"/>
      <c r="U48"/>
      <c r="V48"/>
      <c r="W48"/>
      <c r="Z48"/>
      <c r="AA48"/>
      <c r="AB48"/>
      <c r="AC48"/>
      <c r="AD48"/>
    </row>
    <row r="49" spans="1:30" ht="12" customHeight="1">
      <c r="A49" s="98" t="s">
        <v>428</v>
      </c>
      <c r="B49" s="98" t="str">
        <f aca="true" t="shared" si="22" ref="B49:G49">B37</f>
        <v>Post79/Pre93 Single Family Construction HP Upgrade HSPF 8 - Heating Zone 3</v>
      </c>
      <c r="C49" s="99">
        <f t="shared" si="22"/>
        <v>7580.718560511597</v>
      </c>
      <c r="D49" s="100">
        <f t="shared" si="22"/>
        <v>18</v>
      </c>
      <c r="E49" s="102">
        <f t="shared" si="22"/>
        <v>1040.1566419228243</v>
      </c>
      <c r="F49" s="99">
        <f t="shared" si="22"/>
        <v>0</v>
      </c>
      <c r="G49" s="98" t="str">
        <f t="shared" si="22"/>
        <v>ResSpHtHPZ3</v>
      </c>
      <c r="H49"/>
      <c r="I49" s="94">
        <f>I37</f>
        <v>0</v>
      </c>
      <c r="J49">
        <f>J37</f>
        <v>14</v>
      </c>
      <c r="K49"/>
      <c r="L49"/>
      <c r="M49"/>
      <c r="N49"/>
      <c r="O49"/>
      <c r="P49"/>
      <c r="Q49"/>
      <c r="R49"/>
      <c r="S49"/>
      <c r="T49"/>
      <c r="U49"/>
      <c r="V49"/>
      <c r="W49"/>
      <c r="Z49"/>
      <c r="AA49"/>
      <c r="AB49"/>
      <c r="AC49"/>
      <c r="AD49"/>
    </row>
    <row r="50" spans="1:30" ht="12" customHeight="1">
      <c r="A50" s="98" t="s">
        <v>428</v>
      </c>
      <c r="B50" s="98" t="str">
        <f aca="true" t="shared" si="23" ref="B50:G50">B36</f>
        <v>Post79/Pre93 Single Family Construction AC Upgrade SEER 13 - Cooling Zone 2</v>
      </c>
      <c r="C50" s="99">
        <f t="shared" si="23"/>
        <v>534.6744782669505</v>
      </c>
      <c r="D50" s="100">
        <f t="shared" si="23"/>
        <v>18</v>
      </c>
      <c r="E50" s="102">
        <f t="shared" si="23"/>
        <v>0</v>
      </c>
      <c r="F50" s="99">
        <f t="shared" si="23"/>
        <v>0</v>
      </c>
      <c r="G50" s="98" t="str">
        <f t="shared" si="23"/>
        <v>ResCACZ2</v>
      </c>
      <c r="H50"/>
      <c r="I50" s="99">
        <f>I36</f>
        <v>0</v>
      </c>
      <c r="J50"/>
      <c r="K50"/>
      <c r="L50"/>
      <c r="M50"/>
      <c r="N50"/>
      <c r="O50"/>
      <c r="P50"/>
      <c r="Q50"/>
      <c r="R50"/>
      <c r="S50"/>
      <c r="T50"/>
      <c r="U50"/>
      <c r="V50"/>
      <c r="W50"/>
      <c r="Z50"/>
      <c r="AA50"/>
      <c r="AB50"/>
      <c r="AC50"/>
      <c r="AD50"/>
    </row>
    <row r="51" spans="1:30" ht="12" customHeight="1">
      <c r="A51" s="98" t="s">
        <v>429</v>
      </c>
      <c r="B51" s="98" t="s">
        <v>460</v>
      </c>
      <c r="C51" s="103">
        <f>'CAC &amp; HP Use &amp; Savings'!H65</f>
        <v>2671.5664496959707</v>
      </c>
      <c r="D51" s="100">
        <v>18</v>
      </c>
      <c r="E51" s="102">
        <f>VLOOKUP('CAC &amp; HP Use &amp; Savings'!B$138,'Central AC and HP Cost vs SEER'!D$58:G$64,4,0)+'Central AC and HP Cost vs SEER'!L$51</f>
        <v>1040.1566419228243</v>
      </c>
      <c r="F51" s="99">
        <f>VLOOKUP('CAC &amp; HP Use &amp; Savings'!B$129,'Central AC and HP Cost vs SEER'!D$58:K$64,8)</f>
        <v>0</v>
      </c>
      <c r="G51" s="98" t="s">
        <v>183</v>
      </c>
      <c r="H51"/>
      <c r="I51" s="94">
        <f>VLOOKUP('CAC &amp; HP Use &amp; Savings'!$B$129,'Central AC and HP Cost vs SEER'!$D$57:$M$64,10,0)</f>
        <v>0</v>
      </c>
      <c r="J51">
        <v>14</v>
      </c>
      <c r="K51"/>
      <c r="L51"/>
      <c r="M51"/>
      <c r="N51"/>
      <c r="O51"/>
      <c r="P51"/>
      <c r="Q51"/>
      <c r="R51"/>
      <c r="S51"/>
      <c r="T51"/>
      <c r="U51"/>
      <c r="V51"/>
      <c r="W51"/>
      <c r="Z51"/>
      <c r="AA51"/>
      <c r="AB51"/>
      <c r="AC51"/>
      <c r="AD51"/>
    </row>
    <row r="52" spans="1:30" ht="12" customHeight="1">
      <c r="A52" s="98" t="s">
        <v>429</v>
      </c>
      <c r="B52" s="98" t="s">
        <v>461</v>
      </c>
      <c r="C52" s="103">
        <f>'CAC &amp; HP Use &amp; Savings'!H37</f>
        <v>171.44381029381435</v>
      </c>
      <c r="D52" s="100">
        <v>18</v>
      </c>
      <c r="E52" s="102"/>
      <c r="F52" s="99">
        <v>0</v>
      </c>
      <c r="G52" s="98" t="s">
        <v>180</v>
      </c>
      <c r="H52"/>
      <c r="I52" s="94">
        <v>0</v>
      </c>
      <c r="J52"/>
      <c r="K52"/>
      <c r="L52"/>
      <c r="M52"/>
      <c r="N52"/>
      <c r="O52"/>
      <c r="P52"/>
      <c r="Q52"/>
      <c r="R52"/>
      <c r="S52"/>
      <c r="T52"/>
      <c r="U52"/>
      <c r="V52"/>
      <c r="W52"/>
      <c r="Z52"/>
      <c r="AA52"/>
      <c r="AB52"/>
      <c r="AC52"/>
      <c r="AD52"/>
    </row>
    <row r="53" spans="1:30" ht="12" customHeight="1">
      <c r="A53" s="98" t="s">
        <v>430</v>
      </c>
      <c r="B53" s="98" t="s">
        <v>462</v>
      </c>
      <c r="C53" s="103">
        <f>'CAC &amp; HP Use &amp; Savings'!I65</f>
        <v>4062.155898512211</v>
      </c>
      <c r="D53" s="100">
        <v>18</v>
      </c>
      <c r="E53" s="102">
        <f>VLOOKUP('CAC &amp; HP Use &amp; Savings'!B$138,'Central AC and HP Cost vs SEER'!D$58:G$64,4,0)+'Central AC and HP Cost vs SEER'!L$51</f>
        <v>1040.1566419228243</v>
      </c>
      <c r="F53" s="99">
        <f>VLOOKUP('CAC &amp; HP Use &amp; Savings'!B$129,'Central AC and HP Cost vs SEER'!D$58:K$64,8)</f>
        <v>0</v>
      </c>
      <c r="G53" s="98" t="s">
        <v>184</v>
      </c>
      <c r="H53"/>
      <c r="I53" s="94">
        <f>VLOOKUP('CAC &amp; HP Use &amp; Savings'!$B$129,'Central AC and HP Cost vs SEER'!$D$57:$M$64,10,0)</f>
        <v>0</v>
      </c>
      <c r="J53">
        <v>14</v>
      </c>
      <c r="K53"/>
      <c r="L53"/>
      <c r="M53"/>
      <c r="N53"/>
      <c r="O53"/>
      <c r="P53"/>
      <c r="Q53"/>
      <c r="R53"/>
      <c r="S53"/>
      <c r="T53"/>
      <c r="U53"/>
      <c r="V53"/>
      <c r="W53"/>
      <c r="Z53"/>
      <c r="AA53"/>
      <c r="AB53"/>
      <c r="AC53"/>
      <c r="AD53"/>
    </row>
    <row r="54" spans="1:30" ht="12.75" customHeight="1">
      <c r="A54" s="98" t="s">
        <v>430</v>
      </c>
      <c r="B54" s="98" t="s">
        <v>463</v>
      </c>
      <c r="C54" s="103">
        <f>'CAC &amp; HP Use &amp; Savings'!I37</f>
        <v>371.4811092936329</v>
      </c>
      <c r="D54" s="100">
        <v>18</v>
      </c>
      <c r="E54"/>
      <c r="F54" s="99">
        <v>0</v>
      </c>
      <c r="G54" s="98" t="s">
        <v>181</v>
      </c>
      <c r="H54"/>
      <c r="I54" s="94">
        <v>0</v>
      </c>
      <c r="J54"/>
      <c r="K54"/>
      <c r="L54"/>
      <c r="M54"/>
      <c r="N54"/>
      <c r="O54"/>
      <c r="P54"/>
      <c r="Q54"/>
      <c r="R54"/>
      <c r="S54"/>
      <c r="T54"/>
      <c r="U54"/>
      <c r="V54"/>
      <c r="W54"/>
      <c r="Z54"/>
      <c r="AA54"/>
      <c r="AB54"/>
      <c r="AC54"/>
      <c r="AD54"/>
    </row>
    <row r="55" spans="1:30" ht="12" customHeight="1">
      <c r="A55" s="98" t="s">
        <v>431</v>
      </c>
      <c r="B55" s="98" t="s">
        <v>464</v>
      </c>
      <c r="C55" s="103">
        <f>'CAC &amp; HP Use &amp; Savings'!J65</f>
        <v>4906.7500817782475</v>
      </c>
      <c r="D55" s="100">
        <v>18</v>
      </c>
      <c r="E55" s="102">
        <f>VLOOKUP('CAC &amp; HP Use &amp; Savings'!B$138,'Central AC and HP Cost vs SEER'!D$58:G$64,4,0)+'Central AC and HP Cost vs SEER'!L$51</f>
        <v>1040.1566419228243</v>
      </c>
      <c r="F55" s="99">
        <f>VLOOKUP('CAC &amp; HP Use &amp; Savings'!B$129,'Central AC and HP Cost vs SEER'!D$58:K$64,8)</f>
        <v>0</v>
      </c>
      <c r="G55" s="98" t="s">
        <v>185</v>
      </c>
      <c r="H55"/>
      <c r="I55" s="94">
        <f>VLOOKUP('CAC &amp; HP Use &amp; Savings'!$B$129,'Central AC and HP Cost vs SEER'!$D$57:$M$64,10,0)</f>
        <v>0</v>
      </c>
      <c r="J55">
        <v>14</v>
      </c>
      <c r="K55"/>
      <c r="L55"/>
      <c r="M55"/>
      <c r="N55"/>
      <c r="O55"/>
      <c r="P55"/>
      <c r="Q55"/>
      <c r="R55"/>
      <c r="S55"/>
      <c r="T55"/>
      <c r="U55"/>
      <c r="V55"/>
      <c r="W55"/>
      <c r="Z55"/>
      <c r="AA55"/>
      <c r="AB55"/>
      <c r="AC55"/>
      <c r="AD55"/>
    </row>
    <row r="56" spans="1:30" ht="12" customHeight="1">
      <c r="A56" s="98" t="s">
        <v>431</v>
      </c>
      <c r="B56" s="98" t="s">
        <v>465</v>
      </c>
      <c r="C56" s="103">
        <f>'CAC &amp; HP Use &amp; Savings'!J37</f>
        <v>729.9545374250838</v>
      </c>
      <c r="D56" s="100">
        <v>18</v>
      </c>
      <c r="E56" s="102"/>
      <c r="F56" s="99">
        <v>0</v>
      </c>
      <c r="G56" s="98" t="s">
        <v>182</v>
      </c>
      <c r="H56"/>
      <c r="I56" s="94">
        <v>0</v>
      </c>
      <c r="J56"/>
      <c r="K56"/>
      <c r="L56"/>
      <c r="M56"/>
      <c r="N56"/>
      <c r="O56"/>
      <c r="P56"/>
      <c r="Q56"/>
      <c r="R56"/>
      <c r="S56"/>
      <c r="T56"/>
      <c r="U56"/>
      <c r="V56"/>
      <c r="W56"/>
      <c r="Z56"/>
      <c r="AA56"/>
      <c r="AB56"/>
      <c r="AC56"/>
      <c r="AD56"/>
    </row>
    <row r="57" spans="1:30" ht="12" customHeight="1">
      <c r="A57" s="98" t="s">
        <v>432</v>
      </c>
      <c r="B57" s="98" t="str">
        <f aca="true" t="shared" si="24" ref="B57:G57">B51</f>
        <v>Post92 Single Family Construction HP Upgrade HSPF 8 - Heating Zone 1</v>
      </c>
      <c r="C57" s="99">
        <f t="shared" si="24"/>
        <v>2671.5664496959707</v>
      </c>
      <c r="D57" s="100">
        <f t="shared" si="24"/>
        <v>18</v>
      </c>
      <c r="E57" s="102">
        <f t="shared" si="24"/>
        <v>1040.1566419228243</v>
      </c>
      <c r="F57" s="99">
        <f t="shared" si="24"/>
        <v>0</v>
      </c>
      <c r="G57" s="98" t="str">
        <f t="shared" si="24"/>
        <v>ResSpHtHPZ1</v>
      </c>
      <c r="H57"/>
      <c r="I57" s="94">
        <f>I51</f>
        <v>0</v>
      </c>
      <c r="J57">
        <f>J51</f>
        <v>14</v>
      </c>
      <c r="K57"/>
      <c r="L57"/>
      <c r="M57"/>
      <c r="N57"/>
      <c r="O57"/>
      <c r="P57"/>
      <c r="Q57"/>
      <c r="R57"/>
      <c r="S57"/>
      <c r="T57"/>
      <c r="U57"/>
      <c r="V57"/>
      <c r="W57"/>
      <c r="Z57"/>
      <c r="AA57"/>
      <c r="AB57"/>
      <c r="AC57"/>
      <c r="AD57"/>
    </row>
    <row r="58" spans="1:30" ht="12" customHeight="1">
      <c r="A58" s="98" t="s">
        <v>432</v>
      </c>
      <c r="B58" s="98" t="str">
        <f aca="true" t="shared" si="25" ref="B58:G58">B54</f>
        <v>Post92 Single Family Construction AC Upgrade SEER 13 - Cooling Zone 2</v>
      </c>
      <c r="C58" s="99">
        <f t="shared" si="25"/>
        <v>371.4811092936329</v>
      </c>
      <c r="D58" s="100">
        <f t="shared" si="25"/>
        <v>18</v>
      </c>
      <c r="E58" s="102">
        <f t="shared" si="25"/>
        <v>0</v>
      </c>
      <c r="F58" s="99">
        <f t="shared" si="25"/>
        <v>0</v>
      </c>
      <c r="G58" s="98" t="str">
        <f t="shared" si="25"/>
        <v>ResCACZ2</v>
      </c>
      <c r="H58"/>
      <c r="I58" s="99">
        <f>I54</f>
        <v>0</v>
      </c>
      <c r="J58"/>
      <c r="K58"/>
      <c r="L58"/>
      <c r="M58"/>
      <c r="N58"/>
      <c r="O58"/>
      <c r="P58"/>
      <c r="Q58"/>
      <c r="R58"/>
      <c r="S58"/>
      <c r="T58"/>
      <c r="U58"/>
      <c r="V58"/>
      <c r="W58"/>
      <c r="Z58"/>
      <c r="AA58"/>
      <c r="AB58"/>
      <c r="AC58"/>
      <c r="AD58"/>
    </row>
    <row r="59" spans="1:30" ht="12" customHeight="1">
      <c r="A59" s="98" t="s">
        <v>433</v>
      </c>
      <c r="B59" s="98" t="str">
        <f aca="true" t="shared" si="26" ref="B59:G59">B51</f>
        <v>Post92 Single Family Construction HP Upgrade HSPF 8 - Heating Zone 1</v>
      </c>
      <c r="C59" s="99">
        <f t="shared" si="26"/>
        <v>2671.5664496959707</v>
      </c>
      <c r="D59" s="100">
        <f t="shared" si="26"/>
        <v>18</v>
      </c>
      <c r="E59" s="102">
        <f t="shared" si="26"/>
        <v>1040.1566419228243</v>
      </c>
      <c r="F59" s="99">
        <f t="shared" si="26"/>
        <v>0</v>
      </c>
      <c r="G59" s="98" t="str">
        <f t="shared" si="26"/>
        <v>ResSpHtHPZ1</v>
      </c>
      <c r="H59"/>
      <c r="I59" s="94">
        <f>I51</f>
        <v>0</v>
      </c>
      <c r="J59">
        <f>J51</f>
        <v>14</v>
      </c>
      <c r="K59"/>
      <c r="L59"/>
      <c r="M59"/>
      <c r="N59"/>
      <c r="O59"/>
      <c r="P59"/>
      <c r="Q59"/>
      <c r="R59"/>
      <c r="S59"/>
      <c r="T59"/>
      <c r="U59"/>
      <c r="V59"/>
      <c r="W59"/>
      <c r="Z59"/>
      <c r="AA59"/>
      <c r="AB59"/>
      <c r="AC59"/>
      <c r="AD59"/>
    </row>
    <row r="60" spans="1:30" ht="12" customHeight="1">
      <c r="A60" s="98" t="s">
        <v>433</v>
      </c>
      <c r="B60" s="98" t="str">
        <f aca="true" t="shared" si="27" ref="B60:G60">B56</f>
        <v>Post92 Single Family Construction AC Upgrade SEER 13 - Cooling Zone 3</v>
      </c>
      <c r="C60" s="99">
        <f t="shared" si="27"/>
        <v>729.9545374250838</v>
      </c>
      <c r="D60" s="100">
        <f t="shared" si="27"/>
        <v>18</v>
      </c>
      <c r="E60" s="102">
        <f t="shared" si="27"/>
        <v>0</v>
      </c>
      <c r="F60" s="99">
        <f t="shared" si="27"/>
        <v>0</v>
      </c>
      <c r="G60" s="98" t="str">
        <f t="shared" si="27"/>
        <v>ResCACZ3</v>
      </c>
      <c r="H60"/>
      <c r="I60" s="94">
        <f>I56</f>
        <v>0</v>
      </c>
      <c r="J60"/>
      <c r="K60"/>
      <c r="L60"/>
      <c r="M60"/>
      <c r="N60"/>
      <c r="O60"/>
      <c r="P60"/>
      <c r="Q60"/>
      <c r="R60"/>
      <c r="S60"/>
      <c r="T60"/>
      <c r="U60"/>
      <c r="V60"/>
      <c r="W60"/>
      <c r="Z60"/>
      <c r="AA60"/>
      <c r="AB60"/>
      <c r="AC60"/>
      <c r="AD60"/>
    </row>
    <row r="61" spans="1:30" ht="12" customHeight="1">
      <c r="A61" s="98" t="s">
        <v>434</v>
      </c>
      <c r="B61" s="98" t="str">
        <f aca="true" t="shared" si="28" ref="B61:G61">B53</f>
        <v>Post92 Single Family Construction HP Upgrade HSPF 8 - Heating Zone 2</v>
      </c>
      <c r="C61" s="99">
        <f t="shared" si="28"/>
        <v>4062.155898512211</v>
      </c>
      <c r="D61" s="100">
        <f t="shared" si="28"/>
        <v>18</v>
      </c>
      <c r="E61" s="102">
        <f t="shared" si="28"/>
        <v>1040.1566419228243</v>
      </c>
      <c r="F61" s="99">
        <f t="shared" si="28"/>
        <v>0</v>
      </c>
      <c r="G61" s="98" t="str">
        <f t="shared" si="28"/>
        <v>ResSpHtHPZ2</v>
      </c>
      <c r="H61"/>
      <c r="I61" s="94">
        <f>I53</f>
        <v>0</v>
      </c>
      <c r="J61">
        <f>J53</f>
        <v>14</v>
      </c>
      <c r="K61"/>
      <c r="L61"/>
      <c r="M61"/>
      <c r="N61"/>
      <c r="O61"/>
      <c r="P61"/>
      <c r="Q61"/>
      <c r="R61"/>
      <c r="S61"/>
      <c r="T61"/>
      <c r="U61"/>
      <c r="V61"/>
      <c r="W61"/>
      <c r="Z61"/>
      <c r="AA61"/>
      <c r="AB61"/>
      <c r="AC61"/>
      <c r="AD61"/>
    </row>
    <row r="62" spans="1:30" ht="12" customHeight="1">
      <c r="A62" s="98" t="s">
        <v>434</v>
      </c>
      <c r="B62" s="98" t="str">
        <f aca="true" t="shared" si="29" ref="B62:G62">B56</f>
        <v>Post92 Single Family Construction AC Upgrade SEER 13 - Cooling Zone 3</v>
      </c>
      <c r="C62" s="99">
        <f t="shared" si="29"/>
        <v>729.9545374250838</v>
      </c>
      <c r="D62" s="100">
        <f t="shared" si="29"/>
        <v>18</v>
      </c>
      <c r="E62" s="102">
        <f t="shared" si="29"/>
        <v>0</v>
      </c>
      <c r="F62" s="99">
        <f t="shared" si="29"/>
        <v>0</v>
      </c>
      <c r="G62" s="98" t="str">
        <f t="shared" si="29"/>
        <v>ResCACZ3</v>
      </c>
      <c r="H62"/>
      <c r="I62" s="99">
        <f>I56</f>
        <v>0</v>
      </c>
      <c r="J62"/>
      <c r="K62"/>
      <c r="L62"/>
      <c r="M62"/>
      <c r="N62"/>
      <c r="O62"/>
      <c r="P62"/>
      <c r="Q62"/>
      <c r="R62"/>
      <c r="S62"/>
      <c r="T62"/>
      <c r="U62"/>
      <c r="V62"/>
      <c r="W62"/>
      <c r="Z62"/>
      <c r="AA62"/>
      <c r="AB62"/>
      <c r="AC62"/>
      <c r="AD62"/>
    </row>
    <row r="63" spans="1:30" ht="12" customHeight="1">
      <c r="A63" s="98" t="s">
        <v>435</v>
      </c>
      <c r="B63" s="98" t="str">
        <f aca="true" t="shared" si="30" ref="B63:G63">B53</f>
        <v>Post92 Single Family Construction HP Upgrade HSPF 8 - Heating Zone 2</v>
      </c>
      <c r="C63" s="99">
        <f t="shared" si="30"/>
        <v>4062.155898512211</v>
      </c>
      <c r="D63" s="100">
        <f t="shared" si="30"/>
        <v>18</v>
      </c>
      <c r="E63" s="102">
        <f t="shared" si="30"/>
        <v>1040.1566419228243</v>
      </c>
      <c r="F63" s="99">
        <f t="shared" si="30"/>
        <v>0</v>
      </c>
      <c r="G63" s="98" t="str">
        <f t="shared" si="30"/>
        <v>ResSpHtHPZ2</v>
      </c>
      <c r="H63"/>
      <c r="I63" s="94">
        <f>I53</f>
        <v>0</v>
      </c>
      <c r="J63">
        <f>J53</f>
        <v>14</v>
      </c>
      <c r="K63"/>
      <c r="L63"/>
      <c r="M63"/>
      <c r="N63"/>
      <c r="O63"/>
      <c r="P63"/>
      <c r="Q63"/>
      <c r="R63"/>
      <c r="S63"/>
      <c r="T63"/>
      <c r="U63"/>
      <c r="V63"/>
      <c r="W63"/>
      <c r="Z63"/>
      <c r="AA63"/>
      <c r="AB63"/>
      <c r="AC63"/>
      <c r="AD63"/>
    </row>
    <row r="64" spans="1:30" ht="12" customHeight="1">
      <c r="A64" s="98" t="s">
        <v>435</v>
      </c>
      <c r="B64" s="98" t="str">
        <f aca="true" t="shared" si="31" ref="B64:G64">B52</f>
        <v>Post92 Single Family Construction AC Upgrade SEER 13 - Cooling Zone 1</v>
      </c>
      <c r="C64" s="99">
        <f t="shared" si="31"/>
        <v>171.44381029381435</v>
      </c>
      <c r="D64" s="100">
        <f t="shared" si="31"/>
        <v>18</v>
      </c>
      <c r="E64" s="102">
        <f t="shared" si="31"/>
        <v>0</v>
      </c>
      <c r="F64" s="99">
        <f t="shared" si="31"/>
        <v>0</v>
      </c>
      <c r="G64" s="98" t="str">
        <f t="shared" si="31"/>
        <v>ResCACZ1</v>
      </c>
      <c r="H64"/>
      <c r="I64" s="99">
        <f>I52</f>
        <v>0</v>
      </c>
      <c r="J64"/>
      <c r="K64"/>
      <c r="L64"/>
      <c r="M64"/>
      <c r="N64"/>
      <c r="O64"/>
      <c r="P64"/>
      <c r="Q64"/>
      <c r="R64"/>
      <c r="S64"/>
      <c r="T64"/>
      <c r="U64"/>
      <c r="V64"/>
      <c r="W64"/>
      <c r="Z64"/>
      <c r="AA64"/>
      <c r="AB64"/>
      <c r="AC64"/>
      <c r="AD64"/>
    </row>
    <row r="65" spans="1:30" ht="12" customHeight="1">
      <c r="A65" s="98" t="s">
        <v>436</v>
      </c>
      <c r="B65" s="98" t="str">
        <f aca="true" t="shared" si="32" ref="B65:G65">B55</f>
        <v>Post92 Single Family Construction HP Upgrade HSPF 8 - Heating Zone 3</v>
      </c>
      <c r="C65" s="99">
        <f t="shared" si="32"/>
        <v>4906.7500817782475</v>
      </c>
      <c r="D65" s="100">
        <f t="shared" si="32"/>
        <v>18</v>
      </c>
      <c r="E65" s="102">
        <f t="shared" si="32"/>
        <v>1040.1566419228243</v>
      </c>
      <c r="F65" s="99">
        <f t="shared" si="32"/>
        <v>0</v>
      </c>
      <c r="G65" s="98" t="str">
        <f t="shared" si="32"/>
        <v>ResSpHtHPZ3</v>
      </c>
      <c r="H65"/>
      <c r="I65" s="94">
        <f>I55</f>
        <v>0</v>
      </c>
      <c r="J65">
        <f>J55</f>
        <v>14</v>
      </c>
      <c r="K65"/>
      <c r="L65"/>
      <c r="M65"/>
      <c r="N65"/>
      <c r="O65"/>
      <c r="P65"/>
      <c r="Q65"/>
      <c r="R65"/>
      <c r="S65"/>
      <c r="T65"/>
      <c r="U65"/>
      <c r="V65"/>
      <c r="W65"/>
      <c r="Z65"/>
      <c r="AA65"/>
      <c r="AB65"/>
      <c r="AC65"/>
      <c r="AD65"/>
    </row>
    <row r="66" spans="1:30" ht="12" customHeight="1">
      <c r="A66" s="98" t="s">
        <v>436</v>
      </c>
      <c r="B66" s="98" t="str">
        <f aca="true" t="shared" si="33" ref="B66:G66">B52</f>
        <v>Post92 Single Family Construction AC Upgrade SEER 13 - Cooling Zone 1</v>
      </c>
      <c r="C66" s="99">
        <f t="shared" si="33"/>
        <v>171.44381029381435</v>
      </c>
      <c r="D66" s="100">
        <f t="shared" si="33"/>
        <v>18</v>
      </c>
      <c r="E66" s="102">
        <f t="shared" si="33"/>
        <v>0</v>
      </c>
      <c r="F66" s="99">
        <f t="shared" si="33"/>
        <v>0</v>
      </c>
      <c r="G66" s="98" t="str">
        <f t="shared" si="33"/>
        <v>ResCACZ1</v>
      </c>
      <c r="H66"/>
      <c r="I66" s="94">
        <f>I52</f>
        <v>0</v>
      </c>
      <c r="J66"/>
      <c r="K66"/>
      <c r="L66"/>
      <c r="M66"/>
      <c r="N66"/>
      <c r="O66"/>
      <c r="P66"/>
      <c r="Q66"/>
      <c r="R66"/>
      <c r="S66"/>
      <c r="T66"/>
      <c r="U66"/>
      <c r="V66"/>
      <c r="W66"/>
      <c r="Z66"/>
      <c r="AA66"/>
      <c r="AB66"/>
      <c r="AC66"/>
      <c r="AD66"/>
    </row>
    <row r="67" spans="1:30" ht="12" customHeight="1">
      <c r="A67" s="98" t="s">
        <v>437</v>
      </c>
      <c r="B67" s="98" t="str">
        <f aca="true" t="shared" si="34" ref="B67:G67">B55</f>
        <v>Post92 Single Family Construction HP Upgrade HSPF 8 - Heating Zone 3</v>
      </c>
      <c r="C67" s="99">
        <f t="shared" si="34"/>
        <v>4906.7500817782475</v>
      </c>
      <c r="D67" s="100">
        <f t="shared" si="34"/>
        <v>18</v>
      </c>
      <c r="E67" s="102">
        <f t="shared" si="34"/>
        <v>1040.1566419228243</v>
      </c>
      <c r="F67" s="99">
        <f t="shared" si="34"/>
        <v>0</v>
      </c>
      <c r="G67" s="98" t="str">
        <f t="shared" si="34"/>
        <v>ResSpHtHPZ3</v>
      </c>
      <c r="H67"/>
      <c r="I67" s="94">
        <f>I55</f>
        <v>0</v>
      </c>
      <c r="J67">
        <f>J55</f>
        <v>14</v>
      </c>
      <c r="K67"/>
      <c r="L67"/>
      <c r="M67"/>
      <c r="N67"/>
      <c r="O67"/>
      <c r="P67"/>
      <c r="Q67"/>
      <c r="R67"/>
      <c r="S67"/>
      <c r="T67"/>
      <c r="U67"/>
      <c r="V67"/>
      <c r="W67"/>
      <c r="Z67"/>
      <c r="AA67"/>
      <c r="AB67"/>
      <c r="AC67"/>
      <c r="AD67"/>
    </row>
    <row r="68" spans="1:30" ht="12" customHeight="1">
      <c r="A68" s="98" t="s">
        <v>437</v>
      </c>
      <c r="B68" s="98" t="str">
        <f aca="true" t="shared" si="35" ref="B68:G68">B54</f>
        <v>Post92 Single Family Construction AC Upgrade SEER 13 - Cooling Zone 2</v>
      </c>
      <c r="C68" s="99">
        <f t="shared" si="35"/>
        <v>371.4811092936329</v>
      </c>
      <c r="D68" s="100">
        <f t="shared" si="35"/>
        <v>18</v>
      </c>
      <c r="E68" s="102">
        <f t="shared" si="35"/>
        <v>0</v>
      </c>
      <c r="F68" s="99">
        <f t="shared" si="35"/>
        <v>0</v>
      </c>
      <c r="G68" s="98" t="str">
        <f t="shared" si="35"/>
        <v>ResCACZ2</v>
      </c>
      <c r="H68"/>
      <c r="I68" s="99">
        <f>I54</f>
        <v>0</v>
      </c>
      <c r="J68"/>
      <c r="K68"/>
      <c r="L68"/>
      <c r="M68"/>
      <c r="N68"/>
      <c r="O68"/>
      <c r="P68"/>
      <c r="Q68"/>
      <c r="R68"/>
      <c r="S68"/>
      <c r="T68"/>
      <c r="U68"/>
      <c r="V68"/>
      <c r="W68"/>
      <c r="Z68"/>
      <c r="AA68"/>
      <c r="AB68"/>
      <c r="AC68"/>
      <c r="AD68"/>
    </row>
    <row r="69" spans="1:41" ht="12.75" customHeight="1">
      <c r="A69"/>
      <c r="B69"/>
      <c r="C69"/>
      <c r="D69"/>
      <c r="E69"/>
      <c r="F69"/>
      <c r="G69"/>
      <c r="H69"/>
      <c r="I69"/>
      <c r="J69"/>
      <c r="K69"/>
      <c r="L69"/>
      <c r="M69"/>
      <c r="N69"/>
      <c r="O69"/>
      <c r="P69"/>
      <c r="Q69"/>
      <c r="R69"/>
      <c r="S69"/>
      <c r="T69"/>
      <c r="U69"/>
      <c r="V69"/>
      <c r="W69"/>
      <c r="Z69"/>
      <c r="AA69"/>
      <c r="AB69"/>
      <c r="AC69"/>
      <c r="AD69"/>
      <c r="AE69"/>
      <c r="AF69"/>
      <c r="AG69"/>
      <c r="AH69"/>
      <c r="AI69"/>
      <c r="AJ69"/>
      <c r="AK69"/>
      <c r="AL69"/>
      <c r="AM69"/>
      <c r="AN69"/>
      <c r="AO69"/>
    </row>
    <row r="70" spans="1:41" ht="12.75" customHeight="1" thickBot="1">
      <c r="A70"/>
      <c r="B70"/>
      <c r="C70"/>
      <c r="D70"/>
      <c r="E70"/>
      <c r="F70"/>
      <c r="G70"/>
      <c r="H70"/>
      <c r="I70"/>
      <c r="J70"/>
      <c r="K70"/>
      <c r="L70"/>
      <c r="M70"/>
      <c r="N70"/>
      <c r="O70"/>
      <c r="P70"/>
      <c r="Q70"/>
      <c r="R70"/>
      <c r="S70"/>
      <c r="T70"/>
      <c r="U70"/>
      <c r="V70"/>
      <c r="W70"/>
      <c r="Z70"/>
      <c r="AA70"/>
      <c r="AB70"/>
      <c r="AC70"/>
      <c r="AD70"/>
      <c r="AE70"/>
      <c r="AF70"/>
      <c r="AG70"/>
      <c r="AH70"/>
      <c r="AI70"/>
      <c r="AJ70"/>
      <c r="AK70"/>
      <c r="AL70"/>
      <c r="AM70"/>
      <c r="AN70"/>
      <c r="AO70"/>
    </row>
    <row r="71" spans="1:41" ht="12.75" customHeight="1" thickBot="1">
      <c r="A71" s="86" t="s">
        <v>545</v>
      </c>
      <c r="B71" s="50"/>
      <c r="C71" s="50"/>
      <c r="D71" s="51"/>
      <c r="E71"/>
      <c r="F71"/>
      <c r="G71"/>
      <c r="H71"/>
      <c r="I71"/>
      <c r="J71"/>
      <c r="K71"/>
      <c r="L71"/>
      <c r="M71"/>
      <c r="N71"/>
      <c r="O71"/>
      <c r="P71"/>
      <c r="Q71"/>
      <c r="R71"/>
      <c r="S71"/>
      <c r="T71"/>
      <c r="U71"/>
      <c r="V71"/>
      <c r="W71"/>
      <c r="Z71"/>
      <c r="AA71"/>
      <c r="AB71"/>
      <c r="AC71"/>
      <c r="AD71"/>
      <c r="AE71"/>
      <c r="AF71"/>
      <c r="AG71"/>
      <c r="AH71"/>
      <c r="AI71"/>
      <c r="AJ71"/>
      <c r="AK71"/>
      <c r="AL71"/>
      <c r="AM71"/>
      <c r="AN71"/>
      <c r="AO71"/>
    </row>
    <row r="72" spans="1:41" ht="12.75" customHeight="1" thickBot="1">
      <c r="A72" s="52" t="s">
        <v>128</v>
      </c>
      <c r="B72" s="53"/>
      <c r="C72" s="54" t="s">
        <v>78</v>
      </c>
      <c r="D72" s="56"/>
      <c r="E72" s="56"/>
      <c r="F72" s="56"/>
      <c r="G72" s="56"/>
      <c r="H72" s="56"/>
      <c r="I72" s="56"/>
      <c r="J72" s="55"/>
      <c r="K72" s="54" t="s">
        <v>45</v>
      </c>
      <c r="L72" s="56"/>
      <c r="M72" s="55"/>
      <c r="N72" s="54" t="s">
        <v>46</v>
      </c>
      <c r="O72" s="56"/>
      <c r="P72" s="56"/>
      <c r="Q72" s="55"/>
      <c r="R72" s="54" t="s">
        <v>47</v>
      </c>
      <c r="S72" s="55"/>
      <c r="T72" s="54" t="s">
        <v>48</v>
      </c>
      <c r="U72" s="56"/>
      <c r="V72" s="56"/>
      <c r="W72" s="56"/>
      <c r="X72" s="55"/>
      <c r="Y72" s="54" t="s">
        <v>49</v>
      </c>
      <c r="Z72" s="56"/>
      <c r="AA72" s="56"/>
      <c r="AB72" s="56"/>
      <c r="AC72" s="55"/>
      <c r="AD72" s="54" t="s">
        <v>79</v>
      </c>
      <c r="AE72" s="56"/>
      <c r="AF72" s="56"/>
      <c r="AG72" s="56"/>
      <c r="AH72" s="56"/>
      <c r="AI72" s="55"/>
      <c r="AJ72" s="54" t="s">
        <v>80</v>
      </c>
      <c r="AK72" s="56"/>
      <c r="AL72" s="56"/>
      <c r="AM72" s="56"/>
      <c r="AN72" s="56"/>
      <c r="AO72" s="55"/>
    </row>
    <row r="73" spans="1:41" ht="51">
      <c r="A73" s="57" t="s">
        <v>51</v>
      </c>
      <c r="B73" s="58" t="s">
        <v>52</v>
      </c>
      <c r="C73" s="59" t="s">
        <v>81</v>
      </c>
      <c r="D73" s="59" t="s">
        <v>82</v>
      </c>
      <c r="E73" s="59" t="s">
        <v>83</v>
      </c>
      <c r="F73" s="59" t="s">
        <v>84</v>
      </c>
      <c r="G73" s="59" t="s">
        <v>147</v>
      </c>
      <c r="H73" s="59" t="s">
        <v>86</v>
      </c>
      <c r="I73" s="59" t="s">
        <v>87</v>
      </c>
      <c r="J73" s="59" t="s">
        <v>88</v>
      </c>
      <c r="K73" s="59" t="s">
        <v>89</v>
      </c>
      <c r="L73" s="59" t="s">
        <v>90</v>
      </c>
      <c r="M73" s="59" t="s">
        <v>91</v>
      </c>
      <c r="N73" s="59" t="s">
        <v>20</v>
      </c>
      <c r="O73" s="59" t="s">
        <v>21</v>
      </c>
      <c r="P73" s="59" t="s">
        <v>22</v>
      </c>
      <c r="Q73" s="59" t="s">
        <v>4</v>
      </c>
      <c r="R73" s="59" t="s">
        <v>53</v>
      </c>
      <c r="S73" s="59" t="s">
        <v>4</v>
      </c>
      <c r="T73" s="59" t="s">
        <v>20</v>
      </c>
      <c r="U73" s="59" t="s">
        <v>21</v>
      </c>
      <c r="V73" s="59" t="s">
        <v>22</v>
      </c>
      <c r="W73" s="59" t="s">
        <v>4</v>
      </c>
      <c r="X73" s="59" t="s">
        <v>57</v>
      </c>
      <c r="Y73" s="59" t="s">
        <v>20</v>
      </c>
      <c r="Z73" s="59" t="s">
        <v>21</v>
      </c>
      <c r="AA73" s="59" t="s">
        <v>22</v>
      </c>
      <c r="AB73" s="59" t="s">
        <v>4</v>
      </c>
      <c r="AC73" s="59" t="s">
        <v>57</v>
      </c>
      <c r="AD73" s="59" t="s">
        <v>92</v>
      </c>
      <c r="AE73" s="59" t="s">
        <v>93</v>
      </c>
      <c r="AF73" s="59" t="s">
        <v>56</v>
      </c>
      <c r="AG73" s="59" t="s">
        <v>94</v>
      </c>
      <c r="AH73" s="59" t="s">
        <v>95</v>
      </c>
      <c r="AI73" s="59" t="s">
        <v>96</v>
      </c>
      <c r="AJ73" s="59" t="s">
        <v>97</v>
      </c>
      <c r="AK73" s="59" t="s">
        <v>54</v>
      </c>
      <c r="AL73" s="59" t="s">
        <v>55</v>
      </c>
      <c r="AM73" s="59" t="s">
        <v>98</v>
      </c>
      <c r="AN73" s="59" t="s">
        <v>99</v>
      </c>
      <c r="AO73" s="59" t="s">
        <v>100</v>
      </c>
    </row>
    <row r="74" spans="1:41" ht="12.75" customHeight="1">
      <c r="A74" t="s">
        <v>438</v>
      </c>
      <c r="B74" t="s">
        <v>439</v>
      </c>
      <c r="C74" s="49">
        <v>18</v>
      </c>
      <c r="D74" s="49">
        <v>129.48650115804594</v>
      </c>
      <c r="E74" s="49">
        <v>960.65</v>
      </c>
      <c r="F74" s="49">
        <v>0</v>
      </c>
      <c r="G74" s="49">
        <v>0</v>
      </c>
      <c r="H74" s="49" t="s">
        <v>180</v>
      </c>
      <c r="I74" s="49">
        <v>0.17</v>
      </c>
      <c r="J74" s="49">
        <v>0</v>
      </c>
      <c r="K74" s="49">
        <v>139.35984687134692</v>
      </c>
      <c r="L74" s="60">
        <v>0</v>
      </c>
      <c r="M74" s="49">
        <v>0.09358034305086417</v>
      </c>
      <c r="N74" s="49"/>
      <c r="O74" s="49"/>
      <c r="P74" s="49">
        <v>960.6473049846117</v>
      </c>
      <c r="Q74" s="49">
        <v>0</v>
      </c>
      <c r="R74" s="49">
        <v>0</v>
      </c>
      <c r="S74" s="49">
        <v>0</v>
      </c>
      <c r="T74" s="49">
        <v>0</v>
      </c>
      <c r="U74" s="49">
        <v>0</v>
      </c>
      <c r="V74" s="49">
        <v>960.6473049846117</v>
      </c>
      <c r="W74" s="49">
        <v>0</v>
      </c>
      <c r="X74" s="49">
        <v>960.6473049846117</v>
      </c>
      <c r="Y74" s="49">
        <v>0</v>
      </c>
      <c r="Z74" s="49">
        <v>0</v>
      </c>
      <c r="AA74" s="49">
        <v>578.2324829101562</v>
      </c>
      <c r="AB74" s="49">
        <v>0</v>
      </c>
      <c r="AC74" s="49">
        <v>578.2324563713593</v>
      </c>
      <c r="AD74" s="49">
        <v>80.7972122198653</v>
      </c>
      <c r="AE74" s="49">
        <v>0</v>
      </c>
      <c r="AF74" s="49">
        <v>10.209744453430176</v>
      </c>
      <c r="AG74" s="49">
        <v>91.00695667329548</v>
      </c>
      <c r="AH74" s="49">
        <v>960.6473049846117</v>
      </c>
      <c r="AI74" s="69">
        <v>0.09473503563803085</v>
      </c>
      <c r="AJ74" s="49">
        <v>22.311996459960938</v>
      </c>
      <c r="AK74" s="49">
        <v>0</v>
      </c>
      <c r="AL74" s="49">
        <v>0</v>
      </c>
      <c r="AM74" s="49">
        <v>113.31895446777344</v>
      </c>
      <c r="AN74" s="49">
        <v>960.6473049846117</v>
      </c>
      <c r="AO74" s="69">
        <v>0.11796104162931442</v>
      </c>
    </row>
    <row r="75" spans="1:41" ht="12.75" customHeight="1">
      <c r="A75" t="s">
        <v>403</v>
      </c>
      <c r="B75" t="s">
        <v>440</v>
      </c>
      <c r="C75" s="49">
        <v>18</v>
      </c>
      <c r="D75" s="49">
        <v>304.1820370741467</v>
      </c>
      <c r="E75" s="49">
        <v>960.65</v>
      </c>
      <c r="F75" s="49">
        <v>0</v>
      </c>
      <c r="G75" s="49">
        <v>0</v>
      </c>
      <c r="H75" s="49" t="s">
        <v>181</v>
      </c>
      <c r="I75" s="49">
        <v>0.17</v>
      </c>
      <c r="J75" s="49">
        <v>0</v>
      </c>
      <c r="K75" s="49">
        <v>327.3759174010504</v>
      </c>
      <c r="L75" s="60">
        <v>0</v>
      </c>
      <c r="M75" s="49">
        <v>0.2198334121683121</v>
      </c>
      <c r="N75" s="49"/>
      <c r="O75" s="49"/>
      <c r="P75" s="49">
        <v>960.6473049846117</v>
      </c>
      <c r="Q75" s="49">
        <v>0</v>
      </c>
      <c r="R75" s="49">
        <v>0</v>
      </c>
      <c r="S75" s="49">
        <v>0</v>
      </c>
      <c r="T75" s="49">
        <v>0</v>
      </c>
      <c r="U75" s="49">
        <v>0</v>
      </c>
      <c r="V75" s="49">
        <v>960.6473049846117</v>
      </c>
      <c r="W75" s="49">
        <v>0</v>
      </c>
      <c r="X75" s="49">
        <v>960.6473049846117</v>
      </c>
      <c r="Y75" s="49">
        <v>0</v>
      </c>
      <c r="Z75" s="49">
        <v>0</v>
      </c>
      <c r="AA75" s="49">
        <v>246.14634704589844</v>
      </c>
      <c r="AB75" s="49">
        <v>0</v>
      </c>
      <c r="AC75" s="49">
        <v>246.1463482582267</v>
      </c>
      <c r="AD75" s="49">
        <v>198.6759585636736</v>
      </c>
      <c r="AE75" s="49">
        <v>0</v>
      </c>
      <c r="AF75" s="49">
        <v>24.871320724487305</v>
      </c>
      <c r="AG75" s="49">
        <v>223.5472792881609</v>
      </c>
      <c r="AH75" s="49">
        <v>960.6473049846117</v>
      </c>
      <c r="AI75" s="69">
        <v>0.23270484196251592</v>
      </c>
      <c r="AJ75" s="49">
        <v>52.41402053833008</v>
      </c>
      <c r="AK75" s="49">
        <v>0</v>
      </c>
      <c r="AL75" s="49">
        <v>0</v>
      </c>
      <c r="AM75" s="49">
        <v>275.9613037109375</v>
      </c>
      <c r="AN75" s="49">
        <v>960.6473049846117</v>
      </c>
      <c r="AO75" s="69">
        <v>0.28726598620414734</v>
      </c>
    </row>
    <row r="76" spans="1:41" ht="12.75" customHeight="1">
      <c r="A76" t="s">
        <v>404</v>
      </c>
      <c r="B76" t="s">
        <v>441</v>
      </c>
      <c r="C76" s="49">
        <v>18</v>
      </c>
      <c r="D76" s="49">
        <v>626.4943726201489</v>
      </c>
      <c r="E76" s="49">
        <v>960.65</v>
      </c>
      <c r="F76" s="49">
        <v>0</v>
      </c>
      <c r="G76" s="49">
        <v>0</v>
      </c>
      <c r="H76" s="49" t="s">
        <v>182</v>
      </c>
      <c r="I76" s="49">
        <v>0.17</v>
      </c>
      <c r="J76" s="49">
        <v>0</v>
      </c>
      <c r="K76" s="49">
        <v>674.2645685324352</v>
      </c>
      <c r="L76" s="60">
        <v>0</v>
      </c>
      <c r="M76" s="49">
        <v>0.45276965386276874</v>
      </c>
      <c r="N76" s="49"/>
      <c r="O76" s="49"/>
      <c r="P76" s="49">
        <v>960.6473049846117</v>
      </c>
      <c r="Q76" s="49">
        <v>0</v>
      </c>
      <c r="R76" s="49">
        <v>0</v>
      </c>
      <c r="S76" s="49">
        <v>0</v>
      </c>
      <c r="T76" s="49">
        <v>0</v>
      </c>
      <c r="U76" s="49">
        <v>0</v>
      </c>
      <c r="V76" s="49">
        <v>960.6473049846117</v>
      </c>
      <c r="W76" s="49">
        <v>0</v>
      </c>
      <c r="X76" s="49">
        <v>960.6473049846117</v>
      </c>
      <c r="Y76" s="49">
        <v>0</v>
      </c>
      <c r="Z76" s="49">
        <v>0</v>
      </c>
      <c r="AA76" s="49">
        <v>119.51152801513672</v>
      </c>
      <c r="AB76" s="49">
        <v>0</v>
      </c>
      <c r="AC76" s="49">
        <v>119.51152461020801</v>
      </c>
      <c r="AD76" s="49">
        <v>460.46405256399834</v>
      </c>
      <c r="AE76" s="49">
        <v>0</v>
      </c>
      <c r="AF76" s="49">
        <v>56.35209655761719</v>
      </c>
      <c r="AG76" s="49">
        <v>516.8161491216156</v>
      </c>
      <c r="AH76" s="49">
        <v>960.6473049846117</v>
      </c>
      <c r="AI76" s="69">
        <v>0.5379874033268581</v>
      </c>
      <c r="AJ76" s="49">
        <v>107.95210266113281</v>
      </c>
      <c r="AK76" s="49">
        <v>0</v>
      </c>
      <c r="AL76" s="49">
        <v>0</v>
      </c>
      <c r="AM76" s="49">
        <v>624.7682495117188</v>
      </c>
      <c r="AN76" s="49">
        <v>960.6473049846117</v>
      </c>
      <c r="AO76" s="69">
        <v>0.6503617167472839</v>
      </c>
    </row>
    <row r="77" spans="1:41" ht="12.75" customHeight="1">
      <c r="A77" t="s">
        <v>405</v>
      </c>
      <c r="B77" t="s">
        <v>442</v>
      </c>
      <c r="C77" s="49">
        <v>18</v>
      </c>
      <c r="D77" s="49">
        <v>254.8510282004761</v>
      </c>
      <c r="E77" s="49">
        <v>960.65</v>
      </c>
      <c r="F77" s="49">
        <v>0</v>
      </c>
      <c r="G77" s="49">
        <v>0</v>
      </c>
      <c r="H77" s="49" t="s">
        <v>180</v>
      </c>
      <c r="I77" s="49">
        <v>0.17</v>
      </c>
      <c r="J77" s="49">
        <v>0</v>
      </c>
      <c r="K77" s="49">
        <v>274.2834191007624</v>
      </c>
      <c r="L77" s="60">
        <v>0</v>
      </c>
      <c r="M77" s="49">
        <v>0.1841817211259484</v>
      </c>
      <c r="N77" s="49"/>
      <c r="O77" s="49"/>
      <c r="P77" s="49">
        <v>960.6473049846117</v>
      </c>
      <c r="Q77" s="49">
        <v>0</v>
      </c>
      <c r="R77" s="49">
        <v>0</v>
      </c>
      <c r="S77" s="49">
        <v>0</v>
      </c>
      <c r="T77" s="49">
        <v>0</v>
      </c>
      <c r="U77" s="49">
        <v>0</v>
      </c>
      <c r="V77" s="49">
        <v>960.6473049846117</v>
      </c>
      <c r="W77" s="49">
        <v>0</v>
      </c>
      <c r="X77" s="49">
        <v>960.6473049846117</v>
      </c>
      <c r="Y77" s="49">
        <v>0</v>
      </c>
      <c r="Z77" s="49">
        <v>0</v>
      </c>
      <c r="AA77" s="49">
        <v>293.79241943359375</v>
      </c>
      <c r="AB77" s="49">
        <v>0</v>
      </c>
      <c r="AC77" s="49">
        <v>293.7924094724522</v>
      </c>
      <c r="AD77" s="49">
        <v>159.02238786135644</v>
      </c>
      <c r="AE77" s="49">
        <v>0</v>
      </c>
      <c r="AF77" s="49">
        <v>20.094480514526367</v>
      </c>
      <c r="AG77" s="49">
        <v>179.1168683758828</v>
      </c>
      <c r="AH77" s="49">
        <v>960.6473049846117</v>
      </c>
      <c r="AI77" s="69">
        <v>0.186454349527116</v>
      </c>
      <c r="AJ77" s="49">
        <v>43.91373062133789</v>
      </c>
      <c r="AK77" s="49">
        <v>0</v>
      </c>
      <c r="AL77" s="49">
        <v>0</v>
      </c>
      <c r="AM77" s="49">
        <v>223.0305938720703</v>
      </c>
      <c r="AN77" s="49">
        <v>960.6473049846117</v>
      </c>
      <c r="AO77" s="69">
        <v>0.23216699063777924</v>
      </c>
    </row>
    <row r="78" spans="1:41" ht="12.75" customHeight="1">
      <c r="A78" t="s">
        <v>406</v>
      </c>
      <c r="B78" t="s">
        <v>443</v>
      </c>
      <c r="C78" s="49">
        <v>18</v>
      </c>
      <c r="D78" s="49">
        <v>534.6744782669505</v>
      </c>
      <c r="E78" s="49">
        <v>960.65</v>
      </c>
      <c r="F78" s="49">
        <v>0</v>
      </c>
      <c r="G78" s="49">
        <v>0</v>
      </c>
      <c r="H78" s="49" t="s">
        <v>181</v>
      </c>
      <c r="I78" s="49">
        <v>0.17</v>
      </c>
      <c r="J78" s="49">
        <v>0</v>
      </c>
      <c r="K78" s="49">
        <v>575.4434072348055</v>
      </c>
      <c r="L78" s="60">
        <v>0</v>
      </c>
      <c r="M78" s="49">
        <v>0.38641109806258755</v>
      </c>
      <c r="N78" s="49"/>
      <c r="O78" s="49"/>
      <c r="P78" s="49">
        <v>960.6473049846117</v>
      </c>
      <c r="Q78" s="49">
        <v>0</v>
      </c>
      <c r="R78" s="49">
        <v>0</v>
      </c>
      <c r="S78" s="49">
        <v>0</v>
      </c>
      <c r="T78" s="49">
        <v>0</v>
      </c>
      <c r="U78" s="49">
        <v>0</v>
      </c>
      <c r="V78" s="49">
        <v>960.6473049846117</v>
      </c>
      <c r="W78" s="49">
        <v>0</v>
      </c>
      <c r="X78" s="49">
        <v>960.6473049846117</v>
      </c>
      <c r="Y78" s="49">
        <v>0</v>
      </c>
      <c r="Z78" s="49">
        <v>0</v>
      </c>
      <c r="AA78" s="49">
        <v>140.03529357910156</v>
      </c>
      <c r="AB78" s="49">
        <v>0</v>
      </c>
      <c r="AC78" s="49">
        <v>140.0352937627355</v>
      </c>
      <c r="AD78" s="49">
        <v>349.2216881410545</v>
      </c>
      <c r="AE78" s="49">
        <v>0</v>
      </c>
      <c r="AF78" s="49">
        <v>43.71744155883789</v>
      </c>
      <c r="AG78" s="49">
        <v>392.9391296998924</v>
      </c>
      <c r="AH78" s="49">
        <v>960.6473049846117</v>
      </c>
      <c r="AI78" s="69">
        <v>0.40903579041028676</v>
      </c>
      <c r="AJ78" s="49">
        <v>92.13050079345703</v>
      </c>
      <c r="AK78" s="49">
        <v>0</v>
      </c>
      <c r="AL78" s="49">
        <v>0</v>
      </c>
      <c r="AM78" s="49">
        <v>485.06964111328125</v>
      </c>
      <c r="AN78" s="49">
        <v>960.6473049846117</v>
      </c>
      <c r="AO78" s="69">
        <v>0.504940390586853</v>
      </c>
    </row>
    <row r="79" spans="1:41" ht="12.75" customHeight="1">
      <c r="A79" t="s">
        <v>407</v>
      </c>
      <c r="B79" t="s">
        <v>444</v>
      </c>
      <c r="C79" s="49">
        <v>18</v>
      </c>
      <c r="D79" s="49">
        <v>1030.8741567717698</v>
      </c>
      <c r="E79" s="49">
        <v>960.65</v>
      </c>
      <c r="F79" s="49">
        <v>0</v>
      </c>
      <c r="G79" s="49">
        <v>0</v>
      </c>
      <c r="H79" s="49" t="s">
        <v>182</v>
      </c>
      <c r="I79" s="49">
        <v>0.17</v>
      </c>
      <c r="J79" s="49">
        <v>0</v>
      </c>
      <c r="K79" s="49">
        <v>1109.478311225617</v>
      </c>
      <c r="L79" s="60">
        <v>0</v>
      </c>
      <c r="M79" s="49">
        <v>0.7450163250239169</v>
      </c>
      <c r="N79" s="49"/>
      <c r="O79" s="49"/>
      <c r="P79" s="49">
        <v>960.6473049846117</v>
      </c>
      <c r="Q79" s="49">
        <v>0</v>
      </c>
      <c r="R79" s="49">
        <v>0</v>
      </c>
      <c r="S79" s="49">
        <v>0</v>
      </c>
      <c r="T79" s="49">
        <v>0</v>
      </c>
      <c r="U79" s="49">
        <v>0</v>
      </c>
      <c r="V79" s="49">
        <v>960.6473049846117</v>
      </c>
      <c r="W79" s="49">
        <v>0</v>
      </c>
      <c r="X79" s="49">
        <v>960.6473049846117</v>
      </c>
      <c r="Y79" s="49">
        <v>0</v>
      </c>
      <c r="Z79" s="49">
        <v>0</v>
      </c>
      <c r="AA79" s="49">
        <v>72.6308822631836</v>
      </c>
      <c r="AB79" s="49">
        <v>0</v>
      </c>
      <c r="AC79" s="49">
        <v>72.63088044230244</v>
      </c>
      <c r="AD79" s="49">
        <v>757.6771837955959</v>
      </c>
      <c r="AE79" s="49">
        <v>0</v>
      </c>
      <c r="AF79" s="49">
        <v>92.7253646850586</v>
      </c>
      <c r="AG79" s="49">
        <v>850.4025484806544</v>
      </c>
      <c r="AH79" s="49">
        <v>960.6473049846117</v>
      </c>
      <c r="AI79" s="69">
        <v>0.8852390925036497</v>
      </c>
      <c r="AJ79" s="49">
        <v>177.63133239746094</v>
      </c>
      <c r="AK79" s="49">
        <v>0</v>
      </c>
      <c r="AL79" s="49">
        <v>0</v>
      </c>
      <c r="AM79" s="49">
        <v>1028.033935546875</v>
      </c>
      <c r="AN79" s="49">
        <v>960.6473049846117</v>
      </c>
      <c r="AO79" s="48">
        <v>1.070147156715393</v>
      </c>
    </row>
    <row r="80" spans="1:41" ht="12.75" customHeight="1">
      <c r="A80" t="s">
        <v>408</v>
      </c>
      <c r="B80" t="s">
        <v>445</v>
      </c>
      <c r="C80" s="49">
        <v>18</v>
      </c>
      <c r="D80" s="49">
        <v>171.44381029381435</v>
      </c>
      <c r="E80" s="49">
        <v>960.65</v>
      </c>
      <c r="F80" s="49">
        <v>0</v>
      </c>
      <c r="G80" s="49">
        <v>0</v>
      </c>
      <c r="H80" s="49" t="s">
        <v>180</v>
      </c>
      <c r="I80" s="49">
        <v>0.17</v>
      </c>
      <c r="J80" s="49">
        <v>0</v>
      </c>
      <c r="K80" s="49">
        <v>184.5164008287177</v>
      </c>
      <c r="L80" s="60">
        <v>0</v>
      </c>
      <c r="M80" s="49">
        <v>0.12390303574316257</v>
      </c>
      <c r="N80" s="49"/>
      <c r="O80" s="49"/>
      <c r="P80" s="49">
        <v>960.6473049846117</v>
      </c>
      <c r="Q80" s="49">
        <v>0</v>
      </c>
      <c r="R80" s="49">
        <v>0</v>
      </c>
      <c r="S80" s="49">
        <v>0</v>
      </c>
      <c r="T80" s="49">
        <v>0</v>
      </c>
      <c r="U80" s="49">
        <v>0</v>
      </c>
      <c r="V80" s="49">
        <v>960.6473049846117</v>
      </c>
      <c r="W80" s="49">
        <v>0</v>
      </c>
      <c r="X80" s="49">
        <v>960.6473049846117</v>
      </c>
      <c r="Y80" s="49">
        <v>0</v>
      </c>
      <c r="Z80" s="49">
        <v>0</v>
      </c>
      <c r="AA80" s="49">
        <v>436.7220764160156</v>
      </c>
      <c r="AB80" s="49">
        <v>0</v>
      </c>
      <c r="AC80" s="49">
        <v>436.72208114853794</v>
      </c>
      <c r="AD80" s="49">
        <v>106.97780695444264</v>
      </c>
      <c r="AE80" s="49">
        <v>0</v>
      </c>
      <c r="AF80" s="49">
        <v>13.517992973327637</v>
      </c>
      <c r="AG80" s="49">
        <v>120.49579992777028</v>
      </c>
      <c r="AH80" s="49">
        <v>960.6473049846117</v>
      </c>
      <c r="AI80" s="69">
        <v>0.12543188254684218</v>
      </c>
      <c r="AJ80" s="49">
        <v>29.54172134399414</v>
      </c>
      <c r="AK80" s="49">
        <v>0</v>
      </c>
      <c r="AL80" s="49">
        <v>0</v>
      </c>
      <c r="AM80" s="49">
        <v>150.0375213623047</v>
      </c>
      <c r="AN80" s="49">
        <v>960.6473049846117</v>
      </c>
      <c r="AO80" s="69">
        <v>0.15618377923965454</v>
      </c>
    </row>
    <row r="81" spans="1:41" ht="12.75" customHeight="1">
      <c r="A81" t="s">
        <v>409</v>
      </c>
      <c r="B81" t="s">
        <v>446</v>
      </c>
      <c r="C81" s="49">
        <v>18</v>
      </c>
      <c r="D81" s="49">
        <v>371.4811092936329</v>
      </c>
      <c r="E81" s="49">
        <v>960.65</v>
      </c>
      <c r="F81" s="49">
        <v>0</v>
      </c>
      <c r="G81" s="49">
        <v>0</v>
      </c>
      <c r="H81" s="49" t="s">
        <v>181</v>
      </c>
      <c r="I81" s="49">
        <v>0.17</v>
      </c>
      <c r="J81" s="49">
        <v>0</v>
      </c>
      <c r="K81" s="49">
        <v>399.8065438772724</v>
      </c>
      <c r="L81" s="60">
        <v>0</v>
      </c>
      <c r="M81" s="49">
        <v>0.2684706848490951</v>
      </c>
      <c r="N81" s="49"/>
      <c r="O81" s="49"/>
      <c r="P81" s="49">
        <v>960.6473049846117</v>
      </c>
      <c r="Q81" s="49">
        <v>0</v>
      </c>
      <c r="R81" s="49">
        <v>0</v>
      </c>
      <c r="S81" s="49">
        <v>0</v>
      </c>
      <c r="T81" s="49">
        <v>0</v>
      </c>
      <c r="U81" s="49">
        <v>0</v>
      </c>
      <c r="V81" s="49">
        <v>960.6473049846117</v>
      </c>
      <c r="W81" s="49">
        <v>0</v>
      </c>
      <c r="X81" s="49">
        <v>960.6473049846117</v>
      </c>
      <c r="Y81" s="49">
        <v>0</v>
      </c>
      <c r="Z81" s="49">
        <v>0</v>
      </c>
      <c r="AA81" s="49">
        <v>201.55345153808594</v>
      </c>
      <c r="AB81" s="49">
        <v>0</v>
      </c>
      <c r="AC81" s="49">
        <v>201.55344581026063</v>
      </c>
      <c r="AD81" s="49">
        <v>242.63222834298682</v>
      </c>
      <c r="AE81" s="49">
        <v>0</v>
      </c>
      <c r="AF81" s="49">
        <v>30.37400245666504</v>
      </c>
      <c r="AG81" s="49">
        <v>273.00623079965186</v>
      </c>
      <c r="AH81" s="49">
        <v>960.6473049846117</v>
      </c>
      <c r="AI81" s="69">
        <v>0.2841898680015816</v>
      </c>
      <c r="AJ81" s="49">
        <v>64.01042175292969</v>
      </c>
      <c r="AK81" s="49">
        <v>0</v>
      </c>
      <c r="AL81" s="49">
        <v>0</v>
      </c>
      <c r="AM81" s="49">
        <v>337.01666259765625</v>
      </c>
      <c r="AN81" s="49">
        <v>960.6473049846117</v>
      </c>
      <c r="AO81" s="69">
        <v>0.35082247853279114</v>
      </c>
    </row>
    <row r="82" spans="1:41" ht="12.75" customHeight="1">
      <c r="A82" t="s">
        <v>410</v>
      </c>
      <c r="B82" t="s">
        <v>447</v>
      </c>
      <c r="C82" s="49">
        <v>18</v>
      </c>
      <c r="D82" s="49">
        <v>729.9545374250838</v>
      </c>
      <c r="E82" s="49">
        <v>960.65</v>
      </c>
      <c r="F82" s="49">
        <v>0</v>
      </c>
      <c r="G82" s="49">
        <v>0</v>
      </c>
      <c r="H82" s="49" t="s">
        <v>182</v>
      </c>
      <c r="I82" s="49">
        <v>0.17</v>
      </c>
      <c r="J82" s="49">
        <v>0</v>
      </c>
      <c r="K82" s="49">
        <v>785.6135709037464</v>
      </c>
      <c r="L82" s="60">
        <v>0</v>
      </c>
      <c r="M82" s="49">
        <v>0.5275406734513473</v>
      </c>
      <c r="N82" s="49"/>
      <c r="O82" s="49"/>
      <c r="P82" s="49">
        <v>960.6473049846117</v>
      </c>
      <c r="Q82" s="49">
        <v>0</v>
      </c>
      <c r="R82" s="49">
        <v>0</v>
      </c>
      <c r="S82" s="49">
        <v>0</v>
      </c>
      <c r="T82" s="49">
        <v>0</v>
      </c>
      <c r="U82" s="49">
        <v>0</v>
      </c>
      <c r="V82" s="49">
        <v>960.6473049846117</v>
      </c>
      <c r="W82" s="49">
        <v>0</v>
      </c>
      <c r="X82" s="49">
        <v>960.6473049846117</v>
      </c>
      <c r="Y82" s="49">
        <v>0</v>
      </c>
      <c r="Z82" s="49">
        <v>0</v>
      </c>
      <c r="AA82" s="49">
        <v>102.57254791259766</v>
      </c>
      <c r="AB82" s="49">
        <v>0</v>
      </c>
      <c r="AC82" s="49">
        <v>102.57254910102411</v>
      </c>
      <c r="AD82" s="49">
        <v>536.5057360124529</v>
      </c>
      <c r="AE82" s="49">
        <v>0</v>
      </c>
      <c r="AF82" s="49">
        <v>65.65815734863281</v>
      </c>
      <c r="AG82" s="49">
        <v>602.1638933610857</v>
      </c>
      <c r="AH82" s="49">
        <v>960.6473049846117</v>
      </c>
      <c r="AI82" s="69">
        <v>0.626831398200541</v>
      </c>
      <c r="AJ82" s="49">
        <v>125.77947998046875</v>
      </c>
      <c r="AK82" s="49">
        <v>0</v>
      </c>
      <c r="AL82" s="49">
        <v>0</v>
      </c>
      <c r="AM82" s="49">
        <v>727.943359375</v>
      </c>
      <c r="AN82" s="49">
        <v>960.6473049846117</v>
      </c>
      <c r="AO82" s="69">
        <v>0.7577633857727051</v>
      </c>
    </row>
    <row r="83" spans="1:41" ht="12.75" customHeight="1">
      <c r="A83" t="s">
        <v>411</v>
      </c>
      <c r="B83" t="s">
        <v>448</v>
      </c>
      <c r="C83" s="49">
        <v>18</v>
      </c>
      <c r="D83" s="49">
        <v>2868.925672498297</v>
      </c>
      <c r="E83" s="49">
        <v>1040.16</v>
      </c>
      <c r="F83" s="49">
        <v>0</v>
      </c>
      <c r="G83" s="49">
        <v>0</v>
      </c>
      <c r="H83" s="49" t="s">
        <v>183</v>
      </c>
      <c r="I83" s="49">
        <v>0.158</v>
      </c>
      <c r="J83" s="49">
        <v>0.35499998927116394</v>
      </c>
      <c r="K83" s="49">
        <v>3087.681255026292</v>
      </c>
      <c r="L83" s="60">
        <v>0.7919533642615366</v>
      </c>
      <c r="M83" s="49">
        <v>2.230854614636648</v>
      </c>
      <c r="N83" s="49"/>
      <c r="O83" s="49"/>
      <c r="P83" s="49">
        <v>1040.1568219504923</v>
      </c>
      <c r="Q83" s="49">
        <v>0</v>
      </c>
      <c r="R83" s="49">
        <v>0</v>
      </c>
      <c r="S83" s="49">
        <v>0</v>
      </c>
      <c r="T83" s="49">
        <v>0</v>
      </c>
      <c r="U83" s="49">
        <v>0</v>
      </c>
      <c r="V83" s="49">
        <v>1040.1568219504923</v>
      </c>
      <c r="W83" s="49">
        <v>0</v>
      </c>
      <c r="X83" s="49">
        <v>1040.1568219504923</v>
      </c>
      <c r="Y83" s="49">
        <v>0</v>
      </c>
      <c r="Z83" s="49">
        <v>0</v>
      </c>
      <c r="AA83" s="49">
        <v>28.258071899414062</v>
      </c>
      <c r="AB83" s="49">
        <v>0</v>
      </c>
      <c r="AC83" s="49">
        <v>28.258071350990352</v>
      </c>
      <c r="AD83" s="49">
        <v>1017.1162380604037</v>
      </c>
      <c r="AE83" s="49">
        <v>28.3233559164639</v>
      </c>
      <c r="AF83" s="49">
        <v>155.1929931640625</v>
      </c>
      <c r="AG83" s="49">
        <v>1199.3482341167505</v>
      </c>
      <c r="AH83" s="49">
        <v>1040.1568219504923</v>
      </c>
      <c r="AI83" s="48">
        <v>1.1530455877487242</v>
      </c>
      <c r="AJ83" s="49">
        <v>531.89404296875</v>
      </c>
      <c r="AK83" s="49">
        <v>0</v>
      </c>
      <c r="AL83" s="49">
        <v>0</v>
      </c>
      <c r="AM83" s="49">
        <v>1731.2423095703125</v>
      </c>
      <c r="AN83" s="49">
        <v>1040.1568219504923</v>
      </c>
      <c r="AO83" s="48">
        <v>1.664405107498169</v>
      </c>
    </row>
    <row r="84" spans="1:41" ht="12.75" customHeight="1">
      <c r="A84" t="s">
        <v>411</v>
      </c>
      <c r="B84" t="s">
        <v>449</v>
      </c>
      <c r="C84" s="49">
        <v>18</v>
      </c>
      <c r="D84" s="49">
        <v>129.48650115804594</v>
      </c>
      <c r="E84" s="49"/>
      <c r="F84" s="49">
        <v>0</v>
      </c>
      <c r="G84" s="49">
        <v>0</v>
      </c>
      <c r="H84" s="49" t="s">
        <v>180</v>
      </c>
      <c r="I84" s="49">
        <v>0.17</v>
      </c>
      <c r="J84" s="49">
        <v>0</v>
      </c>
      <c r="K84" s="49">
        <v>139.35984687134692</v>
      </c>
      <c r="L84" s="60">
        <v>0</v>
      </c>
      <c r="M84" s="49">
        <v>0.09358034305086417</v>
      </c>
      <c r="N84" s="49"/>
      <c r="O84" s="49"/>
      <c r="P84" s="49">
        <v>0</v>
      </c>
      <c r="Q84" s="49">
        <v>0</v>
      </c>
      <c r="R84" s="49">
        <v>0</v>
      </c>
      <c r="S84" s="49">
        <v>0</v>
      </c>
      <c r="T84" s="49">
        <v>0</v>
      </c>
      <c r="U84" s="49">
        <v>0</v>
      </c>
      <c r="V84" s="49">
        <v>0</v>
      </c>
      <c r="W84" s="49">
        <v>0</v>
      </c>
      <c r="X84" s="49">
        <v>0</v>
      </c>
      <c r="Y84" s="49">
        <v>0</v>
      </c>
      <c r="Z84" s="49">
        <v>0</v>
      </c>
      <c r="AA84" s="49">
        <v>0</v>
      </c>
      <c r="AB84" s="49">
        <v>0</v>
      </c>
      <c r="AC84" s="49">
        <v>0</v>
      </c>
      <c r="AD84" s="49">
        <v>80.7972122198653</v>
      </c>
      <c r="AE84" s="49">
        <v>0</v>
      </c>
      <c r="AF84" s="49">
        <v>10.209744453430176</v>
      </c>
      <c r="AG84" s="49">
        <v>91.00695667329548</v>
      </c>
      <c r="AH84" s="49">
        <v>0</v>
      </c>
      <c r="AI84" s="48">
        <v>9999</v>
      </c>
      <c r="AJ84" s="49">
        <v>22.311996459960938</v>
      </c>
      <c r="AK84" s="49">
        <v>0</v>
      </c>
      <c r="AL84" s="49">
        <v>0</v>
      </c>
      <c r="AM84" s="49">
        <v>113.31895446777344</v>
      </c>
      <c r="AN84" s="49">
        <v>0</v>
      </c>
      <c r="AO84" s="48">
        <v>9999</v>
      </c>
    </row>
    <row r="85" spans="1:41" ht="12.75" customHeight="1">
      <c r="A85" t="s">
        <v>412</v>
      </c>
      <c r="B85" t="s">
        <v>450</v>
      </c>
      <c r="C85" s="49">
        <v>18</v>
      </c>
      <c r="D85" s="49">
        <v>4334.278485471466</v>
      </c>
      <c r="E85" s="49">
        <v>1040.16</v>
      </c>
      <c r="F85" s="49">
        <v>0</v>
      </c>
      <c r="G85" s="49">
        <v>0</v>
      </c>
      <c r="H85" s="49" t="s">
        <v>184</v>
      </c>
      <c r="I85" s="49">
        <v>0.158</v>
      </c>
      <c r="J85" s="49">
        <v>0.35499998927116394</v>
      </c>
      <c r="K85" s="49">
        <v>4664.767219988666</v>
      </c>
      <c r="L85" s="60">
        <v>1.1964570783830801</v>
      </c>
      <c r="M85" s="49">
        <v>3.370301731105619</v>
      </c>
      <c r="N85" s="49"/>
      <c r="O85" s="49"/>
      <c r="P85" s="49">
        <v>1040.1568219504923</v>
      </c>
      <c r="Q85" s="49">
        <v>0</v>
      </c>
      <c r="R85" s="49">
        <v>0</v>
      </c>
      <c r="S85" s="49">
        <v>0</v>
      </c>
      <c r="T85" s="49">
        <v>0</v>
      </c>
      <c r="U85" s="49">
        <v>0</v>
      </c>
      <c r="V85" s="49">
        <v>1040.1568219504923</v>
      </c>
      <c r="W85" s="49">
        <v>0</v>
      </c>
      <c r="X85" s="49">
        <v>1040.1568219504923</v>
      </c>
      <c r="Y85" s="49">
        <v>0</v>
      </c>
      <c r="Z85" s="49">
        <v>0</v>
      </c>
      <c r="AA85" s="49">
        <v>18.704452514648438</v>
      </c>
      <c r="AB85" s="49">
        <v>0</v>
      </c>
      <c r="AC85" s="49">
        <v>18.704452569416834</v>
      </c>
      <c r="AD85" s="49">
        <v>1608.2795304641015</v>
      </c>
      <c r="AE85" s="49">
        <v>42.7899939555347</v>
      </c>
      <c r="AF85" s="49">
        <v>241.6258544921875</v>
      </c>
      <c r="AG85" s="49">
        <v>1890.7550206328294</v>
      </c>
      <c r="AH85" s="49">
        <v>1040.1568219504923</v>
      </c>
      <c r="AI85" s="48">
        <v>1.8177595731067777</v>
      </c>
      <c r="AJ85" s="49">
        <v>803.5679931640625</v>
      </c>
      <c r="AK85" s="49">
        <v>0</v>
      </c>
      <c r="AL85" s="49">
        <v>0</v>
      </c>
      <c r="AM85" s="49">
        <v>2694.322998046875</v>
      </c>
      <c r="AN85" s="49">
        <v>1040.1568219504923</v>
      </c>
      <c r="AO85" s="48">
        <v>2.5903046131134033</v>
      </c>
    </row>
    <row r="86" spans="1:41" ht="12.75" customHeight="1">
      <c r="A86" t="s">
        <v>412</v>
      </c>
      <c r="B86" t="s">
        <v>451</v>
      </c>
      <c r="C86" s="49">
        <v>18</v>
      </c>
      <c r="D86" s="49">
        <v>304.1820370741467</v>
      </c>
      <c r="E86" s="49"/>
      <c r="F86" s="49">
        <v>0</v>
      </c>
      <c r="G86" s="49">
        <v>0</v>
      </c>
      <c r="H86" s="49" t="s">
        <v>181</v>
      </c>
      <c r="I86" s="49">
        <v>0.17</v>
      </c>
      <c r="J86" s="49">
        <v>0</v>
      </c>
      <c r="K86" s="49">
        <v>327.3759174010504</v>
      </c>
      <c r="L86" s="60">
        <v>0</v>
      </c>
      <c r="M86" s="49">
        <v>0.2198334121683121</v>
      </c>
      <c r="N86" s="49"/>
      <c r="O86" s="49"/>
      <c r="P86" s="49">
        <v>0</v>
      </c>
      <c r="Q86" s="49">
        <v>0</v>
      </c>
      <c r="R86" s="49">
        <v>0</v>
      </c>
      <c r="S86" s="49">
        <v>0</v>
      </c>
      <c r="T86" s="49">
        <v>0</v>
      </c>
      <c r="U86" s="49">
        <v>0</v>
      </c>
      <c r="V86" s="49">
        <v>0</v>
      </c>
      <c r="W86" s="49">
        <v>0</v>
      </c>
      <c r="X86" s="49">
        <v>0</v>
      </c>
      <c r="Y86" s="49">
        <v>0</v>
      </c>
      <c r="Z86" s="49">
        <v>0</v>
      </c>
      <c r="AA86" s="49">
        <v>0</v>
      </c>
      <c r="AB86" s="49">
        <v>0</v>
      </c>
      <c r="AC86" s="49">
        <v>0</v>
      </c>
      <c r="AD86" s="49">
        <v>198.6759585636736</v>
      </c>
      <c r="AE86" s="49">
        <v>0</v>
      </c>
      <c r="AF86" s="49">
        <v>24.871320724487305</v>
      </c>
      <c r="AG86" s="49">
        <v>223.5472792881609</v>
      </c>
      <c r="AH86" s="49">
        <v>0</v>
      </c>
      <c r="AI86" s="48">
        <v>9999</v>
      </c>
      <c r="AJ86" s="49">
        <v>52.41402053833008</v>
      </c>
      <c r="AK86" s="49">
        <v>0</v>
      </c>
      <c r="AL86" s="49">
        <v>0</v>
      </c>
      <c r="AM86" s="49">
        <v>275.9613037109375</v>
      </c>
      <c r="AN86" s="49">
        <v>0</v>
      </c>
      <c r="AO86" s="48">
        <v>9999</v>
      </c>
    </row>
    <row r="87" spans="1:41" ht="12.75" customHeight="1">
      <c r="A87" t="s">
        <v>413</v>
      </c>
      <c r="B87" t="s">
        <v>452</v>
      </c>
      <c r="C87" s="49">
        <v>18</v>
      </c>
      <c r="D87" s="49">
        <v>5019.7183763193525</v>
      </c>
      <c r="E87" s="49">
        <v>1040.16</v>
      </c>
      <c r="F87" s="49">
        <v>0</v>
      </c>
      <c r="G87" s="49">
        <v>0</v>
      </c>
      <c r="H87" s="49" t="s">
        <v>185</v>
      </c>
      <c r="I87" s="49">
        <v>0.158</v>
      </c>
      <c r="J87" s="49">
        <v>0.35499998927116394</v>
      </c>
      <c r="K87" s="49">
        <v>5402.471902513703</v>
      </c>
      <c r="L87" s="60">
        <v>1.3856695186912094</v>
      </c>
      <c r="M87" s="49">
        <v>3.903294536814131</v>
      </c>
      <c r="N87" s="49"/>
      <c r="O87" s="49"/>
      <c r="P87" s="49">
        <v>1040.1568219504923</v>
      </c>
      <c r="Q87" s="49">
        <v>0</v>
      </c>
      <c r="R87" s="49">
        <v>0</v>
      </c>
      <c r="S87" s="49">
        <v>0</v>
      </c>
      <c r="T87" s="49">
        <v>0</v>
      </c>
      <c r="U87" s="49">
        <v>0</v>
      </c>
      <c r="V87" s="49">
        <v>1040.1568219504923</v>
      </c>
      <c r="W87" s="49">
        <v>0</v>
      </c>
      <c r="X87" s="49">
        <v>1040.1568219504923</v>
      </c>
      <c r="Y87" s="49">
        <v>0</v>
      </c>
      <c r="Z87" s="49">
        <v>0</v>
      </c>
      <c r="AA87" s="49">
        <v>16.15036964416504</v>
      </c>
      <c r="AB87" s="49">
        <v>0</v>
      </c>
      <c r="AC87" s="49">
        <v>16.15036945829393</v>
      </c>
      <c r="AD87" s="49">
        <v>1883.0511248137907</v>
      </c>
      <c r="AE87" s="49">
        <v>49.55697233142302</v>
      </c>
      <c r="AF87" s="49">
        <v>281.8807067871094</v>
      </c>
      <c r="AG87" s="49">
        <v>2212.2415897437654</v>
      </c>
      <c r="AH87" s="49">
        <v>1040.1568219504923</v>
      </c>
      <c r="AI87" s="48">
        <v>2.1268346686371684</v>
      </c>
      <c r="AJ87" s="49">
        <v>930.6475219726562</v>
      </c>
      <c r="AK87" s="49">
        <v>0</v>
      </c>
      <c r="AL87" s="49">
        <v>0</v>
      </c>
      <c r="AM87" s="49">
        <v>3142.88916015625</v>
      </c>
      <c r="AN87" s="49">
        <v>1040.1568219504923</v>
      </c>
      <c r="AO87" s="48">
        <v>3.0215532779693604</v>
      </c>
    </row>
    <row r="88" spans="1:41" ht="12.75" customHeight="1">
      <c r="A88" t="s">
        <v>413</v>
      </c>
      <c r="B88" t="s">
        <v>453</v>
      </c>
      <c r="C88" s="49">
        <v>18</v>
      </c>
      <c r="D88" s="49">
        <v>626.4943726201489</v>
      </c>
      <c r="E88" s="49"/>
      <c r="F88" s="49">
        <v>0</v>
      </c>
      <c r="G88" s="49">
        <v>0</v>
      </c>
      <c r="H88" s="49" t="s">
        <v>182</v>
      </c>
      <c r="I88" s="49">
        <v>0.17</v>
      </c>
      <c r="J88" s="49">
        <v>0</v>
      </c>
      <c r="K88" s="49">
        <v>674.2645685324352</v>
      </c>
      <c r="L88" s="60">
        <v>0</v>
      </c>
      <c r="M88" s="49">
        <v>0.45276965386276874</v>
      </c>
      <c r="N88" s="49"/>
      <c r="O88" s="49"/>
      <c r="P88" s="49">
        <v>0</v>
      </c>
      <c r="Q88" s="49">
        <v>0</v>
      </c>
      <c r="R88" s="49">
        <v>0</v>
      </c>
      <c r="S88" s="49">
        <v>0</v>
      </c>
      <c r="T88" s="49">
        <v>0</v>
      </c>
      <c r="U88" s="49">
        <v>0</v>
      </c>
      <c r="V88" s="49">
        <v>0</v>
      </c>
      <c r="W88" s="49">
        <v>0</v>
      </c>
      <c r="X88" s="49">
        <v>0</v>
      </c>
      <c r="Y88" s="49">
        <v>0</v>
      </c>
      <c r="Z88" s="49">
        <v>0</v>
      </c>
      <c r="AA88" s="49">
        <v>0</v>
      </c>
      <c r="AB88" s="49">
        <v>0</v>
      </c>
      <c r="AC88" s="49">
        <v>0</v>
      </c>
      <c r="AD88" s="49">
        <v>460.46405256399834</v>
      </c>
      <c r="AE88" s="49">
        <v>0</v>
      </c>
      <c r="AF88" s="49">
        <v>56.35209655761719</v>
      </c>
      <c r="AG88" s="49">
        <v>516.8161491216156</v>
      </c>
      <c r="AH88" s="49">
        <v>0</v>
      </c>
      <c r="AI88" s="48">
        <v>9999</v>
      </c>
      <c r="AJ88" s="49">
        <v>107.95210266113281</v>
      </c>
      <c r="AK88" s="49">
        <v>0</v>
      </c>
      <c r="AL88" s="49">
        <v>0</v>
      </c>
      <c r="AM88" s="49">
        <v>624.7682495117188</v>
      </c>
      <c r="AN88" s="49">
        <v>0</v>
      </c>
      <c r="AO88" s="48">
        <v>9999</v>
      </c>
    </row>
    <row r="89" spans="1:41" ht="12.75" customHeight="1">
      <c r="A89" t="s">
        <v>414</v>
      </c>
      <c r="B89" t="s">
        <v>448</v>
      </c>
      <c r="C89" s="49">
        <v>18</v>
      </c>
      <c r="D89" s="49">
        <v>2868.925672498297</v>
      </c>
      <c r="E89" s="49">
        <v>1040.16</v>
      </c>
      <c r="F89" s="49">
        <v>0</v>
      </c>
      <c r="G89" s="49">
        <v>0</v>
      </c>
      <c r="H89" s="49" t="s">
        <v>183</v>
      </c>
      <c r="I89" s="49">
        <v>0.158</v>
      </c>
      <c r="J89" s="49">
        <v>0.35499998927116394</v>
      </c>
      <c r="K89" s="49">
        <v>3087.681255026292</v>
      </c>
      <c r="L89" s="60">
        <v>0.7919533642615366</v>
      </c>
      <c r="M89" s="49">
        <v>2.230854614636648</v>
      </c>
      <c r="N89" s="49"/>
      <c r="O89" s="49"/>
      <c r="P89" s="49">
        <v>1040.1568219504923</v>
      </c>
      <c r="Q89" s="49">
        <v>0</v>
      </c>
      <c r="R89" s="49">
        <v>0</v>
      </c>
      <c r="S89" s="49">
        <v>0</v>
      </c>
      <c r="T89" s="49">
        <v>0</v>
      </c>
      <c r="U89" s="49">
        <v>0</v>
      </c>
      <c r="V89" s="49">
        <v>1040.1568219504923</v>
      </c>
      <c r="W89" s="49">
        <v>0</v>
      </c>
      <c r="X89" s="49">
        <v>1040.1568219504923</v>
      </c>
      <c r="Y89" s="49">
        <v>0</v>
      </c>
      <c r="Z89" s="49">
        <v>0</v>
      </c>
      <c r="AA89" s="49">
        <v>28.258071899414062</v>
      </c>
      <c r="AB89" s="49">
        <v>0</v>
      </c>
      <c r="AC89" s="49">
        <v>28.258071350990352</v>
      </c>
      <c r="AD89" s="49">
        <v>1017.1162380604037</v>
      </c>
      <c r="AE89" s="49">
        <v>28.3233559164639</v>
      </c>
      <c r="AF89" s="49">
        <v>155.1929931640625</v>
      </c>
      <c r="AG89" s="49">
        <v>1199.3482341167505</v>
      </c>
      <c r="AH89" s="49">
        <v>1040.1568219504923</v>
      </c>
      <c r="AI89" s="48">
        <v>1.1530455877487242</v>
      </c>
      <c r="AJ89" s="49">
        <v>531.89404296875</v>
      </c>
      <c r="AK89" s="49">
        <v>0</v>
      </c>
      <c r="AL89" s="49">
        <v>0</v>
      </c>
      <c r="AM89" s="49">
        <v>1731.2423095703125</v>
      </c>
      <c r="AN89" s="49">
        <v>1040.1568219504923</v>
      </c>
      <c r="AO89" s="48">
        <v>1.664405107498169</v>
      </c>
    </row>
    <row r="90" spans="1:41" ht="12.75" customHeight="1">
      <c r="A90" t="s">
        <v>414</v>
      </c>
      <c r="B90" t="s">
        <v>451</v>
      </c>
      <c r="C90" s="49">
        <v>18</v>
      </c>
      <c r="D90" s="49">
        <v>304.1820370741467</v>
      </c>
      <c r="E90" s="49">
        <v>0</v>
      </c>
      <c r="F90" s="49">
        <v>0</v>
      </c>
      <c r="G90" s="49">
        <v>0</v>
      </c>
      <c r="H90" s="49" t="s">
        <v>181</v>
      </c>
      <c r="I90" s="49">
        <v>0.17</v>
      </c>
      <c r="J90" s="49">
        <v>0</v>
      </c>
      <c r="K90" s="49">
        <v>327.3759174010504</v>
      </c>
      <c r="L90" s="60">
        <v>0</v>
      </c>
      <c r="M90" s="49">
        <v>0.2198334121683121</v>
      </c>
      <c r="N90" s="49"/>
      <c r="O90" s="49"/>
      <c r="P90" s="49">
        <v>0</v>
      </c>
      <c r="Q90" s="49">
        <v>0</v>
      </c>
      <c r="R90" s="49">
        <v>0</v>
      </c>
      <c r="S90" s="49">
        <v>0</v>
      </c>
      <c r="T90" s="49">
        <v>0</v>
      </c>
      <c r="U90" s="49">
        <v>0</v>
      </c>
      <c r="V90" s="49">
        <v>0</v>
      </c>
      <c r="W90" s="49">
        <v>0</v>
      </c>
      <c r="X90" s="49">
        <v>0</v>
      </c>
      <c r="Y90" s="49">
        <v>0</v>
      </c>
      <c r="Z90" s="49">
        <v>0</v>
      </c>
      <c r="AA90" s="49">
        <v>0</v>
      </c>
      <c r="AB90" s="49">
        <v>0</v>
      </c>
      <c r="AC90" s="49">
        <v>0</v>
      </c>
      <c r="AD90" s="49">
        <v>198.6759585636736</v>
      </c>
      <c r="AE90" s="49">
        <v>0</v>
      </c>
      <c r="AF90" s="49">
        <v>24.871320724487305</v>
      </c>
      <c r="AG90" s="49">
        <v>223.5472792881609</v>
      </c>
      <c r="AH90" s="49">
        <v>0</v>
      </c>
      <c r="AI90" s="48">
        <v>9999</v>
      </c>
      <c r="AJ90" s="49">
        <v>52.41402053833008</v>
      </c>
      <c r="AK90" s="49">
        <v>0</v>
      </c>
      <c r="AL90" s="49">
        <v>0</v>
      </c>
      <c r="AM90" s="49">
        <v>275.9613037109375</v>
      </c>
      <c r="AN90" s="49">
        <v>0</v>
      </c>
      <c r="AO90" s="48">
        <v>9999</v>
      </c>
    </row>
    <row r="91" spans="1:41" ht="12.75" customHeight="1">
      <c r="A91" t="s">
        <v>415</v>
      </c>
      <c r="B91" t="s">
        <v>448</v>
      </c>
      <c r="C91" s="49">
        <v>18</v>
      </c>
      <c r="D91" s="49">
        <v>2868.925672498297</v>
      </c>
      <c r="E91" s="49">
        <v>1040.16</v>
      </c>
      <c r="F91" s="49">
        <v>0</v>
      </c>
      <c r="G91" s="49">
        <v>0</v>
      </c>
      <c r="H91" s="49" t="s">
        <v>183</v>
      </c>
      <c r="I91" s="49">
        <v>0.158</v>
      </c>
      <c r="J91" s="49">
        <v>0.35499998927116394</v>
      </c>
      <c r="K91" s="49">
        <v>3087.681255026292</v>
      </c>
      <c r="L91" s="60">
        <v>0.7919533642615366</v>
      </c>
      <c r="M91" s="49">
        <v>2.230854614636648</v>
      </c>
      <c r="N91" s="49"/>
      <c r="O91" s="49"/>
      <c r="P91" s="49">
        <v>1040.1568219504923</v>
      </c>
      <c r="Q91" s="49">
        <v>0</v>
      </c>
      <c r="R91" s="49">
        <v>0</v>
      </c>
      <c r="S91" s="49">
        <v>0</v>
      </c>
      <c r="T91" s="49">
        <v>0</v>
      </c>
      <c r="U91" s="49">
        <v>0</v>
      </c>
      <c r="V91" s="49">
        <v>1040.1568219504923</v>
      </c>
      <c r="W91" s="49">
        <v>0</v>
      </c>
      <c r="X91" s="49">
        <v>1040.1568219504923</v>
      </c>
      <c r="Y91" s="49">
        <v>0</v>
      </c>
      <c r="Z91" s="49">
        <v>0</v>
      </c>
      <c r="AA91" s="49">
        <v>28.258071899414062</v>
      </c>
      <c r="AB91" s="49">
        <v>0</v>
      </c>
      <c r="AC91" s="49">
        <v>28.258071350990352</v>
      </c>
      <c r="AD91" s="49">
        <v>1017.1162380604037</v>
      </c>
      <c r="AE91" s="49">
        <v>28.3233559164639</v>
      </c>
      <c r="AF91" s="49">
        <v>155.1929931640625</v>
      </c>
      <c r="AG91" s="49">
        <v>1199.3482341167505</v>
      </c>
      <c r="AH91" s="49">
        <v>1040.1568219504923</v>
      </c>
      <c r="AI91" s="48">
        <v>1.1530455877487242</v>
      </c>
      <c r="AJ91" s="49">
        <v>531.89404296875</v>
      </c>
      <c r="AK91" s="49">
        <v>0</v>
      </c>
      <c r="AL91" s="49">
        <v>0</v>
      </c>
      <c r="AM91" s="49">
        <v>1731.2423095703125</v>
      </c>
      <c r="AN91" s="49">
        <v>1040.1568219504923</v>
      </c>
      <c r="AO91" s="48">
        <v>1.664405107498169</v>
      </c>
    </row>
    <row r="92" spans="1:41" ht="12.75" customHeight="1">
      <c r="A92" t="s">
        <v>415</v>
      </c>
      <c r="B92" t="s">
        <v>453</v>
      </c>
      <c r="C92" s="49">
        <v>18</v>
      </c>
      <c r="D92" s="49">
        <v>626.4943726201489</v>
      </c>
      <c r="E92" s="49">
        <v>0</v>
      </c>
      <c r="F92" s="49">
        <v>0</v>
      </c>
      <c r="G92" s="49">
        <v>0</v>
      </c>
      <c r="H92" s="49" t="s">
        <v>182</v>
      </c>
      <c r="I92" s="49">
        <v>0.17</v>
      </c>
      <c r="J92" s="49">
        <v>0</v>
      </c>
      <c r="K92" s="49">
        <v>674.2645685324352</v>
      </c>
      <c r="L92" s="60">
        <v>0</v>
      </c>
      <c r="M92" s="49">
        <v>0.45276965386276874</v>
      </c>
      <c r="N92" s="49"/>
      <c r="O92" s="49"/>
      <c r="P92" s="49">
        <v>0</v>
      </c>
      <c r="Q92" s="49">
        <v>0</v>
      </c>
      <c r="R92" s="49">
        <v>0</v>
      </c>
      <c r="S92" s="49">
        <v>0</v>
      </c>
      <c r="T92" s="49">
        <v>0</v>
      </c>
      <c r="U92" s="49">
        <v>0</v>
      </c>
      <c r="V92" s="49">
        <v>0</v>
      </c>
      <c r="W92" s="49">
        <v>0</v>
      </c>
      <c r="X92" s="49">
        <v>0</v>
      </c>
      <c r="Y92" s="49">
        <v>0</v>
      </c>
      <c r="Z92" s="49">
        <v>0</v>
      </c>
      <c r="AA92" s="49">
        <v>0</v>
      </c>
      <c r="AB92" s="49">
        <v>0</v>
      </c>
      <c r="AC92" s="49">
        <v>0</v>
      </c>
      <c r="AD92" s="49">
        <v>460.46405256399834</v>
      </c>
      <c r="AE92" s="49">
        <v>0</v>
      </c>
      <c r="AF92" s="49">
        <v>56.35209655761719</v>
      </c>
      <c r="AG92" s="49">
        <v>516.8161491216156</v>
      </c>
      <c r="AH92" s="49">
        <v>0</v>
      </c>
      <c r="AI92" s="48">
        <v>9999</v>
      </c>
      <c r="AJ92" s="49">
        <v>107.95210266113281</v>
      </c>
      <c r="AK92" s="49">
        <v>0</v>
      </c>
      <c r="AL92" s="49">
        <v>0</v>
      </c>
      <c r="AM92" s="49">
        <v>624.7682495117188</v>
      </c>
      <c r="AN92" s="49">
        <v>0</v>
      </c>
      <c r="AO92" s="48">
        <v>9999</v>
      </c>
    </row>
    <row r="93" spans="1:41" ht="12.75" customHeight="1">
      <c r="A93" t="s">
        <v>416</v>
      </c>
      <c r="B93" t="s">
        <v>450</v>
      </c>
      <c r="C93" s="49">
        <v>18</v>
      </c>
      <c r="D93" s="49">
        <v>4334.278485471466</v>
      </c>
      <c r="E93" s="49">
        <v>1040.16</v>
      </c>
      <c r="F93" s="49">
        <v>0</v>
      </c>
      <c r="G93" s="49">
        <v>0</v>
      </c>
      <c r="H93" s="49" t="s">
        <v>184</v>
      </c>
      <c r="I93" s="49">
        <v>0.158</v>
      </c>
      <c r="J93" s="49">
        <v>0.35499998927116394</v>
      </c>
      <c r="K93" s="49">
        <v>4664.767219988666</v>
      </c>
      <c r="L93" s="60">
        <v>1.1964570783830801</v>
      </c>
      <c r="M93" s="49">
        <v>3.370301731105619</v>
      </c>
      <c r="N93" s="49"/>
      <c r="O93" s="49"/>
      <c r="P93" s="49">
        <v>1040.1568219504923</v>
      </c>
      <c r="Q93" s="49">
        <v>0</v>
      </c>
      <c r="R93" s="49">
        <v>0</v>
      </c>
      <c r="S93" s="49">
        <v>0</v>
      </c>
      <c r="T93" s="49">
        <v>0</v>
      </c>
      <c r="U93" s="49">
        <v>0</v>
      </c>
      <c r="V93" s="49">
        <v>1040.1568219504923</v>
      </c>
      <c r="W93" s="49">
        <v>0</v>
      </c>
      <c r="X93" s="49">
        <v>1040.1568219504923</v>
      </c>
      <c r="Y93" s="49">
        <v>0</v>
      </c>
      <c r="Z93" s="49">
        <v>0</v>
      </c>
      <c r="AA93" s="49">
        <v>18.704452514648438</v>
      </c>
      <c r="AB93" s="49">
        <v>0</v>
      </c>
      <c r="AC93" s="49">
        <v>18.704452569416834</v>
      </c>
      <c r="AD93" s="49">
        <v>1608.2795304641015</v>
      </c>
      <c r="AE93" s="49">
        <v>42.7899939555347</v>
      </c>
      <c r="AF93" s="49">
        <v>241.6258544921875</v>
      </c>
      <c r="AG93" s="49">
        <v>1890.7550206328294</v>
      </c>
      <c r="AH93" s="49">
        <v>1040.1568219504923</v>
      </c>
      <c r="AI93" s="48">
        <v>1.8177595731067777</v>
      </c>
      <c r="AJ93" s="49">
        <v>803.5679931640625</v>
      </c>
      <c r="AK93" s="49">
        <v>0</v>
      </c>
      <c r="AL93" s="49">
        <v>0</v>
      </c>
      <c r="AM93" s="49">
        <v>2694.322998046875</v>
      </c>
      <c r="AN93" s="49">
        <v>1040.1568219504923</v>
      </c>
      <c r="AO93" s="48">
        <v>2.5903046131134033</v>
      </c>
    </row>
    <row r="94" spans="1:41" ht="12.75" customHeight="1">
      <c r="A94" t="s">
        <v>416</v>
      </c>
      <c r="B94" t="s">
        <v>453</v>
      </c>
      <c r="C94" s="49">
        <v>18</v>
      </c>
      <c r="D94" s="49">
        <v>626.4943726201489</v>
      </c>
      <c r="E94" s="49">
        <v>0</v>
      </c>
      <c r="F94" s="49">
        <v>0</v>
      </c>
      <c r="G94" s="49">
        <v>0</v>
      </c>
      <c r="H94" s="49" t="s">
        <v>182</v>
      </c>
      <c r="I94" s="49">
        <v>0.17</v>
      </c>
      <c r="J94" s="49">
        <v>0</v>
      </c>
      <c r="K94" s="49">
        <v>674.2645685324352</v>
      </c>
      <c r="L94" s="60">
        <v>0</v>
      </c>
      <c r="M94" s="49">
        <v>0.45276965386276874</v>
      </c>
      <c r="N94" s="49"/>
      <c r="O94" s="49"/>
      <c r="P94" s="49">
        <v>0</v>
      </c>
      <c r="Q94" s="49">
        <v>0</v>
      </c>
      <c r="R94" s="49">
        <v>0</v>
      </c>
      <c r="S94" s="49">
        <v>0</v>
      </c>
      <c r="T94" s="49">
        <v>0</v>
      </c>
      <c r="U94" s="49">
        <v>0</v>
      </c>
      <c r="V94" s="49">
        <v>0</v>
      </c>
      <c r="W94" s="49">
        <v>0</v>
      </c>
      <c r="X94" s="49">
        <v>0</v>
      </c>
      <c r="Y94" s="49">
        <v>0</v>
      </c>
      <c r="Z94" s="49">
        <v>0</v>
      </c>
      <c r="AA94" s="49">
        <v>0</v>
      </c>
      <c r="AB94" s="49">
        <v>0</v>
      </c>
      <c r="AC94" s="49">
        <v>0</v>
      </c>
      <c r="AD94" s="49">
        <v>460.46405256399834</v>
      </c>
      <c r="AE94" s="49">
        <v>0</v>
      </c>
      <c r="AF94" s="49">
        <v>56.35209655761719</v>
      </c>
      <c r="AG94" s="49">
        <v>516.8161491216156</v>
      </c>
      <c r="AH94" s="49">
        <v>0</v>
      </c>
      <c r="AI94" s="48">
        <v>9999</v>
      </c>
      <c r="AJ94" s="49">
        <v>107.95210266113281</v>
      </c>
      <c r="AK94" s="49">
        <v>0</v>
      </c>
      <c r="AL94" s="49">
        <v>0</v>
      </c>
      <c r="AM94" s="49">
        <v>624.7682495117188</v>
      </c>
      <c r="AN94" s="49">
        <v>0</v>
      </c>
      <c r="AO94" s="48">
        <v>9999</v>
      </c>
    </row>
    <row r="95" spans="1:41" ht="12.75" customHeight="1">
      <c r="A95" t="s">
        <v>417</v>
      </c>
      <c r="B95" t="s">
        <v>450</v>
      </c>
      <c r="C95" s="49">
        <v>18</v>
      </c>
      <c r="D95" s="49">
        <v>4334.278485471466</v>
      </c>
      <c r="E95" s="49">
        <v>1040.16</v>
      </c>
      <c r="F95" s="49">
        <v>0</v>
      </c>
      <c r="G95" s="49">
        <v>0</v>
      </c>
      <c r="H95" s="49" t="s">
        <v>184</v>
      </c>
      <c r="I95" s="49">
        <v>0.158</v>
      </c>
      <c r="J95" s="49">
        <v>0.35499998927116394</v>
      </c>
      <c r="K95" s="49">
        <v>4664.767219988666</v>
      </c>
      <c r="L95" s="60">
        <v>1.1964570783830801</v>
      </c>
      <c r="M95" s="49">
        <v>3.370301731105619</v>
      </c>
      <c r="N95" s="49"/>
      <c r="O95" s="49"/>
      <c r="P95" s="49">
        <v>1040.1568219504923</v>
      </c>
      <c r="Q95" s="49">
        <v>0</v>
      </c>
      <c r="R95" s="49">
        <v>0</v>
      </c>
      <c r="S95" s="49">
        <v>0</v>
      </c>
      <c r="T95" s="49">
        <v>0</v>
      </c>
      <c r="U95" s="49">
        <v>0</v>
      </c>
      <c r="V95" s="49">
        <v>1040.1568219504923</v>
      </c>
      <c r="W95" s="49">
        <v>0</v>
      </c>
      <c r="X95" s="49">
        <v>1040.1568219504923</v>
      </c>
      <c r="Y95" s="49">
        <v>0</v>
      </c>
      <c r="Z95" s="49">
        <v>0</v>
      </c>
      <c r="AA95" s="49">
        <v>18.704452514648438</v>
      </c>
      <c r="AB95" s="49">
        <v>0</v>
      </c>
      <c r="AC95" s="49">
        <v>18.704452569416834</v>
      </c>
      <c r="AD95" s="49">
        <v>1608.2795304641015</v>
      </c>
      <c r="AE95" s="49">
        <v>42.7899939555347</v>
      </c>
      <c r="AF95" s="49">
        <v>241.6258544921875</v>
      </c>
      <c r="AG95" s="49">
        <v>1890.7550206328294</v>
      </c>
      <c r="AH95" s="49">
        <v>1040.1568219504923</v>
      </c>
      <c r="AI95" s="48">
        <v>1.8177595731067777</v>
      </c>
      <c r="AJ95" s="49">
        <v>803.5679931640625</v>
      </c>
      <c r="AK95" s="49">
        <v>0</v>
      </c>
      <c r="AL95" s="49">
        <v>0</v>
      </c>
      <c r="AM95" s="49">
        <v>2694.322998046875</v>
      </c>
      <c r="AN95" s="49">
        <v>1040.1568219504923</v>
      </c>
      <c r="AO95" s="48">
        <v>2.5903046131134033</v>
      </c>
    </row>
    <row r="96" spans="1:41" ht="12.75" customHeight="1">
      <c r="A96" t="s">
        <v>417</v>
      </c>
      <c r="B96" t="s">
        <v>449</v>
      </c>
      <c r="C96" s="49">
        <v>18</v>
      </c>
      <c r="D96" s="49">
        <v>129.48650115804594</v>
      </c>
      <c r="E96" s="49">
        <v>0</v>
      </c>
      <c r="F96" s="49">
        <v>0</v>
      </c>
      <c r="G96" s="49">
        <v>0</v>
      </c>
      <c r="H96" s="49" t="s">
        <v>180</v>
      </c>
      <c r="I96" s="49">
        <v>0.17</v>
      </c>
      <c r="J96" s="49">
        <v>0</v>
      </c>
      <c r="K96" s="49">
        <v>139.35984687134692</v>
      </c>
      <c r="L96" s="60">
        <v>0</v>
      </c>
      <c r="M96" s="49">
        <v>0.09358034305086417</v>
      </c>
      <c r="N96" s="49"/>
      <c r="O96" s="49"/>
      <c r="P96" s="49">
        <v>0</v>
      </c>
      <c r="Q96" s="49">
        <v>0</v>
      </c>
      <c r="R96" s="49">
        <v>0</v>
      </c>
      <c r="S96" s="49">
        <v>0</v>
      </c>
      <c r="T96" s="49">
        <v>0</v>
      </c>
      <c r="U96" s="49">
        <v>0</v>
      </c>
      <c r="V96" s="49">
        <v>0</v>
      </c>
      <c r="W96" s="49">
        <v>0</v>
      </c>
      <c r="X96" s="49">
        <v>0</v>
      </c>
      <c r="Y96" s="49">
        <v>0</v>
      </c>
      <c r="Z96" s="49">
        <v>0</v>
      </c>
      <c r="AA96" s="49">
        <v>0</v>
      </c>
      <c r="AB96" s="49">
        <v>0</v>
      </c>
      <c r="AC96" s="49">
        <v>0</v>
      </c>
      <c r="AD96" s="49">
        <v>80.7972122198653</v>
      </c>
      <c r="AE96" s="49">
        <v>0</v>
      </c>
      <c r="AF96" s="49">
        <v>10.209744453430176</v>
      </c>
      <c r="AG96" s="49">
        <v>91.00695667329548</v>
      </c>
      <c r="AH96" s="49">
        <v>0</v>
      </c>
      <c r="AI96" s="48">
        <v>9999</v>
      </c>
      <c r="AJ96" s="49">
        <v>22.311996459960938</v>
      </c>
      <c r="AK96" s="49">
        <v>0</v>
      </c>
      <c r="AL96" s="49">
        <v>0</v>
      </c>
      <c r="AM96" s="49">
        <v>113.31895446777344</v>
      </c>
      <c r="AN96" s="49">
        <v>0</v>
      </c>
      <c r="AO96" s="48">
        <v>9999</v>
      </c>
    </row>
    <row r="97" spans="1:41" ht="12.75" customHeight="1">
      <c r="A97" t="s">
        <v>418</v>
      </c>
      <c r="B97" t="s">
        <v>452</v>
      </c>
      <c r="C97" s="49">
        <v>18</v>
      </c>
      <c r="D97" s="49">
        <v>5019.7183763193525</v>
      </c>
      <c r="E97" s="49">
        <v>1040.16</v>
      </c>
      <c r="F97" s="49">
        <v>0</v>
      </c>
      <c r="G97" s="49">
        <v>0</v>
      </c>
      <c r="H97" s="49" t="s">
        <v>185</v>
      </c>
      <c r="I97" s="49">
        <v>0.158</v>
      </c>
      <c r="J97" s="49">
        <v>0.35499998927116394</v>
      </c>
      <c r="K97" s="49">
        <v>5402.471902513703</v>
      </c>
      <c r="L97" s="60">
        <v>1.3856695186912094</v>
      </c>
      <c r="M97" s="49">
        <v>3.903294536814131</v>
      </c>
      <c r="N97" s="49"/>
      <c r="O97" s="49"/>
      <c r="P97" s="49">
        <v>1040.1568219504923</v>
      </c>
      <c r="Q97" s="49">
        <v>0</v>
      </c>
      <c r="R97" s="49">
        <v>0</v>
      </c>
      <c r="S97" s="49">
        <v>0</v>
      </c>
      <c r="T97" s="49">
        <v>0</v>
      </c>
      <c r="U97" s="49">
        <v>0</v>
      </c>
      <c r="V97" s="49">
        <v>1040.1568219504923</v>
      </c>
      <c r="W97" s="49">
        <v>0</v>
      </c>
      <c r="X97" s="49">
        <v>1040.1568219504923</v>
      </c>
      <c r="Y97" s="49">
        <v>0</v>
      </c>
      <c r="Z97" s="49">
        <v>0</v>
      </c>
      <c r="AA97" s="49">
        <v>16.15036964416504</v>
      </c>
      <c r="AB97" s="49">
        <v>0</v>
      </c>
      <c r="AC97" s="49">
        <v>16.15036945829393</v>
      </c>
      <c r="AD97" s="49">
        <v>1883.0511248137907</v>
      </c>
      <c r="AE97" s="49">
        <v>49.55697233142302</v>
      </c>
      <c r="AF97" s="49">
        <v>281.8807067871094</v>
      </c>
      <c r="AG97" s="49">
        <v>2212.2415897437654</v>
      </c>
      <c r="AH97" s="49">
        <v>1040.1568219504923</v>
      </c>
      <c r="AI97" s="48">
        <v>2.1268346686371684</v>
      </c>
      <c r="AJ97" s="49">
        <v>930.6475219726562</v>
      </c>
      <c r="AK97" s="49">
        <v>0</v>
      </c>
      <c r="AL97" s="49">
        <v>0</v>
      </c>
      <c r="AM97" s="49">
        <v>3142.88916015625</v>
      </c>
      <c r="AN97" s="49">
        <v>1040.1568219504923</v>
      </c>
      <c r="AO97" s="48">
        <v>3.0215532779693604</v>
      </c>
    </row>
    <row r="98" spans="1:41" ht="12.75" customHeight="1">
      <c r="A98" t="s">
        <v>418</v>
      </c>
      <c r="B98" t="s">
        <v>449</v>
      </c>
      <c r="C98" s="49">
        <v>18</v>
      </c>
      <c r="D98" s="49">
        <v>129.48650115804594</v>
      </c>
      <c r="E98" s="49">
        <v>0</v>
      </c>
      <c r="F98" s="49">
        <v>0</v>
      </c>
      <c r="G98" s="49">
        <v>0</v>
      </c>
      <c r="H98" s="49" t="s">
        <v>180</v>
      </c>
      <c r="I98" s="49">
        <v>0.17</v>
      </c>
      <c r="J98" s="49">
        <v>0</v>
      </c>
      <c r="K98" s="49">
        <v>139.35984687134692</v>
      </c>
      <c r="L98" s="60">
        <v>0</v>
      </c>
      <c r="M98" s="49">
        <v>0.09358034305086417</v>
      </c>
      <c r="N98" s="49"/>
      <c r="O98" s="49"/>
      <c r="P98" s="49">
        <v>0</v>
      </c>
      <c r="Q98" s="49">
        <v>0</v>
      </c>
      <c r="R98" s="49">
        <v>0</v>
      </c>
      <c r="S98" s="49">
        <v>0</v>
      </c>
      <c r="T98" s="49">
        <v>0</v>
      </c>
      <c r="U98" s="49">
        <v>0</v>
      </c>
      <c r="V98" s="49">
        <v>0</v>
      </c>
      <c r="W98" s="49">
        <v>0</v>
      </c>
      <c r="X98" s="49">
        <v>0</v>
      </c>
      <c r="Y98" s="49">
        <v>0</v>
      </c>
      <c r="Z98" s="49">
        <v>0</v>
      </c>
      <c r="AA98" s="49">
        <v>0</v>
      </c>
      <c r="AB98" s="49">
        <v>0</v>
      </c>
      <c r="AC98" s="49">
        <v>0</v>
      </c>
      <c r="AD98" s="49">
        <v>80.7972122198653</v>
      </c>
      <c r="AE98" s="49">
        <v>0</v>
      </c>
      <c r="AF98" s="49">
        <v>10.209744453430176</v>
      </c>
      <c r="AG98" s="49">
        <v>91.00695667329548</v>
      </c>
      <c r="AH98" s="49">
        <v>0</v>
      </c>
      <c r="AI98" s="48">
        <v>9999</v>
      </c>
      <c r="AJ98" s="49">
        <v>22.311996459960938</v>
      </c>
      <c r="AK98" s="49">
        <v>0</v>
      </c>
      <c r="AL98" s="49">
        <v>0</v>
      </c>
      <c r="AM98" s="49">
        <v>113.31895446777344</v>
      </c>
      <c r="AN98" s="49">
        <v>0</v>
      </c>
      <c r="AO98" s="48">
        <v>9999</v>
      </c>
    </row>
    <row r="99" spans="1:41" ht="12.75" customHeight="1">
      <c r="A99" t="s">
        <v>419</v>
      </c>
      <c r="B99" t="s">
        <v>452</v>
      </c>
      <c r="C99" s="49">
        <v>18</v>
      </c>
      <c r="D99" s="49">
        <v>5019.7183763193525</v>
      </c>
      <c r="E99" s="49">
        <v>1040.16</v>
      </c>
      <c r="F99" s="49">
        <v>0</v>
      </c>
      <c r="G99" s="49">
        <v>0</v>
      </c>
      <c r="H99" s="49" t="s">
        <v>185</v>
      </c>
      <c r="I99" s="49">
        <v>0.158</v>
      </c>
      <c r="J99" s="49">
        <v>0.35499998927116394</v>
      </c>
      <c r="K99" s="49">
        <v>5402.471902513703</v>
      </c>
      <c r="L99" s="60">
        <v>1.3856695186912094</v>
      </c>
      <c r="M99" s="49">
        <v>3.903294536814131</v>
      </c>
      <c r="N99" s="49"/>
      <c r="O99" s="49"/>
      <c r="P99" s="49">
        <v>1040.1568219504923</v>
      </c>
      <c r="Q99" s="49">
        <v>0</v>
      </c>
      <c r="R99" s="49">
        <v>0</v>
      </c>
      <c r="S99" s="49">
        <v>0</v>
      </c>
      <c r="T99" s="49">
        <v>0</v>
      </c>
      <c r="U99" s="49">
        <v>0</v>
      </c>
      <c r="V99" s="49">
        <v>1040.1568219504923</v>
      </c>
      <c r="W99" s="49">
        <v>0</v>
      </c>
      <c r="X99" s="49">
        <v>1040.1568219504923</v>
      </c>
      <c r="Y99" s="49">
        <v>0</v>
      </c>
      <c r="Z99" s="49">
        <v>0</v>
      </c>
      <c r="AA99" s="49">
        <v>16.15036964416504</v>
      </c>
      <c r="AB99" s="49">
        <v>0</v>
      </c>
      <c r="AC99" s="49">
        <v>16.15036945829393</v>
      </c>
      <c r="AD99" s="49">
        <v>1883.0511248137907</v>
      </c>
      <c r="AE99" s="49">
        <v>49.55697233142302</v>
      </c>
      <c r="AF99" s="49">
        <v>281.8807067871094</v>
      </c>
      <c r="AG99" s="49">
        <v>2212.2415897437654</v>
      </c>
      <c r="AH99" s="49">
        <v>1040.1568219504923</v>
      </c>
      <c r="AI99" s="48">
        <v>2.1268346686371684</v>
      </c>
      <c r="AJ99" s="49">
        <v>930.6475219726562</v>
      </c>
      <c r="AK99" s="49">
        <v>0</v>
      </c>
      <c r="AL99" s="49">
        <v>0</v>
      </c>
      <c r="AM99" s="49">
        <v>3142.88916015625</v>
      </c>
      <c r="AN99" s="49">
        <v>1040.1568219504923</v>
      </c>
      <c r="AO99" s="48">
        <v>3.0215532779693604</v>
      </c>
    </row>
    <row r="100" spans="1:41" ht="12.75" customHeight="1">
      <c r="A100" t="s">
        <v>419</v>
      </c>
      <c r="B100" t="s">
        <v>451</v>
      </c>
      <c r="C100" s="49">
        <v>18</v>
      </c>
      <c r="D100" s="49">
        <v>304.1820370741467</v>
      </c>
      <c r="E100" s="49">
        <v>0</v>
      </c>
      <c r="F100" s="49">
        <v>0</v>
      </c>
      <c r="G100" s="49">
        <v>0</v>
      </c>
      <c r="H100" s="49" t="s">
        <v>181</v>
      </c>
      <c r="I100" s="49">
        <v>0.17</v>
      </c>
      <c r="J100" s="49">
        <v>0</v>
      </c>
      <c r="K100" s="49">
        <v>327.3759174010504</v>
      </c>
      <c r="L100" s="60">
        <v>0</v>
      </c>
      <c r="M100" s="49">
        <v>0.2198334121683121</v>
      </c>
      <c r="N100" s="49"/>
      <c r="O100" s="49"/>
      <c r="P100" s="49">
        <v>0</v>
      </c>
      <c r="Q100" s="49">
        <v>0</v>
      </c>
      <c r="R100" s="49">
        <v>0</v>
      </c>
      <c r="S100" s="49">
        <v>0</v>
      </c>
      <c r="T100" s="49">
        <v>0</v>
      </c>
      <c r="U100" s="49">
        <v>0</v>
      </c>
      <c r="V100" s="49">
        <v>0</v>
      </c>
      <c r="W100" s="49">
        <v>0</v>
      </c>
      <c r="X100" s="49">
        <v>0</v>
      </c>
      <c r="Y100" s="49">
        <v>0</v>
      </c>
      <c r="Z100" s="49">
        <v>0</v>
      </c>
      <c r="AA100" s="49">
        <v>0</v>
      </c>
      <c r="AB100" s="49">
        <v>0</v>
      </c>
      <c r="AC100" s="49">
        <v>0</v>
      </c>
      <c r="AD100" s="49">
        <v>198.6759585636736</v>
      </c>
      <c r="AE100" s="49">
        <v>0</v>
      </c>
      <c r="AF100" s="49">
        <v>24.871320724487305</v>
      </c>
      <c r="AG100" s="49">
        <v>223.5472792881609</v>
      </c>
      <c r="AH100" s="49">
        <v>0</v>
      </c>
      <c r="AI100" s="48">
        <v>9999</v>
      </c>
      <c r="AJ100" s="49">
        <v>52.41402053833008</v>
      </c>
      <c r="AK100" s="49">
        <v>0</v>
      </c>
      <c r="AL100" s="49">
        <v>0</v>
      </c>
      <c r="AM100" s="49">
        <v>275.9613037109375</v>
      </c>
      <c r="AN100" s="49">
        <v>0</v>
      </c>
      <c r="AO100" s="48">
        <v>9999</v>
      </c>
    </row>
    <row r="101" spans="1:41" ht="12.75" customHeight="1">
      <c r="A101" t="s">
        <v>420</v>
      </c>
      <c r="B101" t="s">
        <v>454</v>
      </c>
      <c r="C101" s="49">
        <v>18</v>
      </c>
      <c r="D101" s="49">
        <v>4303.560271504106</v>
      </c>
      <c r="E101" s="49">
        <v>1040.16</v>
      </c>
      <c r="F101" s="49">
        <v>0</v>
      </c>
      <c r="G101" s="49">
        <v>0</v>
      </c>
      <c r="H101" s="49" t="s">
        <v>183</v>
      </c>
      <c r="I101" s="49">
        <v>0.158</v>
      </c>
      <c r="J101" s="49">
        <v>0.35499998927116394</v>
      </c>
      <c r="K101" s="49">
        <v>4631.706742206294</v>
      </c>
      <c r="L101" s="60">
        <v>1.1879774606889861</v>
      </c>
      <c r="M101" s="49">
        <v>3.346415483358111</v>
      </c>
      <c r="N101" s="49"/>
      <c r="O101" s="49"/>
      <c r="P101" s="49">
        <v>1040.1568219504923</v>
      </c>
      <c r="Q101" s="49">
        <v>0</v>
      </c>
      <c r="R101" s="49">
        <v>0</v>
      </c>
      <c r="S101" s="49">
        <v>0</v>
      </c>
      <c r="T101" s="49">
        <v>0</v>
      </c>
      <c r="U101" s="49">
        <v>0</v>
      </c>
      <c r="V101" s="49">
        <v>1040.1568219504923</v>
      </c>
      <c r="W101" s="49">
        <v>0</v>
      </c>
      <c r="X101" s="49">
        <v>1040.1568219504923</v>
      </c>
      <c r="Y101" s="49">
        <v>0</v>
      </c>
      <c r="Z101" s="49">
        <v>0</v>
      </c>
      <c r="AA101" s="49">
        <v>18.837963104248047</v>
      </c>
      <c r="AB101" s="49">
        <v>0</v>
      </c>
      <c r="AC101" s="49">
        <v>18.83796234734981</v>
      </c>
      <c r="AD101" s="49">
        <v>1525.7352519024062</v>
      </c>
      <c r="AE101" s="49">
        <v>42.48672959575851</v>
      </c>
      <c r="AF101" s="49">
        <v>232.79879760742188</v>
      </c>
      <c r="AG101" s="49">
        <v>1799.0941726750225</v>
      </c>
      <c r="AH101" s="49">
        <v>1040.1568219504923</v>
      </c>
      <c r="AI101" s="48">
        <v>1.7296374303457223</v>
      </c>
      <c r="AJ101" s="49">
        <v>797.8729858398438</v>
      </c>
      <c r="AK101" s="49">
        <v>0</v>
      </c>
      <c r="AL101" s="49">
        <v>0</v>
      </c>
      <c r="AM101" s="49">
        <v>2596.967041015625</v>
      </c>
      <c r="AN101" s="49">
        <v>1040.1568219504923</v>
      </c>
      <c r="AO101" s="48">
        <v>2.4967072010040283</v>
      </c>
    </row>
    <row r="102" spans="1:41" ht="12.75" customHeight="1">
      <c r="A102" t="s">
        <v>420</v>
      </c>
      <c r="B102" t="s">
        <v>455</v>
      </c>
      <c r="C102" s="49">
        <v>18</v>
      </c>
      <c r="D102" s="49">
        <v>254.8510282004761</v>
      </c>
      <c r="E102" s="49"/>
      <c r="F102" s="49">
        <v>0</v>
      </c>
      <c r="G102" s="49">
        <v>0</v>
      </c>
      <c r="H102" s="49" t="s">
        <v>180</v>
      </c>
      <c r="I102" s="49">
        <v>0.17</v>
      </c>
      <c r="J102" s="49">
        <v>0</v>
      </c>
      <c r="K102" s="49">
        <v>274.2834191007624</v>
      </c>
      <c r="L102" s="60">
        <v>0</v>
      </c>
      <c r="M102" s="49">
        <v>0.1841817211259484</v>
      </c>
      <c r="N102" s="49"/>
      <c r="O102" s="49"/>
      <c r="P102" s="49">
        <v>0</v>
      </c>
      <c r="Q102" s="49">
        <v>0</v>
      </c>
      <c r="R102" s="49">
        <v>0</v>
      </c>
      <c r="S102" s="49">
        <v>0</v>
      </c>
      <c r="T102" s="49">
        <v>0</v>
      </c>
      <c r="U102" s="49">
        <v>0</v>
      </c>
      <c r="V102" s="49">
        <v>0</v>
      </c>
      <c r="W102" s="49">
        <v>0</v>
      </c>
      <c r="X102" s="49">
        <v>0</v>
      </c>
      <c r="Y102" s="49">
        <v>0</v>
      </c>
      <c r="Z102" s="49">
        <v>0</v>
      </c>
      <c r="AA102" s="49">
        <v>0</v>
      </c>
      <c r="AB102" s="49">
        <v>0</v>
      </c>
      <c r="AC102" s="49">
        <v>0</v>
      </c>
      <c r="AD102" s="49">
        <v>159.02238786135644</v>
      </c>
      <c r="AE102" s="49">
        <v>0</v>
      </c>
      <c r="AF102" s="49">
        <v>20.094480514526367</v>
      </c>
      <c r="AG102" s="49">
        <v>179.1168683758828</v>
      </c>
      <c r="AH102" s="49">
        <v>0</v>
      </c>
      <c r="AI102" s="48">
        <v>9999</v>
      </c>
      <c r="AJ102" s="49">
        <v>43.91373062133789</v>
      </c>
      <c r="AK102" s="49">
        <v>0</v>
      </c>
      <c r="AL102" s="49">
        <v>0</v>
      </c>
      <c r="AM102" s="49">
        <v>223.0305938720703</v>
      </c>
      <c r="AN102" s="49">
        <v>0</v>
      </c>
      <c r="AO102" s="48">
        <v>9999</v>
      </c>
    </row>
    <row r="103" spans="1:41" ht="12.75" customHeight="1">
      <c r="A103" t="s">
        <v>421</v>
      </c>
      <c r="B103" t="s">
        <v>456</v>
      </c>
      <c r="C103" s="49">
        <v>18</v>
      </c>
      <c r="D103" s="49">
        <v>6346.925241445269</v>
      </c>
      <c r="E103" s="49">
        <v>1040.16</v>
      </c>
      <c r="F103" s="49">
        <v>0</v>
      </c>
      <c r="G103" s="49">
        <v>0</v>
      </c>
      <c r="H103" s="49" t="s">
        <v>184</v>
      </c>
      <c r="I103" s="49">
        <v>0.158</v>
      </c>
      <c r="J103" s="49">
        <v>0.35499998927116394</v>
      </c>
      <c r="K103" s="49">
        <v>6830.878291105471</v>
      </c>
      <c r="L103" s="60">
        <v>1.7520386972249211</v>
      </c>
      <c r="M103" s="49">
        <v>4.935320423028633</v>
      </c>
      <c r="N103" s="49"/>
      <c r="O103" s="49"/>
      <c r="P103" s="49">
        <v>1040.1568219504923</v>
      </c>
      <c r="Q103" s="49">
        <v>0</v>
      </c>
      <c r="R103" s="49">
        <v>0</v>
      </c>
      <c r="S103" s="49">
        <v>0</v>
      </c>
      <c r="T103" s="49">
        <v>0</v>
      </c>
      <c r="U103" s="49">
        <v>0</v>
      </c>
      <c r="V103" s="49">
        <v>1040.1568219504923</v>
      </c>
      <c r="W103" s="49">
        <v>0</v>
      </c>
      <c r="X103" s="49">
        <v>1040.1568219504923</v>
      </c>
      <c r="Y103" s="49">
        <v>0</v>
      </c>
      <c r="Z103" s="49">
        <v>0</v>
      </c>
      <c r="AA103" s="49">
        <v>12.773161888122559</v>
      </c>
      <c r="AB103" s="49">
        <v>0</v>
      </c>
      <c r="AC103" s="49">
        <v>12.773162321931524</v>
      </c>
      <c r="AD103" s="49">
        <v>2355.0932367217274</v>
      </c>
      <c r="AE103" s="49">
        <v>62.65976993126498</v>
      </c>
      <c r="AF103" s="49">
        <v>353.826171875</v>
      </c>
      <c r="AG103" s="49">
        <v>2768.7378038955876</v>
      </c>
      <c r="AH103" s="49">
        <v>1040.1568219504923</v>
      </c>
      <c r="AI103" s="48">
        <v>2.661846507629183</v>
      </c>
      <c r="AJ103" s="49">
        <v>1176.7093505859375</v>
      </c>
      <c r="AK103" s="49">
        <v>0</v>
      </c>
      <c r="AL103" s="49">
        <v>0</v>
      </c>
      <c r="AM103" s="49">
        <v>3945.447265625</v>
      </c>
      <c r="AN103" s="49">
        <v>1040.1568219504923</v>
      </c>
      <c r="AO103" s="48">
        <v>3.7931272983551025</v>
      </c>
    </row>
    <row r="104" spans="1:41" ht="12.75" customHeight="1">
      <c r="A104" t="s">
        <v>421</v>
      </c>
      <c r="B104" t="s">
        <v>457</v>
      </c>
      <c r="C104" s="49">
        <v>18</v>
      </c>
      <c r="D104" s="49">
        <v>534.6744782669505</v>
      </c>
      <c r="E104" s="49"/>
      <c r="F104" s="49">
        <v>0</v>
      </c>
      <c r="G104" s="49">
        <v>0</v>
      </c>
      <c r="H104" s="49" t="s">
        <v>181</v>
      </c>
      <c r="I104" s="49">
        <v>0.17</v>
      </c>
      <c r="J104" s="49">
        <v>0</v>
      </c>
      <c r="K104" s="49">
        <v>575.4434072348055</v>
      </c>
      <c r="L104" s="60">
        <v>0</v>
      </c>
      <c r="M104" s="49">
        <v>0.38641109806258755</v>
      </c>
      <c r="N104" s="49"/>
      <c r="O104" s="49"/>
      <c r="P104" s="49">
        <v>0</v>
      </c>
      <c r="Q104" s="49">
        <v>0</v>
      </c>
      <c r="R104" s="49">
        <v>0</v>
      </c>
      <c r="S104" s="49">
        <v>0</v>
      </c>
      <c r="T104" s="49">
        <v>0</v>
      </c>
      <c r="U104" s="49">
        <v>0</v>
      </c>
      <c r="V104" s="49">
        <v>0</v>
      </c>
      <c r="W104" s="49">
        <v>0</v>
      </c>
      <c r="X104" s="49">
        <v>0</v>
      </c>
      <c r="Y104" s="49">
        <v>0</v>
      </c>
      <c r="Z104" s="49">
        <v>0</v>
      </c>
      <c r="AA104" s="49">
        <v>0</v>
      </c>
      <c r="AB104" s="49">
        <v>0</v>
      </c>
      <c r="AC104" s="49">
        <v>0</v>
      </c>
      <c r="AD104" s="49">
        <v>349.2216881410545</v>
      </c>
      <c r="AE104" s="49">
        <v>0</v>
      </c>
      <c r="AF104" s="49">
        <v>43.71744155883789</v>
      </c>
      <c r="AG104" s="49">
        <v>392.9391296998924</v>
      </c>
      <c r="AH104" s="49">
        <v>0</v>
      </c>
      <c r="AI104" s="48">
        <v>9999</v>
      </c>
      <c r="AJ104" s="49">
        <v>92.13050079345703</v>
      </c>
      <c r="AK104" s="49">
        <v>0</v>
      </c>
      <c r="AL104" s="49">
        <v>0</v>
      </c>
      <c r="AM104" s="49">
        <v>485.06964111328125</v>
      </c>
      <c r="AN104" s="49">
        <v>0</v>
      </c>
      <c r="AO104" s="48">
        <v>9999</v>
      </c>
    </row>
    <row r="105" spans="1:41" ht="12.75" customHeight="1">
      <c r="A105" t="s">
        <v>422</v>
      </c>
      <c r="B105" t="s">
        <v>458</v>
      </c>
      <c r="C105" s="49">
        <v>18</v>
      </c>
      <c r="D105" s="49">
        <v>7580.718560511597</v>
      </c>
      <c r="E105" s="49">
        <v>1040.16</v>
      </c>
      <c r="F105" s="49">
        <v>0</v>
      </c>
      <c r="G105" s="49">
        <v>0</v>
      </c>
      <c r="H105" s="49" t="s">
        <v>185</v>
      </c>
      <c r="I105" s="49">
        <v>0.158</v>
      </c>
      <c r="J105" s="49">
        <v>0.35499998927116394</v>
      </c>
      <c r="K105" s="49">
        <v>8158.748350750606</v>
      </c>
      <c r="L105" s="60">
        <v>2.0926215081372406</v>
      </c>
      <c r="M105" s="49">
        <v>5.894708651776347</v>
      </c>
      <c r="N105" s="49"/>
      <c r="O105" s="49"/>
      <c r="P105" s="49">
        <v>1040.1568219504923</v>
      </c>
      <c r="Q105" s="49">
        <v>0</v>
      </c>
      <c r="R105" s="49">
        <v>0</v>
      </c>
      <c r="S105" s="49">
        <v>0</v>
      </c>
      <c r="T105" s="49">
        <v>0</v>
      </c>
      <c r="U105" s="49">
        <v>0</v>
      </c>
      <c r="V105" s="49">
        <v>1040.1568219504923</v>
      </c>
      <c r="W105" s="49">
        <v>0</v>
      </c>
      <c r="X105" s="49">
        <v>1040.1568219504923</v>
      </c>
      <c r="Y105" s="49">
        <v>0</v>
      </c>
      <c r="Z105" s="49">
        <v>0</v>
      </c>
      <c r="AA105" s="49">
        <v>10.6942777633667</v>
      </c>
      <c r="AB105" s="49">
        <v>0</v>
      </c>
      <c r="AC105" s="49">
        <v>10.694277291396201</v>
      </c>
      <c r="AD105" s="49">
        <v>2843.761251549541</v>
      </c>
      <c r="AE105" s="49">
        <v>74.84034596997434</v>
      </c>
      <c r="AF105" s="49">
        <v>425.69287109375</v>
      </c>
      <c r="AG105" s="49">
        <v>3340.900752665174</v>
      </c>
      <c r="AH105" s="49">
        <v>1040.1568219504923</v>
      </c>
      <c r="AI105" s="48">
        <v>3.2119202433344123</v>
      </c>
      <c r="AJ105" s="49">
        <v>1405.45263671875</v>
      </c>
      <c r="AK105" s="49">
        <v>0</v>
      </c>
      <c r="AL105" s="49">
        <v>0</v>
      </c>
      <c r="AM105" s="49">
        <v>4746.353515625</v>
      </c>
      <c r="AN105" s="49">
        <v>1040.1568219504923</v>
      </c>
      <c r="AO105" s="48">
        <v>4.563113212585449</v>
      </c>
    </row>
    <row r="106" spans="1:41" ht="12.75" customHeight="1">
      <c r="A106" t="s">
        <v>422</v>
      </c>
      <c r="B106" t="s">
        <v>459</v>
      </c>
      <c r="C106" s="49">
        <v>18</v>
      </c>
      <c r="D106" s="49">
        <v>1030.8741567717698</v>
      </c>
      <c r="E106" s="49"/>
      <c r="F106" s="49">
        <v>0</v>
      </c>
      <c r="G106" s="49">
        <v>0</v>
      </c>
      <c r="H106" s="49" t="s">
        <v>182</v>
      </c>
      <c r="I106" s="49">
        <v>0.17</v>
      </c>
      <c r="J106" s="49">
        <v>0</v>
      </c>
      <c r="K106" s="49">
        <v>1109.478311225617</v>
      </c>
      <c r="L106" s="60">
        <v>0</v>
      </c>
      <c r="M106" s="49">
        <v>0.7450163250239169</v>
      </c>
      <c r="N106" s="49"/>
      <c r="O106" s="49"/>
      <c r="P106" s="49">
        <v>0</v>
      </c>
      <c r="Q106" s="49">
        <v>0</v>
      </c>
      <c r="R106" s="49">
        <v>0</v>
      </c>
      <c r="S106" s="49">
        <v>0</v>
      </c>
      <c r="T106" s="49">
        <v>0</v>
      </c>
      <c r="U106" s="49">
        <v>0</v>
      </c>
      <c r="V106" s="49">
        <v>0</v>
      </c>
      <c r="W106" s="49">
        <v>0</v>
      </c>
      <c r="X106" s="49">
        <v>0</v>
      </c>
      <c r="Y106" s="49">
        <v>0</v>
      </c>
      <c r="Z106" s="49">
        <v>0</v>
      </c>
      <c r="AA106" s="49">
        <v>0</v>
      </c>
      <c r="AB106" s="49">
        <v>0</v>
      </c>
      <c r="AC106" s="49">
        <v>0</v>
      </c>
      <c r="AD106" s="49">
        <v>757.6771837955959</v>
      </c>
      <c r="AE106" s="49">
        <v>0</v>
      </c>
      <c r="AF106" s="49">
        <v>92.7253646850586</v>
      </c>
      <c r="AG106" s="49">
        <v>850.4025484806544</v>
      </c>
      <c r="AH106" s="49">
        <v>0</v>
      </c>
      <c r="AI106" s="48">
        <v>9999</v>
      </c>
      <c r="AJ106" s="49">
        <v>177.63133239746094</v>
      </c>
      <c r="AK106" s="49">
        <v>0</v>
      </c>
      <c r="AL106" s="49">
        <v>0</v>
      </c>
      <c r="AM106" s="49">
        <v>1028.033935546875</v>
      </c>
      <c r="AN106" s="49">
        <v>0</v>
      </c>
      <c r="AO106" s="48">
        <v>9999</v>
      </c>
    </row>
    <row r="107" spans="1:41" ht="12.75" customHeight="1">
      <c r="A107" t="s">
        <v>423</v>
      </c>
      <c r="B107" t="s">
        <v>454</v>
      </c>
      <c r="C107" s="49">
        <v>18</v>
      </c>
      <c r="D107" s="49">
        <v>4303.560271504106</v>
      </c>
      <c r="E107" s="49">
        <v>1040.16</v>
      </c>
      <c r="F107" s="49">
        <v>0</v>
      </c>
      <c r="G107" s="49">
        <v>0</v>
      </c>
      <c r="H107" s="49" t="s">
        <v>183</v>
      </c>
      <c r="I107" s="49">
        <v>0.158</v>
      </c>
      <c r="J107" s="49">
        <v>0.35499998927116394</v>
      </c>
      <c r="K107" s="49">
        <v>4631.706742206294</v>
      </c>
      <c r="L107" s="60">
        <v>1.1879774606889861</v>
      </c>
      <c r="M107" s="49">
        <v>3.346415483358111</v>
      </c>
      <c r="N107" s="49"/>
      <c r="O107" s="49"/>
      <c r="P107" s="49">
        <v>1040.1568219504923</v>
      </c>
      <c r="Q107" s="49">
        <v>0</v>
      </c>
      <c r="R107" s="49">
        <v>0</v>
      </c>
      <c r="S107" s="49">
        <v>0</v>
      </c>
      <c r="T107" s="49">
        <v>0</v>
      </c>
      <c r="U107" s="49">
        <v>0</v>
      </c>
      <c r="V107" s="49">
        <v>1040.1568219504923</v>
      </c>
      <c r="W107" s="49">
        <v>0</v>
      </c>
      <c r="X107" s="49">
        <v>1040.1568219504923</v>
      </c>
      <c r="Y107" s="49">
        <v>0</v>
      </c>
      <c r="Z107" s="49">
        <v>0</v>
      </c>
      <c r="AA107" s="49">
        <v>18.837963104248047</v>
      </c>
      <c r="AB107" s="49">
        <v>0</v>
      </c>
      <c r="AC107" s="49">
        <v>18.83796234734981</v>
      </c>
      <c r="AD107" s="49">
        <v>1525.7352519024062</v>
      </c>
      <c r="AE107" s="49">
        <v>42.48672959575851</v>
      </c>
      <c r="AF107" s="49">
        <v>232.79879760742188</v>
      </c>
      <c r="AG107" s="49">
        <v>1799.0941726750225</v>
      </c>
      <c r="AH107" s="49">
        <v>1040.1568219504923</v>
      </c>
      <c r="AI107" s="48">
        <v>1.7296374303457223</v>
      </c>
      <c r="AJ107" s="49">
        <v>797.8729858398438</v>
      </c>
      <c r="AK107" s="49">
        <v>0</v>
      </c>
      <c r="AL107" s="49">
        <v>0</v>
      </c>
      <c r="AM107" s="49">
        <v>2596.967041015625</v>
      </c>
      <c r="AN107" s="49">
        <v>1040.1568219504923</v>
      </c>
      <c r="AO107" s="48">
        <v>2.4967072010040283</v>
      </c>
    </row>
    <row r="108" spans="1:41" ht="12.75" customHeight="1">
      <c r="A108" t="s">
        <v>423</v>
      </c>
      <c r="B108" t="s">
        <v>457</v>
      </c>
      <c r="C108" s="49">
        <v>18</v>
      </c>
      <c r="D108" s="49">
        <v>534.6744782669505</v>
      </c>
      <c r="E108" s="49">
        <v>0</v>
      </c>
      <c r="F108" s="49">
        <v>0</v>
      </c>
      <c r="G108" s="49">
        <v>0</v>
      </c>
      <c r="H108" s="49" t="s">
        <v>181</v>
      </c>
      <c r="I108" s="49">
        <v>0.17</v>
      </c>
      <c r="J108" s="49">
        <v>0</v>
      </c>
      <c r="K108" s="49">
        <v>575.4434072348055</v>
      </c>
      <c r="L108" s="60">
        <v>0</v>
      </c>
      <c r="M108" s="49">
        <v>0.38641109806258755</v>
      </c>
      <c r="N108" s="49"/>
      <c r="O108" s="49"/>
      <c r="P108" s="49">
        <v>0</v>
      </c>
      <c r="Q108" s="49">
        <v>0</v>
      </c>
      <c r="R108" s="49">
        <v>0</v>
      </c>
      <c r="S108" s="49">
        <v>0</v>
      </c>
      <c r="T108" s="49">
        <v>0</v>
      </c>
      <c r="U108" s="49">
        <v>0</v>
      </c>
      <c r="V108" s="49">
        <v>0</v>
      </c>
      <c r="W108" s="49">
        <v>0</v>
      </c>
      <c r="X108" s="49">
        <v>0</v>
      </c>
      <c r="Y108" s="49">
        <v>0</v>
      </c>
      <c r="Z108" s="49">
        <v>0</v>
      </c>
      <c r="AA108" s="49">
        <v>0</v>
      </c>
      <c r="AB108" s="49">
        <v>0</v>
      </c>
      <c r="AC108" s="49">
        <v>0</v>
      </c>
      <c r="AD108" s="49">
        <v>349.2216881410545</v>
      </c>
      <c r="AE108" s="49">
        <v>0</v>
      </c>
      <c r="AF108" s="49">
        <v>43.71744155883789</v>
      </c>
      <c r="AG108" s="49">
        <v>392.9391296998924</v>
      </c>
      <c r="AH108" s="49">
        <v>0</v>
      </c>
      <c r="AI108" s="48">
        <v>9999</v>
      </c>
      <c r="AJ108" s="49">
        <v>92.13050079345703</v>
      </c>
      <c r="AK108" s="49">
        <v>0</v>
      </c>
      <c r="AL108" s="49">
        <v>0</v>
      </c>
      <c r="AM108" s="49">
        <v>485.06964111328125</v>
      </c>
      <c r="AN108" s="49">
        <v>0</v>
      </c>
      <c r="AO108" s="48">
        <v>9999</v>
      </c>
    </row>
    <row r="109" spans="1:41" ht="12.75" customHeight="1">
      <c r="A109" t="s">
        <v>424</v>
      </c>
      <c r="B109" t="s">
        <v>454</v>
      </c>
      <c r="C109" s="49">
        <v>18</v>
      </c>
      <c r="D109" s="49">
        <v>4303.560271504106</v>
      </c>
      <c r="E109" s="49">
        <v>1040.16</v>
      </c>
      <c r="F109" s="49">
        <v>0</v>
      </c>
      <c r="G109" s="49">
        <v>0</v>
      </c>
      <c r="H109" s="49" t="s">
        <v>183</v>
      </c>
      <c r="I109" s="49">
        <v>0.158</v>
      </c>
      <c r="J109" s="49">
        <v>0.35499998927116394</v>
      </c>
      <c r="K109" s="49">
        <v>4631.706742206294</v>
      </c>
      <c r="L109" s="60">
        <v>1.1879774606889861</v>
      </c>
      <c r="M109" s="49">
        <v>3.346415483358111</v>
      </c>
      <c r="N109" s="49"/>
      <c r="O109" s="49"/>
      <c r="P109" s="49">
        <v>1040.1568219504923</v>
      </c>
      <c r="Q109" s="49">
        <v>0</v>
      </c>
      <c r="R109" s="49">
        <v>0</v>
      </c>
      <c r="S109" s="49">
        <v>0</v>
      </c>
      <c r="T109" s="49">
        <v>0</v>
      </c>
      <c r="U109" s="49">
        <v>0</v>
      </c>
      <c r="V109" s="49">
        <v>1040.1568219504923</v>
      </c>
      <c r="W109" s="49">
        <v>0</v>
      </c>
      <c r="X109" s="49">
        <v>1040.1568219504923</v>
      </c>
      <c r="Y109" s="49">
        <v>0</v>
      </c>
      <c r="Z109" s="49">
        <v>0</v>
      </c>
      <c r="AA109" s="49">
        <v>18.837963104248047</v>
      </c>
      <c r="AB109" s="49">
        <v>0</v>
      </c>
      <c r="AC109" s="49">
        <v>18.83796234734981</v>
      </c>
      <c r="AD109" s="49">
        <v>1525.7352519024062</v>
      </c>
      <c r="AE109" s="49">
        <v>42.48672959575851</v>
      </c>
      <c r="AF109" s="49">
        <v>232.79879760742188</v>
      </c>
      <c r="AG109" s="49">
        <v>1799.0941726750225</v>
      </c>
      <c r="AH109" s="49">
        <v>1040.1568219504923</v>
      </c>
      <c r="AI109" s="48">
        <v>1.7296374303457223</v>
      </c>
      <c r="AJ109" s="49">
        <v>797.8729858398438</v>
      </c>
      <c r="AK109" s="49">
        <v>0</v>
      </c>
      <c r="AL109" s="49">
        <v>0</v>
      </c>
      <c r="AM109" s="49">
        <v>2596.967041015625</v>
      </c>
      <c r="AN109" s="49">
        <v>1040.1568219504923</v>
      </c>
      <c r="AO109" s="48">
        <v>2.4967072010040283</v>
      </c>
    </row>
    <row r="110" spans="1:41" ht="12.75" customHeight="1">
      <c r="A110" t="s">
        <v>424</v>
      </c>
      <c r="B110" t="s">
        <v>459</v>
      </c>
      <c r="C110" s="49">
        <v>18</v>
      </c>
      <c r="D110" s="49">
        <v>1030.8741567717698</v>
      </c>
      <c r="E110" s="49">
        <v>0</v>
      </c>
      <c r="F110" s="49">
        <v>0</v>
      </c>
      <c r="G110" s="49">
        <v>0</v>
      </c>
      <c r="H110" s="49" t="s">
        <v>182</v>
      </c>
      <c r="I110" s="49">
        <v>0.17</v>
      </c>
      <c r="J110" s="49">
        <v>0</v>
      </c>
      <c r="K110" s="49">
        <v>1109.478311225617</v>
      </c>
      <c r="L110" s="60">
        <v>0</v>
      </c>
      <c r="M110" s="49">
        <v>0.7450163250239169</v>
      </c>
      <c r="N110" s="49"/>
      <c r="O110" s="49"/>
      <c r="P110" s="49">
        <v>0</v>
      </c>
      <c r="Q110" s="49">
        <v>0</v>
      </c>
      <c r="R110" s="49">
        <v>0</v>
      </c>
      <c r="S110" s="49">
        <v>0</v>
      </c>
      <c r="T110" s="49">
        <v>0</v>
      </c>
      <c r="U110" s="49">
        <v>0</v>
      </c>
      <c r="V110" s="49">
        <v>0</v>
      </c>
      <c r="W110" s="49">
        <v>0</v>
      </c>
      <c r="X110" s="49">
        <v>0</v>
      </c>
      <c r="Y110" s="49">
        <v>0</v>
      </c>
      <c r="Z110" s="49">
        <v>0</v>
      </c>
      <c r="AA110" s="49">
        <v>0</v>
      </c>
      <c r="AB110" s="49">
        <v>0</v>
      </c>
      <c r="AC110" s="49">
        <v>0</v>
      </c>
      <c r="AD110" s="49">
        <v>757.6771837955959</v>
      </c>
      <c r="AE110" s="49">
        <v>0</v>
      </c>
      <c r="AF110" s="49">
        <v>92.7253646850586</v>
      </c>
      <c r="AG110" s="49">
        <v>850.4025484806544</v>
      </c>
      <c r="AH110" s="49">
        <v>0</v>
      </c>
      <c r="AI110" s="48">
        <v>9999</v>
      </c>
      <c r="AJ110" s="49">
        <v>177.63133239746094</v>
      </c>
      <c r="AK110" s="49">
        <v>0</v>
      </c>
      <c r="AL110" s="49">
        <v>0</v>
      </c>
      <c r="AM110" s="49">
        <v>1028.033935546875</v>
      </c>
      <c r="AN110" s="49">
        <v>0</v>
      </c>
      <c r="AO110" s="48">
        <v>9999</v>
      </c>
    </row>
    <row r="111" spans="1:41" ht="12.75" customHeight="1">
      <c r="A111" t="s">
        <v>425</v>
      </c>
      <c r="B111" t="s">
        <v>456</v>
      </c>
      <c r="C111" s="49">
        <v>18</v>
      </c>
      <c r="D111" s="49">
        <v>6346.925241445269</v>
      </c>
      <c r="E111" s="49">
        <v>1040.16</v>
      </c>
      <c r="F111" s="49">
        <v>0</v>
      </c>
      <c r="G111" s="49">
        <v>0</v>
      </c>
      <c r="H111" s="49" t="s">
        <v>184</v>
      </c>
      <c r="I111" s="49">
        <v>0.158</v>
      </c>
      <c r="J111" s="49">
        <v>0.35499998927116394</v>
      </c>
      <c r="K111" s="49">
        <v>6830.878291105471</v>
      </c>
      <c r="L111" s="60">
        <v>1.7520386972249211</v>
      </c>
      <c r="M111" s="49">
        <v>4.935320423028633</v>
      </c>
      <c r="N111" s="49"/>
      <c r="O111" s="49"/>
      <c r="P111" s="49">
        <v>1040.1568219504923</v>
      </c>
      <c r="Q111" s="49">
        <v>0</v>
      </c>
      <c r="R111" s="49">
        <v>0</v>
      </c>
      <c r="S111" s="49">
        <v>0</v>
      </c>
      <c r="T111" s="49">
        <v>0</v>
      </c>
      <c r="U111" s="49">
        <v>0</v>
      </c>
      <c r="V111" s="49">
        <v>1040.1568219504923</v>
      </c>
      <c r="W111" s="49">
        <v>0</v>
      </c>
      <c r="X111" s="49">
        <v>1040.1568219504923</v>
      </c>
      <c r="Y111" s="49">
        <v>0</v>
      </c>
      <c r="Z111" s="49">
        <v>0</v>
      </c>
      <c r="AA111" s="49">
        <v>12.773161888122559</v>
      </c>
      <c r="AB111" s="49">
        <v>0</v>
      </c>
      <c r="AC111" s="49">
        <v>12.773162321931524</v>
      </c>
      <c r="AD111" s="49">
        <v>2355.0932367217274</v>
      </c>
      <c r="AE111" s="49">
        <v>62.65976993126498</v>
      </c>
      <c r="AF111" s="49">
        <v>353.826171875</v>
      </c>
      <c r="AG111" s="49">
        <v>2768.7378038955876</v>
      </c>
      <c r="AH111" s="49">
        <v>1040.1568219504923</v>
      </c>
      <c r="AI111" s="48">
        <v>2.661846507629183</v>
      </c>
      <c r="AJ111" s="49">
        <v>1176.7093505859375</v>
      </c>
      <c r="AK111" s="49">
        <v>0</v>
      </c>
      <c r="AL111" s="49">
        <v>0</v>
      </c>
      <c r="AM111" s="49">
        <v>3945.447265625</v>
      </c>
      <c r="AN111" s="49">
        <v>1040.1568219504923</v>
      </c>
      <c r="AO111" s="48">
        <v>3.7931272983551025</v>
      </c>
    </row>
    <row r="112" spans="1:41" ht="12.75" customHeight="1">
      <c r="A112" t="s">
        <v>425</v>
      </c>
      <c r="B112" t="s">
        <v>459</v>
      </c>
      <c r="C112" s="49">
        <v>18</v>
      </c>
      <c r="D112" s="49">
        <v>1030.8741567717698</v>
      </c>
      <c r="E112" s="49">
        <v>0</v>
      </c>
      <c r="F112" s="49">
        <v>0</v>
      </c>
      <c r="G112" s="49">
        <v>0</v>
      </c>
      <c r="H112" s="49" t="s">
        <v>182</v>
      </c>
      <c r="I112" s="49">
        <v>0.17</v>
      </c>
      <c r="J112" s="49">
        <v>0</v>
      </c>
      <c r="K112" s="49">
        <v>1109.478311225617</v>
      </c>
      <c r="L112" s="60">
        <v>0</v>
      </c>
      <c r="M112" s="49">
        <v>0.7450163250239169</v>
      </c>
      <c r="N112" s="49"/>
      <c r="O112" s="49"/>
      <c r="P112" s="49">
        <v>0</v>
      </c>
      <c r="Q112" s="49">
        <v>0</v>
      </c>
      <c r="R112" s="49">
        <v>0</v>
      </c>
      <c r="S112" s="49">
        <v>0</v>
      </c>
      <c r="T112" s="49">
        <v>0</v>
      </c>
      <c r="U112" s="49">
        <v>0</v>
      </c>
      <c r="V112" s="49">
        <v>0</v>
      </c>
      <c r="W112" s="49">
        <v>0</v>
      </c>
      <c r="X112" s="49">
        <v>0</v>
      </c>
      <c r="Y112" s="49">
        <v>0</v>
      </c>
      <c r="Z112" s="49">
        <v>0</v>
      </c>
      <c r="AA112" s="49">
        <v>0</v>
      </c>
      <c r="AB112" s="49">
        <v>0</v>
      </c>
      <c r="AC112" s="49">
        <v>0</v>
      </c>
      <c r="AD112" s="49">
        <v>757.6771837955959</v>
      </c>
      <c r="AE112" s="49">
        <v>0</v>
      </c>
      <c r="AF112" s="49">
        <v>92.7253646850586</v>
      </c>
      <c r="AG112" s="49">
        <v>850.4025484806544</v>
      </c>
      <c r="AH112" s="49">
        <v>0</v>
      </c>
      <c r="AI112" s="48">
        <v>9999</v>
      </c>
      <c r="AJ112" s="49">
        <v>177.63133239746094</v>
      </c>
      <c r="AK112" s="49">
        <v>0</v>
      </c>
      <c r="AL112" s="49">
        <v>0</v>
      </c>
      <c r="AM112" s="49">
        <v>1028.033935546875</v>
      </c>
      <c r="AN112" s="49">
        <v>0</v>
      </c>
      <c r="AO112" s="48">
        <v>9999</v>
      </c>
    </row>
    <row r="113" spans="1:41" ht="12.75" customHeight="1">
      <c r="A113" t="s">
        <v>426</v>
      </c>
      <c r="B113" t="s">
        <v>456</v>
      </c>
      <c r="C113" s="49">
        <v>18</v>
      </c>
      <c r="D113" s="49">
        <v>6346.925241445269</v>
      </c>
      <c r="E113" s="49">
        <v>1040.16</v>
      </c>
      <c r="F113" s="49">
        <v>0</v>
      </c>
      <c r="G113" s="49">
        <v>0</v>
      </c>
      <c r="H113" s="49" t="s">
        <v>184</v>
      </c>
      <c r="I113" s="49">
        <v>0.158</v>
      </c>
      <c r="J113" s="49">
        <v>0.35499998927116394</v>
      </c>
      <c r="K113" s="49">
        <v>6830.878291105471</v>
      </c>
      <c r="L113" s="60">
        <v>1.7520386972249211</v>
      </c>
      <c r="M113" s="49">
        <v>4.935320423028633</v>
      </c>
      <c r="N113" s="49"/>
      <c r="O113" s="49"/>
      <c r="P113" s="49">
        <v>1040.1568219504923</v>
      </c>
      <c r="Q113" s="49">
        <v>0</v>
      </c>
      <c r="R113" s="49">
        <v>0</v>
      </c>
      <c r="S113" s="49">
        <v>0</v>
      </c>
      <c r="T113" s="49">
        <v>0</v>
      </c>
      <c r="U113" s="49">
        <v>0</v>
      </c>
      <c r="V113" s="49">
        <v>1040.1568219504923</v>
      </c>
      <c r="W113" s="49">
        <v>0</v>
      </c>
      <c r="X113" s="49">
        <v>1040.1568219504923</v>
      </c>
      <c r="Y113" s="49">
        <v>0</v>
      </c>
      <c r="Z113" s="49">
        <v>0</v>
      </c>
      <c r="AA113" s="49">
        <v>12.773161888122559</v>
      </c>
      <c r="AB113" s="49">
        <v>0</v>
      </c>
      <c r="AC113" s="49">
        <v>12.773162321931524</v>
      </c>
      <c r="AD113" s="49">
        <v>2355.0932367217274</v>
      </c>
      <c r="AE113" s="49">
        <v>62.65976993126498</v>
      </c>
      <c r="AF113" s="49">
        <v>353.826171875</v>
      </c>
      <c r="AG113" s="49">
        <v>2768.7378038955876</v>
      </c>
      <c r="AH113" s="49">
        <v>1040.1568219504923</v>
      </c>
      <c r="AI113" s="48">
        <v>2.661846507629183</v>
      </c>
      <c r="AJ113" s="49">
        <v>1176.7093505859375</v>
      </c>
      <c r="AK113" s="49">
        <v>0</v>
      </c>
      <c r="AL113" s="49">
        <v>0</v>
      </c>
      <c r="AM113" s="49">
        <v>3945.447265625</v>
      </c>
      <c r="AN113" s="49">
        <v>1040.1568219504923</v>
      </c>
      <c r="AO113" s="48">
        <v>3.7931272983551025</v>
      </c>
    </row>
    <row r="114" spans="1:41" ht="12.75" customHeight="1">
      <c r="A114" t="s">
        <v>426</v>
      </c>
      <c r="B114" t="s">
        <v>455</v>
      </c>
      <c r="C114" s="49">
        <v>18</v>
      </c>
      <c r="D114" s="49">
        <v>254.8510282004761</v>
      </c>
      <c r="E114" s="49">
        <v>0</v>
      </c>
      <c r="F114" s="49">
        <v>0</v>
      </c>
      <c r="G114" s="49">
        <v>0</v>
      </c>
      <c r="H114" s="49" t="s">
        <v>180</v>
      </c>
      <c r="I114" s="49">
        <v>0.17</v>
      </c>
      <c r="J114" s="49">
        <v>0</v>
      </c>
      <c r="K114" s="49">
        <v>274.2834191007624</v>
      </c>
      <c r="L114" s="60">
        <v>0</v>
      </c>
      <c r="M114" s="49">
        <v>0.1841817211259484</v>
      </c>
      <c r="N114" s="49"/>
      <c r="O114" s="49"/>
      <c r="P114" s="49">
        <v>0</v>
      </c>
      <c r="Q114" s="49">
        <v>0</v>
      </c>
      <c r="R114" s="49">
        <v>0</v>
      </c>
      <c r="S114" s="49">
        <v>0</v>
      </c>
      <c r="T114" s="49">
        <v>0</v>
      </c>
      <c r="U114" s="49">
        <v>0</v>
      </c>
      <c r="V114" s="49">
        <v>0</v>
      </c>
      <c r="W114" s="49">
        <v>0</v>
      </c>
      <c r="X114" s="49">
        <v>0</v>
      </c>
      <c r="Y114" s="49">
        <v>0</v>
      </c>
      <c r="Z114" s="49">
        <v>0</v>
      </c>
      <c r="AA114" s="49">
        <v>0</v>
      </c>
      <c r="AB114" s="49">
        <v>0</v>
      </c>
      <c r="AC114" s="49">
        <v>0</v>
      </c>
      <c r="AD114" s="49">
        <v>159.02238786135644</v>
      </c>
      <c r="AE114" s="49">
        <v>0</v>
      </c>
      <c r="AF114" s="49">
        <v>20.094480514526367</v>
      </c>
      <c r="AG114" s="49">
        <v>179.1168683758828</v>
      </c>
      <c r="AH114" s="49">
        <v>0</v>
      </c>
      <c r="AI114" s="48">
        <v>9999</v>
      </c>
      <c r="AJ114" s="49">
        <v>43.91373062133789</v>
      </c>
      <c r="AK114" s="49">
        <v>0</v>
      </c>
      <c r="AL114" s="49">
        <v>0</v>
      </c>
      <c r="AM114" s="49">
        <v>223.0305938720703</v>
      </c>
      <c r="AN114" s="49">
        <v>0</v>
      </c>
      <c r="AO114" s="48">
        <v>9999</v>
      </c>
    </row>
    <row r="115" spans="1:41" ht="12.75" customHeight="1">
      <c r="A115" t="s">
        <v>427</v>
      </c>
      <c r="B115" t="s">
        <v>458</v>
      </c>
      <c r="C115" s="49">
        <v>18</v>
      </c>
      <c r="D115" s="49">
        <v>7580.718560511597</v>
      </c>
      <c r="E115" s="49">
        <v>1040.16</v>
      </c>
      <c r="F115" s="49">
        <v>0</v>
      </c>
      <c r="G115" s="49">
        <v>0</v>
      </c>
      <c r="H115" s="49" t="s">
        <v>185</v>
      </c>
      <c r="I115" s="49">
        <v>0.158</v>
      </c>
      <c r="J115" s="49">
        <v>0.35499998927116394</v>
      </c>
      <c r="K115" s="49">
        <v>8158.748350750606</v>
      </c>
      <c r="L115" s="60">
        <v>2.0926215081372406</v>
      </c>
      <c r="M115" s="49">
        <v>5.894708651776347</v>
      </c>
      <c r="N115" s="49"/>
      <c r="O115" s="49"/>
      <c r="P115" s="49">
        <v>1040.1568219504923</v>
      </c>
      <c r="Q115" s="49">
        <v>0</v>
      </c>
      <c r="R115" s="49">
        <v>0</v>
      </c>
      <c r="S115" s="49">
        <v>0</v>
      </c>
      <c r="T115" s="49">
        <v>0</v>
      </c>
      <c r="U115" s="49">
        <v>0</v>
      </c>
      <c r="V115" s="49">
        <v>1040.1568219504923</v>
      </c>
      <c r="W115" s="49">
        <v>0</v>
      </c>
      <c r="X115" s="49">
        <v>1040.1568219504923</v>
      </c>
      <c r="Y115" s="49">
        <v>0</v>
      </c>
      <c r="Z115" s="49">
        <v>0</v>
      </c>
      <c r="AA115" s="49">
        <v>10.6942777633667</v>
      </c>
      <c r="AB115" s="49">
        <v>0</v>
      </c>
      <c r="AC115" s="49">
        <v>10.694277291396201</v>
      </c>
      <c r="AD115" s="49">
        <v>2843.761251549541</v>
      </c>
      <c r="AE115" s="49">
        <v>74.84034596997434</v>
      </c>
      <c r="AF115" s="49">
        <v>425.69287109375</v>
      </c>
      <c r="AG115" s="49">
        <v>3340.900752665174</v>
      </c>
      <c r="AH115" s="49">
        <v>1040.1568219504923</v>
      </c>
      <c r="AI115" s="48">
        <v>3.2119202433344123</v>
      </c>
      <c r="AJ115" s="49">
        <v>1405.45263671875</v>
      </c>
      <c r="AK115" s="49">
        <v>0</v>
      </c>
      <c r="AL115" s="49">
        <v>0</v>
      </c>
      <c r="AM115" s="49">
        <v>4746.353515625</v>
      </c>
      <c r="AN115" s="49">
        <v>1040.1568219504923</v>
      </c>
      <c r="AO115" s="48">
        <v>4.563113212585449</v>
      </c>
    </row>
    <row r="116" spans="1:41" ht="12.75" customHeight="1">
      <c r="A116" t="s">
        <v>427</v>
      </c>
      <c r="B116" t="s">
        <v>455</v>
      </c>
      <c r="C116" s="49">
        <v>18</v>
      </c>
      <c r="D116" s="49">
        <v>254.8510282004761</v>
      </c>
      <c r="E116" s="49">
        <v>0</v>
      </c>
      <c r="F116" s="49">
        <v>0</v>
      </c>
      <c r="G116" s="49">
        <v>0</v>
      </c>
      <c r="H116" s="49" t="s">
        <v>180</v>
      </c>
      <c r="I116" s="49">
        <v>0.17</v>
      </c>
      <c r="J116" s="49">
        <v>0</v>
      </c>
      <c r="K116" s="49">
        <v>274.2834191007624</v>
      </c>
      <c r="L116" s="60">
        <v>0</v>
      </c>
      <c r="M116" s="49">
        <v>0.1841817211259484</v>
      </c>
      <c r="N116" s="49"/>
      <c r="O116" s="49"/>
      <c r="P116" s="49">
        <v>0</v>
      </c>
      <c r="Q116" s="49">
        <v>0</v>
      </c>
      <c r="R116" s="49">
        <v>0</v>
      </c>
      <c r="S116" s="49">
        <v>0</v>
      </c>
      <c r="T116" s="49">
        <v>0</v>
      </c>
      <c r="U116" s="49">
        <v>0</v>
      </c>
      <c r="V116" s="49">
        <v>0</v>
      </c>
      <c r="W116" s="49">
        <v>0</v>
      </c>
      <c r="X116" s="49">
        <v>0</v>
      </c>
      <c r="Y116" s="49">
        <v>0</v>
      </c>
      <c r="Z116" s="49">
        <v>0</v>
      </c>
      <c r="AA116" s="49">
        <v>0</v>
      </c>
      <c r="AB116" s="49">
        <v>0</v>
      </c>
      <c r="AC116" s="49">
        <v>0</v>
      </c>
      <c r="AD116" s="49">
        <v>159.02238786135644</v>
      </c>
      <c r="AE116" s="49">
        <v>0</v>
      </c>
      <c r="AF116" s="49">
        <v>20.094480514526367</v>
      </c>
      <c r="AG116" s="49">
        <v>179.1168683758828</v>
      </c>
      <c r="AH116" s="49">
        <v>0</v>
      </c>
      <c r="AI116" s="48">
        <v>9999</v>
      </c>
      <c r="AJ116" s="49">
        <v>43.91373062133789</v>
      </c>
      <c r="AK116" s="49">
        <v>0</v>
      </c>
      <c r="AL116" s="49">
        <v>0</v>
      </c>
      <c r="AM116" s="49">
        <v>223.0305938720703</v>
      </c>
      <c r="AN116" s="49">
        <v>0</v>
      </c>
      <c r="AO116" s="48">
        <v>9999</v>
      </c>
    </row>
    <row r="117" spans="1:41" ht="12.75" customHeight="1">
      <c r="A117" t="s">
        <v>428</v>
      </c>
      <c r="B117" t="s">
        <v>458</v>
      </c>
      <c r="C117" s="49">
        <v>18</v>
      </c>
      <c r="D117" s="49">
        <v>7580.718560511597</v>
      </c>
      <c r="E117" s="49">
        <v>1040.16</v>
      </c>
      <c r="F117" s="49">
        <v>0</v>
      </c>
      <c r="G117" s="49">
        <v>0</v>
      </c>
      <c r="H117" s="49" t="s">
        <v>185</v>
      </c>
      <c r="I117" s="49">
        <v>0.158</v>
      </c>
      <c r="J117" s="49">
        <v>0.35499998927116394</v>
      </c>
      <c r="K117" s="49">
        <v>8158.748350750606</v>
      </c>
      <c r="L117" s="60">
        <v>2.0926215081372406</v>
      </c>
      <c r="M117" s="49">
        <v>5.894708651776347</v>
      </c>
      <c r="N117" s="49"/>
      <c r="O117" s="49"/>
      <c r="P117" s="49">
        <v>1040.1568219504923</v>
      </c>
      <c r="Q117" s="49">
        <v>0</v>
      </c>
      <c r="R117" s="49">
        <v>0</v>
      </c>
      <c r="S117" s="49">
        <v>0</v>
      </c>
      <c r="T117" s="49">
        <v>0</v>
      </c>
      <c r="U117" s="49">
        <v>0</v>
      </c>
      <c r="V117" s="49">
        <v>1040.1568219504923</v>
      </c>
      <c r="W117" s="49">
        <v>0</v>
      </c>
      <c r="X117" s="49">
        <v>1040.1568219504923</v>
      </c>
      <c r="Y117" s="49">
        <v>0</v>
      </c>
      <c r="Z117" s="49">
        <v>0</v>
      </c>
      <c r="AA117" s="49">
        <v>10.6942777633667</v>
      </c>
      <c r="AB117" s="49">
        <v>0</v>
      </c>
      <c r="AC117" s="49">
        <v>10.694277291396201</v>
      </c>
      <c r="AD117" s="49">
        <v>2843.761251549541</v>
      </c>
      <c r="AE117" s="49">
        <v>74.84034596997434</v>
      </c>
      <c r="AF117" s="49">
        <v>425.69287109375</v>
      </c>
      <c r="AG117" s="49">
        <v>3340.900752665174</v>
      </c>
      <c r="AH117" s="49">
        <v>1040.1568219504923</v>
      </c>
      <c r="AI117" s="48">
        <v>3.2119202433344123</v>
      </c>
      <c r="AJ117" s="49">
        <v>1405.45263671875</v>
      </c>
      <c r="AK117" s="49">
        <v>0</v>
      </c>
      <c r="AL117" s="49">
        <v>0</v>
      </c>
      <c r="AM117" s="49">
        <v>4746.353515625</v>
      </c>
      <c r="AN117" s="49">
        <v>1040.1568219504923</v>
      </c>
      <c r="AO117" s="48">
        <v>4.563113212585449</v>
      </c>
    </row>
    <row r="118" spans="1:41" ht="12.75" customHeight="1">
      <c r="A118" t="s">
        <v>428</v>
      </c>
      <c r="B118" t="s">
        <v>457</v>
      </c>
      <c r="C118" s="49">
        <v>18</v>
      </c>
      <c r="D118" s="49">
        <v>534.6744782669505</v>
      </c>
      <c r="E118" s="49">
        <v>0</v>
      </c>
      <c r="F118" s="49">
        <v>0</v>
      </c>
      <c r="G118" s="49">
        <v>0</v>
      </c>
      <c r="H118" s="49" t="s">
        <v>181</v>
      </c>
      <c r="I118" s="49">
        <v>0.17</v>
      </c>
      <c r="J118" s="49">
        <v>0</v>
      </c>
      <c r="K118" s="49">
        <v>575.4434072348055</v>
      </c>
      <c r="L118" s="60">
        <v>0</v>
      </c>
      <c r="M118" s="49">
        <v>0.38641109806258755</v>
      </c>
      <c r="N118" s="49"/>
      <c r="O118" s="49"/>
      <c r="P118" s="49">
        <v>0</v>
      </c>
      <c r="Q118" s="49">
        <v>0</v>
      </c>
      <c r="R118" s="49">
        <v>0</v>
      </c>
      <c r="S118" s="49">
        <v>0</v>
      </c>
      <c r="T118" s="49">
        <v>0</v>
      </c>
      <c r="U118" s="49">
        <v>0</v>
      </c>
      <c r="V118" s="49">
        <v>0</v>
      </c>
      <c r="W118" s="49">
        <v>0</v>
      </c>
      <c r="X118" s="49">
        <v>0</v>
      </c>
      <c r="Y118" s="49">
        <v>0</v>
      </c>
      <c r="Z118" s="49">
        <v>0</v>
      </c>
      <c r="AA118" s="49">
        <v>0</v>
      </c>
      <c r="AB118" s="49">
        <v>0</v>
      </c>
      <c r="AC118" s="49">
        <v>0</v>
      </c>
      <c r="AD118" s="49">
        <v>349.2216881410545</v>
      </c>
      <c r="AE118" s="49">
        <v>0</v>
      </c>
      <c r="AF118" s="49">
        <v>43.71744155883789</v>
      </c>
      <c r="AG118" s="49">
        <v>392.9391296998924</v>
      </c>
      <c r="AH118" s="49">
        <v>0</v>
      </c>
      <c r="AI118" s="48">
        <v>9999</v>
      </c>
      <c r="AJ118" s="49">
        <v>92.13050079345703</v>
      </c>
      <c r="AK118" s="49">
        <v>0</v>
      </c>
      <c r="AL118" s="49">
        <v>0</v>
      </c>
      <c r="AM118" s="49">
        <v>485.06964111328125</v>
      </c>
      <c r="AN118" s="49">
        <v>0</v>
      </c>
      <c r="AO118" s="48">
        <v>9999</v>
      </c>
    </row>
    <row r="119" spans="1:41" ht="12.75" customHeight="1">
      <c r="A119" t="s">
        <v>429</v>
      </c>
      <c r="B119" t="s">
        <v>460</v>
      </c>
      <c r="C119" s="49">
        <v>18</v>
      </c>
      <c r="D119" s="49">
        <v>2671.5664496959707</v>
      </c>
      <c r="E119" s="49">
        <v>1040.16</v>
      </c>
      <c r="F119" s="49">
        <v>0</v>
      </c>
      <c r="G119" s="49">
        <v>0</v>
      </c>
      <c r="H119" s="49" t="s">
        <v>183</v>
      </c>
      <c r="I119" s="49">
        <v>0.158</v>
      </c>
      <c r="J119" s="49">
        <v>0.35499998927116394</v>
      </c>
      <c r="K119" s="49">
        <v>2875.2733914852884</v>
      </c>
      <c r="L119" s="60">
        <v>0.7374732841518846</v>
      </c>
      <c r="M119" s="49">
        <v>2.077389595605231</v>
      </c>
      <c r="N119" s="49"/>
      <c r="O119" s="49"/>
      <c r="P119" s="49">
        <v>1040.1568219504923</v>
      </c>
      <c r="Q119" s="49">
        <v>0</v>
      </c>
      <c r="R119" s="49">
        <v>0</v>
      </c>
      <c r="S119" s="49">
        <v>0</v>
      </c>
      <c r="T119" s="49">
        <v>0</v>
      </c>
      <c r="U119" s="49">
        <v>0</v>
      </c>
      <c r="V119" s="49">
        <v>1040.1568219504923</v>
      </c>
      <c r="W119" s="49">
        <v>0</v>
      </c>
      <c r="X119" s="49">
        <v>1040.1568219504923</v>
      </c>
      <c r="Y119" s="49">
        <v>0</v>
      </c>
      <c r="Z119" s="49">
        <v>0</v>
      </c>
      <c r="AA119" s="49">
        <v>30.34560775756836</v>
      </c>
      <c r="AB119" s="49">
        <v>0</v>
      </c>
      <c r="AC119" s="49">
        <v>30.34560729843378</v>
      </c>
      <c r="AD119" s="49">
        <v>947.146746634569</v>
      </c>
      <c r="AE119" s="49">
        <v>26.374934748076058</v>
      </c>
      <c r="AF119" s="49">
        <v>144.51695251464844</v>
      </c>
      <c r="AG119" s="49">
        <v>1116.842634125722</v>
      </c>
      <c r="AH119" s="49">
        <v>1040.1568219504923</v>
      </c>
      <c r="AI119" s="48">
        <v>1.0737252408068902</v>
      </c>
      <c r="AJ119" s="49">
        <v>495.3039245605469</v>
      </c>
      <c r="AK119" s="49">
        <v>0</v>
      </c>
      <c r="AL119" s="49">
        <v>0</v>
      </c>
      <c r="AM119" s="49">
        <v>1612.1466064453125</v>
      </c>
      <c r="AN119" s="49">
        <v>1040.1568219504923</v>
      </c>
      <c r="AO119" s="48">
        <v>1.5499072074890137</v>
      </c>
    </row>
    <row r="120" spans="1:41" ht="12.75" customHeight="1">
      <c r="A120" t="s">
        <v>429</v>
      </c>
      <c r="B120" t="s">
        <v>461</v>
      </c>
      <c r="C120" s="49">
        <v>18</v>
      </c>
      <c r="D120" s="49">
        <v>171.44381029381435</v>
      </c>
      <c r="E120" s="49"/>
      <c r="F120" s="49">
        <v>0</v>
      </c>
      <c r="G120" s="49">
        <v>0</v>
      </c>
      <c r="H120" s="49" t="s">
        <v>180</v>
      </c>
      <c r="I120" s="49">
        <v>0.17</v>
      </c>
      <c r="J120" s="49">
        <v>0</v>
      </c>
      <c r="K120" s="49">
        <v>184.5164008287177</v>
      </c>
      <c r="L120" s="60">
        <v>0</v>
      </c>
      <c r="M120" s="49">
        <v>0.12390303574316257</v>
      </c>
      <c r="N120" s="49"/>
      <c r="O120" s="49"/>
      <c r="P120" s="49">
        <v>0</v>
      </c>
      <c r="Q120" s="49">
        <v>0</v>
      </c>
      <c r="R120" s="49">
        <v>0</v>
      </c>
      <c r="S120" s="49">
        <v>0</v>
      </c>
      <c r="T120" s="49">
        <v>0</v>
      </c>
      <c r="U120" s="49">
        <v>0</v>
      </c>
      <c r="V120" s="49">
        <v>0</v>
      </c>
      <c r="W120" s="49">
        <v>0</v>
      </c>
      <c r="X120" s="49">
        <v>0</v>
      </c>
      <c r="Y120" s="49">
        <v>0</v>
      </c>
      <c r="Z120" s="49">
        <v>0</v>
      </c>
      <c r="AA120" s="49">
        <v>0</v>
      </c>
      <c r="AB120" s="49">
        <v>0</v>
      </c>
      <c r="AC120" s="49">
        <v>0</v>
      </c>
      <c r="AD120" s="49">
        <v>106.97780695444264</v>
      </c>
      <c r="AE120" s="49">
        <v>0</v>
      </c>
      <c r="AF120" s="49">
        <v>13.517992973327637</v>
      </c>
      <c r="AG120" s="49">
        <v>120.49579992777028</v>
      </c>
      <c r="AH120" s="49">
        <v>0</v>
      </c>
      <c r="AI120" s="48">
        <v>9999</v>
      </c>
      <c r="AJ120" s="49">
        <v>29.54172134399414</v>
      </c>
      <c r="AK120" s="49">
        <v>0</v>
      </c>
      <c r="AL120" s="49">
        <v>0</v>
      </c>
      <c r="AM120" s="49">
        <v>150.0375213623047</v>
      </c>
      <c r="AN120" s="49">
        <v>0</v>
      </c>
      <c r="AO120" s="48">
        <v>9999</v>
      </c>
    </row>
    <row r="121" spans="1:41" ht="12.75" customHeight="1">
      <c r="A121" t="s">
        <v>430</v>
      </c>
      <c r="B121" t="s">
        <v>462</v>
      </c>
      <c r="C121" s="49">
        <v>18</v>
      </c>
      <c r="D121" s="49">
        <v>4062.155898512211</v>
      </c>
      <c r="E121" s="49">
        <v>1040.16</v>
      </c>
      <c r="F121" s="49">
        <v>0</v>
      </c>
      <c r="G121" s="49">
        <v>0</v>
      </c>
      <c r="H121" s="49" t="s">
        <v>184</v>
      </c>
      <c r="I121" s="49">
        <v>0.158</v>
      </c>
      <c r="J121" s="49">
        <v>0.35499998927116394</v>
      </c>
      <c r="K121" s="49">
        <v>4371.895285773767</v>
      </c>
      <c r="L121" s="60">
        <v>1.1213389251664208</v>
      </c>
      <c r="M121" s="49">
        <v>3.1587012931143916</v>
      </c>
      <c r="N121" s="49"/>
      <c r="O121" s="49"/>
      <c r="P121" s="49">
        <v>1040.1568219504923</v>
      </c>
      <c r="Q121" s="49">
        <v>0</v>
      </c>
      <c r="R121" s="49">
        <v>0</v>
      </c>
      <c r="S121" s="49">
        <v>0</v>
      </c>
      <c r="T121" s="49">
        <v>0</v>
      </c>
      <c r="U121" s="49">
        <v>0</v>
      </c>
      <c r="V121" s="49">
        <v>1040.1568219504923</v>
      </c>
      <c r="W121" s="49">
        <v>0</v>
      </c>
      <c r="X121" s="49">
        <v>1040.1568219504923</v>
      </c>
      <c r="Y121" s="49">
        <v>0</v>
      </c>
      <c r="Z121" s="49">
        <v>0</v>
      </c>
      <c r="AA121" s="49">
        <v>19.95745849609375</v>
      </c>
      <c r="AB121" s="49">
        <v>0</v>
      </c>
      <c r="AC121" s="49">
        <v>19.957458152661584</v>
      </c>
      <c r="AD121" s="49">
        <v>1507.3055880073562</v>
      </c>
      <c r="AE121" s="49">
        <v>40.103474413658894</v>
      </c>
      <c r="AF121" s="49">
        <v>226.45565795898438</v>
      </c>
      <c r="AG121" s="49">
        <v>1772.0461852178807</v>
      </c>
      <c r="AH121" s="49">
        <v>1040.1568219504923</v>
      </c>
      <c r="AI121" s="48">
        <v>1.7036336712140738</v>
      </c>
      <c r="AJ121" s="49">
        <v>753.1170043945312</v>
      </c>
      <c r="AK121" s="49">
        <v>0</v>
      </c>
      <c r="AL121" s="49">
        <v>0</v>
      </c>
      <c r="AM121" s="49">
        <v>2525.1630859375</v>
      </c>
      <c r="AN121" s="49">
        <v>1040.1568219504923</v>
      </c>
      <c r="AO121" s="48">
        <v>2.427675247192383</v>
      </c>
    </row>
    <row r="122" spans="1:41" ht="12.75" customHeight="1">
      <c r="A122" t="s">
        <v>430</v>
      </c>
      <c r="B122" t="s">
        <v>463</v>
      </c>
      <c r="C122" s="49">
        <v>18</v>
      </c>
      <c r="D122" s="49">
        <v>371.4811092936329</v>
      </c>
      <c r="E122" s="49"/>
      <c r="F122" s="49">
        <v>0</v>
      </c>
      <c r="G122" s="49">
        <v>0</v>
      </c>
      <c r="H122" s="49" t="s">
        <v>181</v>
      </c>
      <c r="I122" s="49">
        <v>0.17</v>
      </c>
      <c r="J122" s="49">
        <v>0</v>
      </c>
      <c r="K122" s="49">
        <v>399.8065438772724</v>
      </c>
      <c r="L122" s="60">
        <v>0</v>
      </c>
      <c r="M122" s="49">
        <v>0.2684706848490951</v>
      </c>
      <c r="N122" s="49"/>
      <c r="O122" s="49"/>
      <c r="P122" s="49">
        <v>0</v>
      </c>
      <c r="Q122" s="49">
        <v>0</v>
      </c>
      <c r="R122" s="49">
        <v>0</v>
      </c>
      <c r="S122" s="49">
        <v>0</v>
      </c>
      <c r="T122" s="49">
        <v>0</v>
      </c>
      <c r="U122" s="49">
        <v>0</v>
      </c>
      <c r="V122" s="49">
        <v>0</v>
      </c>
      <c r="W122" s="49">
        <v>0</v>
      </c>
      <c r="X122" s="49">
        <v>0</v>
      </c>
      <c r="Y122" s="49">
        <v>0</v>
      </c>
      <c r="Z122" s="49">
        <v>0</v>
      </c>
      <c r="AA122" s="49">
        <v>0</v>
      </c>
      <c r="AB122" s="49">
        <v>0</v>
      </c>
      <c r="AC122" s="49">
        <v>0</v>
      </c>
      <c r="AD122" s="49">
        <v>242.63222834298682</v>
      </c>
      <c r="AE122" s="49">
        <v>0</v>
      </c>
      <c r="AF122" s="49">
        <v>30.37400245666504</v>
      </c>
      <c r="AG122" s="49">
        <v>273.00623079965186</v>
      </c>
      <c r="AH122" s="49">
        <v>0</v>
      </c>
      <c r="AI122" s="48">
        <v>9999</v>
      </c>
      <c r="AJ122" s="49">
        <v>64.01042175292969</v>
      </c>
      <c r="AK122" s="49">
        <v>0</v>
      </c>
      <c r="AL122" s="49">
        <v>0</v>
      </c>
      <c r="AM122" s="49">
        <v>337.01666259765625</v>
      </c>
      <c r="AN122" s="49">
        <v>0</v>
      </c>
      <c r="AO122" s="48">
        <v>9999</v>
      </c>
    </row>
    <row r="123" spans="1:41" ht="12.75" customHeight="1">
      <c r="A123" t="s">
        <v>431</v>
      </c>
      <c r="B123" t="s">
        <v>464</v>
      </c>
      <c r="C123" s="49">
        <v>18</v>
      </c>
      <c r="D123" s="49">
        <v>4906.7500817782475</v>
      </c>
      <c r="E123" s="49">
        <v>1040.16</v>
      </c>
      <c r="F123" s="49">
        <v>0</v>
      </c>
      <c r="G123" s="49">
        <v>0</v>
      </c>
      <c r="H123" s="49" t="s">
        <v>185</v>
      </c>
      <c r="I123" s="49">
        <v>0.158</v>
      </c>
      <c r="J123" s="49">
        <v>0.35499998927116394</v>
      </c>
      <c r="K123" s="49">
        <v>5280.889775513839</v>
      </c>
      <c r="L123" s="60">
        <v>1.354485155229186</v>
      </c>
      <c r="M123" s="49">
        <v>3.8154512568015133</v>
      </c>
      <c r="N123" s="49"/>
      <c r="O123" s="49"/>
      <c r="P123" s="49">
        <v>1040.1568219504923</v>
      </c>
      <c r="Q123" s="49">
        <v>0</v>
      </c>
      <c r="R123" s="49">
        <v>0</v>
      </c>
      <c r="S123" s="49">
        <v>0</v>
      </c>
      <c r="T123" s="49">
        <v>0</v>
      </c>
      <c r="U123" s="49">
        <v>0</v>
      </c>
      <c r="V123" s="49">
        <v>1040.1568219504923</v>
      </c>
      <c r="W123" s="49">
        <v>0</v>
      </c>
      <c r="X123" s="49">
        <v>1040.1568219504923</v>
      </c>
      <c r="Y123" s="49">
        <v>0</v>
      </c>
      <c r="Z123" s="49">
        <v>0</v>
      </c>
      <c r="AA123" s="49">
        <v>16.522199630737305</v>
      </c>
      <c r="AB123" s="49">
        <v>0</v>
      </c>
      <c r="AC123" s="49">
        <v>16.52220003117915</v>
      </c>
      <c r="AD123" s="49">
        <v>1840.6732346302615</v>
      </c>
      <c r="AE123" s="49">
        <v>48.441697284657046</v>
      </c>
      <c r="AF123" s="49">
        <v>275.5370178222656</v>
      </c>
      <c r="AG123" s="49">
        <v>2162.455308894643</v>
      </c>
      <c r="AH123" s="49">
        <v>1040.1568219504923</v>
      </c>
      <c r="AI123" s="48">
        <v>2.0789704622036007</v>
      </c>
      <c r="AJ123" s="49">
        <v>909.7033081054688</v>
      </c>
      <c r="AK123" s="49">
        <v>0</v>
      </c>
      <c r="AL123" s="49">
        <v>0</v>
      </c>
      <c r="AM123" s="49">
        <v>3072.15869140625</v>
      </c>
      <c r="AN123" s="49">
        <v>1040.1568219504923</v>
      </c>
      <c r="AO123" s="48">
        <v>2.9535534381866455</v>
      </c>
    </row>
    <row r="124" spans="1:41" ht="12.75" customHeight="1">
      <c r="A124" t="s">
        <v>431</v>
      </c>
      <c r="B124" t="s">
        <v>465</v>
      </c>
      <c r="C124" s="49">
        <v>18</v>
      </c>
      <c r="D124" s="49">
        <v>729.9545374250838</v>
      </c>
      <c r="E124" s="49"/>
      <c r="F124" s="49">
        <v>0</v>
      </c>
      <c r="G124" s="49">
        <v>0</v>
      </c>
      <c r="H124" s="49" t="s">
        <v>182</v>
      </c>
      <c r="I124" s="49">
        <v>0.17</v>
      </c>
      <c r="J124" s="49">
        <v>0</v>
      </c>
      <c r="K124" s="49">
        <v>785.6135709037464</v>
      </c>
      <c r="L124" s="60">
        <v>0</v>
      </c>
      <c r="M124" s="49">
        <v>0.5275406734513473</v>
      </c>
      <c r="N124" s="49"/>
      <c r="O124" s="49"/>
      <c r="P124" s="49">
        <v>0</v>
      </c>
      <c r="Q124" s="49">
        <v>0</v>
      </c>
      <c r="R124" s="49">
        <v>0</v>
      </c>
      <c r="S124" s="49">
        <v>0</v>
      </c>
      <c r="T124" s="49">
        <v>0</v>
      </c>
      <c r="U124" s="49">
        <v>0</v>
      </c>
      <c r="V124" s="49">
        <v>0</v>
      </c>
      <c r="W124" s="49">
        <v>0</v>
      </c>
      <c r="X124" s="49">
        <v>0</v>
      </c>
      <c r="Y124" s="49">
        <v>0</v>
      </c>
      <c r="Z124" s="49">
        <v>0</v>
      </c>
      <c r="AA124" s="49">
        <v>0</v>
      </c>
      <c r="AB124" s="49">
        <v>0</v>
      </c>
      <c r="AC124" s="49">
        <v>0</v>
      </c>
      <c r="AD124" s="49">
        <v>536.5057360124529</v>
      </c>
      <c r="AE124" s="49">
        <v>0</v>
      </c>
      <c r="AF124" s="49">
        <v>65.65815734863281</v>
      </c>
      <c r="AG124" s="49">
        <v>602.1638933610857</v>
      </c>
      <c r="AH124" s="49">
        <v>0</v>
      </c>
      <c r="AI124" s="48">
        <v>9999</v>
      </c>
      <c r="AJ124" s="49">
        <v>125.77947998046875</v>
      </c>
      <c r="AK124" s="49">
        <v>0</v>
      </c>
      <c r="AL124" s="49">
        <v>0</v>
      </c>
      <c r="AM124" s="49">
        <v>727.943359375</v>
      </c>
      <c r="AN124" s="49">
        <v>0</v>
      </c>
      <c r="AO124" s="48">
        <v>9999</v>
      </c>
    </row>
    <row r="125" spans="1:41" ht="12.75" customHeight="1">
      <c r="A125" t="s">
        <v>432</v>
      </c>
      <c r="B125" t="s">
        <v>460</v>
      </c>
      <c r="C125" s="49">
        <v>18</v>
      </c>
      <c r="D125" s="49">
        <v>2671.5664496959707</v>
      </c>
      <c r="E125" s="49">
        <v>1040.16</v>
      </c>
      <c r="F125" s="49">
        <v>0</v>
      </c>
      <c r="G125" s="49">
        <v>0</v>
      </c>
      <c r="H125" s="49" t="s">
        <v>183</v>
      </c>
      <c r="I125" s="49">
        <v>0.158</v>
      </c>
      <c r="J125" s="49">
        <v>0.35499998927116394</v>
      </c>
      <c r="K125" s="49">
        <v>2875.2733914852884</v>
      </c>
      <c r="L125" s="60">
        <v>0.7374732841518846</v>
      </c>
      <c r="M125" s="49">
        <v>2.077389595605231</v>
      </c>
      <c r="N125" s="49"/>
      <c r="O125" s="49"/>
      <c r="P125" s="49">
        <v>1040.1568219504923</v>
      </c>
      <c r="Q125" s="49">
        <v>0</v>
      </c>
      <c r="R125" s="49">
        <v>0</v>
      </c>
      <c r="S125" s="49">
        <v>0</v>
      </c>
      <c r="T125" s="49">
        <v>0</v>
      </c>
      <c r="U125" s="49">
        <v>0</v>
      </c>
      <c r="V125" s="49">
        <v>1040.1568219504923</v>
      </c>
      <c r="W125" s="49">
        <v>0</v>
      </c>
      <c r="X125" s="49">
        <v>1040.1568219504923</v>
      </c>
      <c r="Y125" s="49">
        <v>0</v>
      </c>
      <c r="Z125" s="49">
        <v>0</v>
      </c>
      <c r="AA125" s="49">
        <v>30.34560775756836</v>
      </c>
      <c r="AB125" s="49">
        <v>0</v>
      </c>
      <c r="AC125" s="49">
        <v>30.34560729843378</v>
      </c>
      <c r="AD125" s="49">
        <v>947.146746634569</v>
      </c>
      <c r="AE125" s="49">
        <v>26.374934748076058</v>
      </c>
      <c r="AF125" s="49">
        <v>144.51695251464844</v>
      </c>
      <c r="AG125" s="49">
        <v>1116.842634125722</v>
      </c>
      <c r="AH125" s="49">
        <v>1040.1568219504923</v>
      </c>
      <c r="AI125" s="48">
        <v>1.0737252408068902</v>
      </c>
      <c r="AJ125" s="49">
        <v>495.3039245605469</v>
      </c>
      <c r="AK125" s="49">
        <v>0</v>
      </c>
      <c r="AL125" s="49">
        <v>0</v>
      </c>
      <c r="AM125" s="49">
        <v>1612.1466064453125</v>
      </c>
      <c r="AN125" s="49">
        <v>1040.1568219504923</v>
      </c>
      <c r="AO125" s="48">
        <v>1.5499072074890137</v>
      </c>
    </row>
    <row r="126" spans="1:41" ht="12.75" customHeight="1">
      <c r="A126" t="s">
        <v>432</v>
      </c>
      <c r="B126" t="s">
        <v>463</v>
      </c>
      <c r="C126" s="49">
        <v>18</v>
      </c>
      <c r="D126" s="49">
        <v>371.4811092936329</v>
      </c>
      <c r="E126" s="49">
        <v>0</v>
      </c>
      <c r="F126" s="49">
        <v>0</v>
      </c>
      <c r="G126" s="49">
        <v>0</v>
      </c>
      <c r="H126" s="49" t="s">
        <v>181</v>
      </c>
      <c r="I126" s="49">
        <v>0.17</v>
      </c>
      <c r="J126" s="49">
        <v>0</v>
      </c>
      <c r="K126" s="49">
        <v>399.8065438772724</v>
      </c>
      <c r="L126" s="60">
        <v>0</v>
      </c>
      <c r="M126" s="49">
        <v>0.2684706848490951</v>
      </c>
      <c r="N126" s="49"/>
      <c r="O126" s="49"/>
      <c r="P126" s="49">
        <v>0</v>
      </c>
      <c r="Q126" s="49">
        <v>0</v>
      </c>
      <c r="R126" s="49">
        <v>0</v>
      </c>
      <c r="S126" s="49">
        <v>0</v>
      </c>
      <c r="T126" s="49">
        <v>0</v>
      </c>
      <c r="U126" s="49">
        <v>0</v>
      </c>
      <c r="V126" s="49">
        <v>0</v>
      </c>
      <c r="W126" s="49">
        <v>0</v>
      </c>
      <c r="X126" s="49">
        <v>0</v>
      </c>
      <c r="Y126" s="49">
        <v>0</v>
      </c>
      <c r="Z126" s="49">
        <v>0</v>
      </c>
      <c r="AA126" s="49">
        <v>0</v>
      </c>
      <c r="AB126" s="49">
        <v>0</v>
      </c>
      <c r="AC126" s="49">
        <v>0</v>
      </c>
      <c r="AD126" s="49">
        <v>242.63222834298682</v>
      </c>
      <c r="AE126" s="49">
        <v>0</v>
      </c>
      <c r="AF126" s="49">
        <v>30.37400245666504</v>
      </c>
      <c r="AG126" s="49">
        <v>273.00623079965186</v>
      </c>
      <c r="AH126" s="49">
        <v>0</v>
      </c>
      <c r="AI126" s="48">
        <v>9999</v>
      </c>
      <c r="AJ126" s="49">
        <v>64.01042175292969</v>
      </c>
      <c r="AK126" s="49">
        <v>0</v>
      </c>
      <c r="AL126" s="49">
        <v>0</v>
      </c>
      <c r="AM126" s="49">
        <v>337.01666259765625</v>
      </c>
      <c r="AN126" s="49">
        <v>0</v>
      </c>
      <c r="AO126" s="48">
        <v>9999</v>
      </c>
    </row>
    <row r="127" spans="1:41" ht="12.75" customHeight="1">
      <c r="A127" t="s">
        <v>433</v>
      </c>
      <c r="B127" t="s">
        <v>460</v>
      </c>
      <c r="C127" s="49">
        <v>18</v>
      </c>
      <c r="D127" s="49">
        <v>2671.5664496959707</v>
      </c>
      <c r="E127" s="49">
        <v>1040.16</v>
      </c>
      <c r="F127" s="49">
        <v>0</v>
      </c>
      <c r="G127" s="49">
        <v>0</v>
      </c>
      <c r="H127" s="49" t="s">
        <v>183</v>
      </c>
      <c r="I127" s="49">
        <v>0.158</v>
      </c>
      <c r="J127" s="49">
        <v>0.35499998927116394</v>
      </c>
      <c r="K127" s="49">
        <v>2875.2733914852884</v>
      </c>
      <c r="L127" s="60">
        <v>0.7374732841518846</v>
      </c>
      <c r="M127" s="49">
        <v>2.077389595605231</v>
      </c>
      <c r="N127" s="49"/>
      <c r="O127" s="49"/>
      <c r="P127" s="49">
        <v>1040.1568219504923</v>
      </c>
      <c r="Q127" s="49">
        <v>0</v>
      </c>
      <c r="R127" s="49">
        <v>0</v>
      </c>
      <c r="S127" s="49">
        <v>0</v>
      </c>
      <c r="T127" s="49">
        <v>0</v>
      </c>
      <c r="U127" s="49">
        <v>0</v>
      </c>
      <c r="V127" s="49">
        <v>1040.1568219504923</v>
      </c>
      <c r="W127" s="49">
        <v>0</v>
      </c>
      <c r="X127" s="49">
        <v>1040.1568219504923</v>
      </c>
      <c r="Y127" s="49">
        <v>0</v>
      </c>
      <c r="Z127" s="49">
        <v>0</v>
      </c>
      <c r="AA127" s="49">
        <v>30.34560775756836</v>
      </c>
      <c r="AB127" s="49">
        <v>0</v>
      </c>
      <c r="AC127" s="49">
        <v>30.34560729843378</v>
      </c>
      <c r="AD127" s="49">
        <v>947.146746634569</v>
      </c>
      <c r="AE127" s="49">
        <v>26.374934748076058</v>
      </c>
      <c r="AF127" s="49">
        <v>144.51695251464844</v>
      </c>
      <c r="AG127" s="49">
        <v>1116.842634125722</v>
      </c>
      <c r="AH127" s="49">
        <v>1040.1568219504923</v>
      </c>
      <c r="AI127" s="48">
        <v>1.0737252408068902</v>
      </c>
      <c r="AJ127" s="49">
        <v>495.3039245605469</v>
      </c>
      <c r="AK127" s="49">
        <v>0</v>
      </c>
      <c r="AL127" s="49">
        <v>0</v>
      </c>
      <c r="AM127" s="49">
        <v>1612.1466064453125</v>
      </c>
      <c r="AN127" s="49">
        <v>1040.1568219504923</v>
      </c>
      <c r="AO127" s="48">
        <v>1.5499072074890137</v>
      </c>
    </row>
    <row r="128" spans="1:41" ht="12.75" customHeight="1">
      <c r="A128" t="s">
        <v>433</v>
      </c>
      <c r="B128" t="s">
        <v>465</v>
      </c>
      <c r="C128" s="49">
        <v>18</v>
      </c>
      <c r="D128" s="49">
        <v>729.9545374250838</v>
      </c>
      <c r="E128" s="49">
        <v>0</v>
      </c>
      <c r="F128" s="49">
        <v>0</v>
      </c>
      <c r="G128" s="49">
        <v>0</v>
      </c>
      <c r="H128" s="49" t="s">
        <v>182</v>
      </c>
      <c r="I128" s="49">
        <v>0.17</v>
      </c>
      <c r="J128" s="49">
        <v>0</v>
      </c>
      <c r="K128" s="49">
        <v>785.6135709037464</v>
      </c>
      <c r="L128" s="60">
        <v>0</v>
      </c>
      <c r="M128" s="49">
        <v>0.5275406734513473</v>
      </c>
      <c r="N128" s="49"/>
      <c r="O128" s="49"/>
      <c r="P128" s="49">
        <v>0</v>
      </c>
      <c r="Q128" s="49">
        <v>0</v>
      </c>
      <c r="R128" s="49">
        <v>0</v>
      </c>
      <c r="S128" s="49">
        <v>0</v>
      </c>
      <c r="T128" s="49">
        <v>0</v>
      </c>
      <c r="U128" s="49">
        <v>0</v>
      </c>
      <c r="V128" s="49">
        <v>0</v>
      </c>
      <c r="W128" s="49">
        <v>0</v>
      </c>
      <c r="X128" s="49">
        <v>0</v>
      </c>
      <c r="Y128" s="49">
        <v>0</v>
      </c>
      <c r="Z128" s="49">
        <v>0</v>
      </c>
      <c r="AA128" s="49">
        <v>0</v>
      </c>
      <c r="AB128" s="49">
        <v>0</v>
      </c>
      <c r="AC128" s="49">
        <v>0</v>
      </c>
      <c r="AD128" s="49">
        <v>536.5057360124529</v>
      </c>
      <c r="AE128" s="49">
        <v>0</v>
      </c>
      <c r="AF128" s="49">
        <v>65.65815734863281</v>
      </c>
      <c r="AG128" s="49">
        <v>602.1638933610857</v>
      </c>
      <c r="AH128" s="49">
        <v>0</v>
      </c>
      <c r="AI128" s="48">
        <v>9999</v>
      </c>
      <c r="AJ128" s="49">
        <v>125.77947998046875</v>
      </c>
      <c r="AK128" s="49">
        <v>0</v>
      </c>
      <c r="AL128" s="49">
        <v>0</v>
      </c>
      <c r="AM128" s="49">
        <v>727.943359375</v>
      </c>
      <c r="AN128" s="49">
        <v>0</v>
      </c>
      <c r="AO128" s="48">
        <v>9999</v>
      </c>
    </row>
    <row r="129" spans="1:41" ht="12.75" customHeight="1">
      <c r="A129" t="s">
        <v>434</v>
      </c>
      <c r="B129" t="s">
        <v>462</v>
      </c>
      <c r="C129" s="49">
        <v>18</v>
      </c>
      <c r="D129" s="49">
        <v>4062.155898512211</v>
      </c>
      <c r="E129" s="49">
        <v>1040.16</v>
      </c>
      <c r="F129" s="49">
        <v>0</v>
      </c>
      <c r="G129" s="49">
        <v>0</v>
      </c>
      <c r="H129" s="49" t="s">
        <v>184</v>
      </c>
      <c r="I129" s="49">
        <v>0.158</v>
      </c>
      <c r="J129" s="49">
        <v>0.35499998927116394</v>
      </c>
      <c r="K129" s="49">
        <v>4371.895285773767</v>
      </c>
      <c r="L129" s="60">
        <v>1.1213389251664208</v>
      </c>
      <c r="M129" s="49">
        <v>3.1587012931143916</v>
      </c>
      <c r="N129" s="49"/>
      <c r="O129" s="49"/>
      <c r="P129" s="49">
        <v>1040.1568219504923</v>
      </c>
      <c r="Q129" s="49">
        <v>0</v>
      </c>
      <c r="R129" s="49">
        <v>0</v>
      </c>
      <c r="S129" s="49">
        <v>0</v>
      </c>
      <c r="T129" s="49">
        <v>0</v>
      </c>
      <c r="U129" s="49">
        <v>0</v>
      </c>
      <c r="V129" s="49">
        <v>1040.1568219504923</v>
      </c>
      <c r="W129" s="49">
        <v>0</v>
      </c>
      <c r="X129" s="49">
        <v>1040.1568219504923</v>
      </c>
      <c r="Y129" s="49">
        <v>0</v>
      </c>
      <c r="Z129" s="49">
        <v>0</v>
      </c>
      <c r="AA129" s="49">
        <v>19.95745849609375</v>
      </c>
      <c r="AB129" s="49">
        <v>0</v>
      </c>
      <c r="AC129" s="49">
        <v>19.957458152661584</v>
      </c>
      <c r="AD129" s="49">
        <v>1507.3055880073562</v>
      </c>
      <c r="AE129" s="49">
        <v>40.103474413658894</v>
      </c>
      <c r="AF129" s="49">
        <v>226.45565795898438</v>
      </c>
      <c r="AG129" s="49">
        <v>1772.0461852178807</v>
      </c>
      <c r="AH129" s="49">
        <v>1040.1568219504923</v>
      </c>
      <c r="AI129" s="48">
        <v>1.7036336712140738</v>
      </c>
      <c r="AJ129" s="49">
        <v>753.1170043945312</v>
      </c>
      <c r="AK129" s="49">
        <v>0</v>
      </c>
      <c r="AL129" s="49">
        <v>0</v>
      </c>
      <c r="AM129" s="49">
        <v>2525.1630859375</v>
      </c>
      <c r="AN129" s="49">
        <v>1040.1568219504923</v>
      </c>
      <c r="AO129" s="48">
        <v>2.427675247192383</v>
      </c>
    </row>
    <row r="130" spans="1:41" ht="12.75" customHeight="1">
      <c r="A130" t="s">
        <v>434</v>
      </c>
      <c r="B130" t="s">
        <v>465</v>
      </c>
      <c r="C130" s="49">
        <v>18</v>
      </c>
      <c r="D130" s="49">
        <v>729.9545374250838</v>
      </c>
      <c r="E130" s="49">
        <v>0</v>
      </c>
      <c r="F130" s="49">
        <v>0</v>
      </c>
      <c r="G130" s="49">
        <v>0</v>
      </c>
      <c r="H130" s="49" t="s">
        <v>182</v>
      </c>
      <c r="I130" s="49">
        <v>0.17</v>
      </c>
      <c r="J130" s="49">
        <v>0</v>
      </c>
      <c r="K130" s="49">
        <v>785.6135709037464</v>
      </c>
      <c r="L130" s="60">
        <v>0</v>
      </c>
      <c r="M130" s="49">
        <v>0.5275406734513473</v>
      </c>
      <c r="N130" s="49"/>
      <c r="O130" s="49"/>
      <c r="P130" s="49">
        <v>0</v>
      </c>
      <c r="Q130" s="49">
        <v>0</v>
      </c>
      <c r="R130" s="49">
        <v>0</v>
      </c>
      <c r="S130" s="49">
        <v>0</v>
      </c>
      <c r="T130" s="49">
        <v>0</v>
      </c>
      <c r="U130" s="49">
        <v>0</v>
      </c>
      <c r="V130" s="49">
        <v>0</v>
      </c>
      <c r="W130" s="49">
        <v>0</v>
      </c>
      <c r="X130" s="49">
        <v>0</v>
      </c>
      <c r="Y130" s="49">
        <v>0</v>
      </c>
      <c r="Z130" s="49">
        <v>0</v>
      </c>
      <c r="AA130" s="49">
        <v>0</v>
      </c>
      <c r="AB130" s="49">
        <v>0</v>
      </c>
      <c r="AC130" s="49">
        <v>0</v>
      </c>
      <c r="AD130" s="49">
        <v>536.5057360124529</v>
      </c>
      <c r="AE130" s="49">
        <v>0</v>
      </c>
      <c r="AF130" s="49">
        <v>65.65815734863281</v>
      </c>
      <c r="AG130" s="49">
        <v>602.1638933610857</v>
      </c>
      <c r="AH130" s="49">
        <v>0</v>
      </c>
      <c r="AI130" s="48">
        <v>9999</v>
      </c>
      <c r="AJ130" s="49">
        <v>125.77947998046875</v>
      </c>
      <c r="AK130" s="49">
        <v>0</v>
      </c>
      <c r="AL130" s="49">
        <v>0</v>
      </c>
      <c r="AM130" s="49">
        <v>727.943359375</v>
      </c>
      <c r="AN130" s="49">
        <v>0</v>
      </c>
      <c r="AO130" s="48">
        <v>9999</v>
      </c>
    </row>
    <row r="131" spans="1:41" ht="12.75" customHeight="1">
      <c r="A131" t="s">
        <v>435</v>
      </c>
      <c r="B131" t="s">
        <v>462</v>
      </c>
      <c r="C131" s="49">
        <v>18</v>
      </c>
      <c r="D131" s="49">
        <v>4062.155898512211</v>
      </c>
      <c r="E131" s="49">
        <v>1040.16</v>
      </c>
      <c r="F131" s="49">
        <v>0</v>
      </c>
      <c r="G131" s="49">
        <v>0</v>
      </c>
      <c r="H131" s="49" t="s">
        <v>184</v>
      </c>
      <c r="I131" s="49">
        <v>0.158</v>
      </c>
      <c r="J131" s="49">
        <v>0.35499998927116394</v>
      </c>
      <c r="K131" s="49">
        <v>4371.895285773767</v>
      </c>
      <c r="L131" s="60">
        <v>1.1213389251664208</v>
      </c>
      <c r="M131" s="49">
        <v>3.1587012931143916</v>
      </c>
      <c r="N131" s="49"/>
      <c r="O131" s="49"/>
      <c r="P131" s="49">
        <v>1040.1568219504923</v>
      </c>
      <c r="Q131" s="49">
        <v>0</v>
      </c>
      <c r="R131" s="49">
        <v>0</v>
      </c>
      <c r="S131" s="49">
        <v>0</v>
      </c>
      <c r="T131" s="49">
        <v>0</v>
      </c>
      <c r="U131" s="49">
        <v>0</v>
      </c>
      <c r="V131" s="49">
        <v>1040.1568219504923</v>
      </c>
      <c r="W131" s="49">
        <v>0</v>
      </c>
      <c r="X131" s="49">
        <v>1040.1568219504923</v>
      </c>
      <c r="Y131" s="49">
        <v>0</v>
      </c>
      <c r="Z131" s="49">
        <v>0</v>
      </c>
      <c r="AA131" s="49">
        <v>19.95745849609375</v>
      </c>
      <c r="AB131" s="49">
        <v>0</v>
      </c>
      <c r="AC131" s="49">
        <v>19.957458152661584</v>
      </c>
      <c r="AD131" s="49">
        <v>1507.3055880073562</v>
      </c>
      <c r="AE131" s="49">
        <v>40.103474413658894</v>
      </c>
      <c r="AF131" s="49">
        <v>226.45565795898438</v>
      </c>
      <c r="AG131" s="49">
        <v>1772.0461852178807</v>
      </c>
      <c r="AH131" s="49">
        <v>1040.1568219504923</v>
      </c>
      <c r="AI131" s="48">
        <v>1.7036336712140738</v>
      </c>
      <c r="AJ131" s="49">
        <v>753.1170043945312</v>
      </c>
      <c r="AK131" s="49">
        <v>0</v>
      </c>
      <c r="AL131" s="49">
        <v>0</v>
      </c>
      <c r="AM131" s="49">
        <v>2525.1630859375</v>
      </c>
      <c r="AN131" s="49">
        <v>1040.1568219504923</v>
      </c>
      <c r="AO131" s="48">
        <v>2.427675247192383</v>
      </c>
    </row>
    <row r="132" spans="1:41" ht="12.75" customHeight="1">
      <c r="A132" t="s">
        <v>435</v>
      </c>
      <c r="B132" t="s">
        <v>461</v>
      </c>
      <c r="C132" s="49">
        <v>18</v>
      </c>
      <c r="D132" s="49">
        <v>171.44381029381435</v>
      </c>
      <c r="E132" s="49">
        <v>0</v>
      </c>
      <c r="F132" s="49">
        <v>0</v>
      </c>
      <c r="G132" s="49">
        <v>0</v>
      </c>
      <c r="H132" s="49" t="s">
        <v>180</v>
      </c>
      <c r="I132" s="49">
        <v>0.17</v>
      </c>
      <c r="J132" s="49">
        <v>0</v>
      </c>
      <c r="K132" s="49">
        <v>184.5164008287177</v>
      </c>
      <c r="L132" s="60">
        <v>0</v>
      </c>
      <c r="M132" s="49">
        <v>0.12390303574316257</v>
      </c>
      <c r="N132" s="49"/>
      <c r="O132" s="49"/>
      <c r="P132" s="49">
        <v>0</v>
      </c>
      <c r="Q132" s="49">
        <v>0</v>
      </c>
      <c r="R132" s="49">
        <v>0</v>
      </c>
      <c r="S132" s="49">
        <v>0</v>
      </c>
      <c r="T132" s="49">
        <v>0</v>
      </c>
      <c r="U132" s="49">
        <v>0</v>
      </c>
      <c r="V132" s="49">
        <v>0</v>
      </c>
      <c r="W132" s="49">
        <v>0</v>
      </c>
      <c r="X132" s="49">
        <v>0</v>
      </c>
      <c r="Y132" s="49">
        <v>0</v>
      </c>
      <c r="Z132" s="49">
        <v>0</v>
      </c>
      <c r="AA132" s="49">
        <v>0</v>
      </c>
      <c r="AB132" s="49">
        <v>0</v>
      </c>
      <c r="AC132" s="49">
        <v>0</v>
      </c>
      <c r="AD132" s="49">
        <v>106.97780695444264</v>
      </c>
      <c r="AE132" s="49">
        <v>0</v>
      </c>
      <c r="AF132" s="49">
        <v>13.517992973327637</v>
      </c>
      <c r="AG132" s="49">
        <v>120.49579992777028</v>
      </c>
      <c r="AH132" s="49">
        <v>0</v>
      </c>
      <c r="AI132" s="48">
        <v>9999</v>
      </c>
      <c r="AJ132" s="49">
        <v>29.54172134399414</v>
      </c>
      <c r="AK132" s="49">
        <v>0</v>
      </c>
      <c r="AL132" s="49">
        <v>0</v>
      </c>
      <c r="AM132" s="49">
        <v>150.0375213623047</v>
      </c>
      <c r="AN132" s="49">
        <v>0</v>
      </c>
      <c r="AO132" s="48">
        <v>9999</v>
      </c>
    </row>
    <row r="133" spans="1:41" ht="12.75" customHeight="1">
      <c r="A133" t="s">
        <v>436</v>
      </c>
      <c r="B133" t="s">
        <v>464</v>
      </c>
      <c r="C133" s="49">
        <v>18</v>
      </c>
      <c r="D133" s="49">
        <v>4906.7500817782475</v>
      </c>
      <c r="E133" s="49">
        <v>1040.16</v>
      </c>
      <c r="F133" s="49">
        <v>0</v>
      </c>
      <c r="G133" s="49">
        <v>0</v>
      </c>
      <c r="H133" s="49" t="s">
        <v>185</v>
      </c>
      <c r="I133" s="49">
        <v>0.158</v>
      </c>
      <c r="J133" s="49">
        <v>0.35499998927116394</v>
      </c>
      <c r="K133" s="49">
        <v>5280.889775513839</v>
      </c>
      <c r="L133" s="60">
        <v>1.354485155229186</v>
      </c>
      <c r="M133" s="49">
        <v>3.8154512568015133</v>
      </c>
      <c r="N133" s="49"/>
      <c r="O133" s="49"/>
      <c r="P133" s="49">
        <v>1040.1568219504923</v>
      </c>
      <c r="Q133" s="49">
        <v>0</v>
      </c>
      <c r="R133" s="49">
        <v>0</v>
      </c>
      <c r="S133" s="49">
        <v>0</v>
      </c>
      <c r="T133" s="49">
        <v>0</v>
      </c>
      <c r="U133" s="49">
        <v>0</v>
      </c>
      <c r="V133" s="49">
        <v>1040.1568219504923</v>
      </c>
      <c r="W133" s="49">
        <v>0</v>
      </c>
      <c r="X133" s="49">
        <v>1040.1568219504923</v>
      </c>
      <c r="Y133" s="49">
        <v>0</v>
      </c>
      <c r="Z133" s="49">
        <v>0</v>
      </c>
      <c r="AA133" s="49">
        <v>16.522199630737305</v>
      </c>
      <c r="AB133" s="49">
        <v>0</v>
      </c>
      <c r="AC133" s="49">
        <v>16.52220003117915</v>
      </c>
      <c r="AD133" s="49">
        <v>1840.6732346302615</v>
      </c>
      <c r="AE133" s="49">
        <v>48.441697284657046</v>
      </c>
      <c r="AF133" s="49">
        <v>275.5370178222656</v>
      </c>
      <c r="AG133" s="49">
        <v>2162.455308894643</v>
      </c>
      <c r="AH133" s="49">
        <v>1040.1568219504923</v>
      </c>
      <c r="AI133" s="48">
        <v>2.0789704622036007</v>
      </c>
      <c r="AJ133" s="49">
        <v>909.7033081054688</v>
      </c>
      <c r="AK133" s="49">
        <v>0</v>
      </c>
      <c r="AL133" s="49">
        <v>0</v>
      </c>
      <c r="AM133" s="49">
        <v>3072.15869140625</v>
      </c>
      <c r="AN133" s="49">
        <v>1040.1568219504923</v>
      </c>
      <c r="AO133" s="48">
        <v>2.9535534381866455</v>
      </c>
    </row>
    <row r="134" spans="1:41" ht="12.75" customHeight="1">
      <c r="A134" t="s">
        <v>436</v>
      </c>
      <c r="B134" t="s">
        <v>461</v>
      </c>
      <c r="C134" s="49">
        <v>18</v>
      </c>
      <c r="D134" s="49">
        <v>171.44381029381435</v>
      </c>
      <c r="E134" s="49">
        <v>0</v>
      </c>
      <c r="F134" s="49">
        <v>0</v>
      </c>
      <c r="G134" s="49">
        <v>0</v>
      </c>
      <c r="H134" s="49" t="s">
        <v>180</v>
      </c>
      <c r="I134" s="49">
        <v>0.17</v>
      </c>
      <c r="J134" s="49">
        <v>0</v>
      </c>
      <c r="K134" s="49">
        <v>184.5164008287177</v>
      </c>
      <c r="L134" s="60">
        <v>0</v>
      </c>
      <c r="M134" s="49">
        <v>0.12390303574316257</v>
      </c>
      <c r="N134" s="49"/>
      <c r="O134" s="49"/>
      <c r="P134" s="49">
        <v>0</v>
      </c>
      <c r="Q134" s="49">
        <v>0</v>
      </c>
      <c r="R134" s="49">
        <v>0</v>
      </c>
      <c r="S134" s="49">
        <v>0</v>
      </c>
      <c r="T134" s="49">
        <v>0</v>
      </c>
      <c r="U134" s="49">
        <v>0</v>
      </c>
      <c r="V134" s="49">
        <v>0</v>
      </c>
      <c r="W134" s="49">
        <v>0</v>
      </c>
      <c r="X134" s="49">
        <v>0</v>
      </c>
      <c r="Y134" s="49">
        <v>0</v>
      </c>
      <c r="Z134" s="49">
        <v>0</v>
      </c>
      <c r="AA134" s="49">
        <v>0</v>
      </c>
      <c r="AB134" s="49">
        <v>0</v>
      </c>
      <c r="AC134" s="49">
        <v>0</v>
      </c>
      <c r="AD134" s="49">
        <v>106.97780695444264</v>
      </c>
      <c r="AE134" s="49">
        <v>0</v>
      </c>
      <c r="AF134" s="49">
        <v>13.517992973327637</v>
      </c>
      <c r="AG134" s="49">
        <v>120.49579992777028</v>
      </c>
      <c r="AH134" s="49">
        <v>0</v>
      </c>
      <c r="AI134" s="48">
        <v>9999</v>
      </c>
      <c r="AJ134" s="49">
        <v>29.54172134399414</v>
      </c>
      <c r="AK134" s="49">
        <v>0</v>
      </c>
      <c r="AL134" s="49">
        <v>0</v>
      </c>
      <c r="AM134" s="49">
        <v>150.0375213623047</v>
      </c>
      <c r="AN134" s="49">
        <v>0</v>
      </c>
      <c r="AO134" s="48">
        <v>9999</v>
      </c>
    </row>
    <row r="135" spans="1:41" ht="12.75" customHeight="1">
      <c r="A135" t="s">
        <v>437</v>
      </c>
      <c r="B135" t="s">
        <v>464</v>
      </c>
      <c r="C135" s="49">
        <v>18</v>
      </c>
      <c r="D135" s="49">
        <v>4906.7500817782475</v>
      </c>
      <c r="E135" s="49">
        <v>1040.16</v>
      </c>
      <c r="F135" s="49">
        <v>0</v>
      </c>
      <c r="G135" s="49">
        <v>0</v>
      </c>
      <c r="H135" s="49" t="s">
        <v>185</v>
      </c>
      <c r="I135" s="49">
        <v>0.158</v>
      </c>
      <c r="J135" s="49">
        <v>0.35499998927116394</v>
      </c>
      <c r="K135" s="49">
        <v>5280.889775513839</v>
      </c>
      <c r="L135" s="60">
        <v>1.354485155229186</v>
      </c>
      <c r="M135" s="49">
        <v>3.8154512568015133</v>
      </c>
      <c r="N135" s="49"/>
      <c r="O135" s="49"/>
      <c r="P135" s="49">
        <v>1040.1568219504923</v>
      </c>
      <c r="Q135" s="49">
        <v>0</v>
      </c>
      <c r="R135" s="49">
        <v>0</v>
      </c>
      <c r="S135" s="49">
        <v>0</v>
      </c>
      <c r="T135" s="49">
        <v>0</v>
      </c>
      <c r="U135" s="49">
        <v>0</v>
      </c>
      <c r="V135" s="49">
        <v>1040.1568219504923</v>
      </c>
      <c r="W135" s="49">
        <v>0</v>
      </c>
      <c r="X135" s="49">
        <v>1040.1568219504923</v>
      </c>
      <c r="Y135" s="49">
        <v>0</v>
      </c>
      <c r="Z135" s="49">
        <v>0</v>
      </c>
      <c r="AA135" s="49">
        <v>16.522199630737305</v>
      </c>
      <c r="AB135" s="49">
        <v>0</v>
      </c>
      <c r="AC135" s="49">
        <v>16.52220003117915</v>
      </c>
      <c r="AD135" s="49">
        <v>1840.6732346302615</v>
      </c>
      <c r="AE135" s="49">
        <v>48.441697284657046</v>
      </c>
      <c r="AF135" s="49">
        <v>275.5370178222656</v>
      </c>
      <c r="AG135" s="49">
        <v>2162.455308894643</v>
      </c>
      <c r="AH135" s="49">
        <v>1040.1568219504923</v>
      </c>
      <c r="AI135" s="48">
        <v>2.0789704622036007</v>
      </c>
      <c r="AJ135" s="49">
        <v>909.7033081054688</v>
      </c>
      <c r="AK135" s="49">
        <v>0</v>
      </c>
      <c r="AL135" s="49">
        <v>0</v>
      </c>
      <c r="AM135" s="49">
        <v>3072.15869140625</v>
      </c>
      <c r="AN135" s="49">
        <v>1040.1568219504923</v>
      </c>
      <c r="AO135" s="48">
        <v>2.9535534381866455</v>
      </c>
    </row>
    <row r="136" spans="1:41" ht="12.75" customHeight="1">
      <c r="A136" t="s">
        <v>437</v>
      </c>
      <c r="B136" t="s">
        <v>463</v>
      </c>
      <c r="C136" s="49">
        <v>18</v>
      </c>
      <c r="D136" s="49">
        <v>371.4811092936329</v>
      </c>
      <c r="E136" s="49">
        <v>0</v>
      </c>
      <c r="F136" s="49">
        <v>0</v>
      </c>
      <c r="G136" s="49">
        <v>0</v>
      </c>
      <c r="H136" s="49" t="s">
        <v>181</v>
      </c>
      <c r="I136" s="49">
        <v>0.17</v>
      </c>
      <c r="J136" s="49">
        <v>0</v>
      </c>
      <c r="K136" s="49">
        <v>399.8065438772724</v>
      </c>
      <c r="L136" s="60">
        <v>0</v>
      </c>
      <c r="M136" s="49">
        <v>0.2684706848490951</v>
      </c>
      <c r="N136" s="49"/>
      <c r="O136" s="49"/>
      <c r="P136" s="49">
        <v>0</v>
      </c>
      <c r="Q136" s="49">
        <v>0</v>
      </c>
      <c r="R136" s="49">
        <v>0</v>
      </c>
      <c r="S136" s="49">
        <v>0</v>
      </c>
      <c r="T136" s="49">
        <v>0</v>
      </c>
      <c r="U136" s="49">
        <v>0</v>
      </c>
      <c r="V136" s="49">
        <v>0</v>
      </c>
      <c r="W136" s="49">
        <v>0</v>
      </c>
      <c r="X136" s="49">
        <v>0</v>
      </c>
      <c r="Y136" s="49">
        <v>0</v>
      </c>
      <c r="Z136" s="49">
        <v>0</v>
      </c>
      <c r="AA136" s="49">
        <v>0</v>
      </c>
      <c r="AB136" s="49">
        <v>0</v>
      </c>
      <c r="AC136" s="49">
        <v>0</v>
      </c>
      <c r="AD136" s="49">
        <v>242.63222834298682</v>
      </c>
      <c r="AE136" s="49">
        <v>0</v>
      </c>
      <c r="AF136" s="49">
        <v>30.37400245666504</v>
      </c>
      <c r="AG136" s="49">
        <v>273.00623079965186</v>
      </c>
      <c r="AH136" s="49">
        <v>0</v>
      </c>
      <c r="AI136" s="48">
        <v>9999</v>
      </c>
      <c r="AJ136" s="49">
        <v>64.01042175292969</v>
      </c>
      <c r="AK136" s="49">
        <v>0</v>
      </c>
      <c r="AL136" s="49">
        <v>0</v>
      </c>
      <c r="AM136" s="49">
        <v>337.01666259765625</v>
      </c>
      <c r="AN136" s="49">
        <v>0</v>
      </c>
      <c r="AO136" s="48">
        <v>9999</v>
      </c>
    </row>
    <row r="137" spans="1:41" ht="12.75" customHeight="1">
      <c r="A137"/>
      <c r="B137"/>
      <c r="C137" s="49"/>
      <c r="D137" s="49"/>
      <c r="E137" s="49"/>
      <c r="F137" s="49"/>
      <c r="G137" s="49"/>
      <c r="H137" s="49"/>
      <c r="I137" s="49"/>
      <c r="J137" s="49"/>
      <c r="K137" s="49"/>
      <c r="L137" s="60"/>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61"/>
    </row>
    <row r="138" spans="1:41" ht="12.75" customHeight="1" thickBo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thickBot="1">
      <c r="A139" s="62" t="s">
        <v>129</v>
      </c>
      <c r="B139" s="71"/>
      <c r="C139" s="72" t="s">
        <v>101</v>
      </c>
      <c r="D139" s="63"/>
      <c r="E139" s="63"/>
      <c r="F139" s="63"/>
      <c r="G139" s="63"/>
      <c r="H139" s="63"/>
      <c r="I139" s="63"/>
      <c r="J139" s="64"/>
      <c r="K139" s="72" t="s">
        <v>45</v>
      </c>
      <c r="L139" s="63"/>
      <c r="M139" s="64"/>
      <c r="N139" s="72" t="s">
        <v>102</v>
      </c>
      <c r="O139" s="63"/>
      <c r="P139" s="63"/>
      <c r="Q139" s="63"/>
      <c r="R139" s="73" t="s">
        <v>103</v>
      </c>
      <c r="S139" s="72" t="s">
        <v>79</v>
      </c>
      <c r="T139" s="63"/>
      <c r="U139" s="63"/>
      <c r="V139" s="63"/>
      <c r="W139" s="63"/>
      <c r="X139" s="64"/>
      <c r="Y139" s="72" t="s">
        <v>80</v>
      </c>
      <c r="Z139" s="63"/>
      <c r="AA139" s="63"/>
      <c r="AB139" s="63"/>
      <c r="AC139" s="63"/>
      <c r="AD139" s="64"/>
      <c r="AE139" s="49"/>
      <c r="AF139" s="49"/>
      <c r="AG139" s="49"/>
      <c r="AH139" s="49"/>
      <c r="AI139" s="49"/>
      <c r="AJ139" s="49"/>
      <c r="AK139" s="49"/>
      <c r="AL139" s="49"/>
      <c r="AM139" s="49"/>
      <c r="AN139" s="49"/>
      <c r="AO139" s="49"/>
    </row>
    <row r="140" spans="1:41" ht="51">
      <c r="A140" s="57"/>
      <c r="B140" s="58" t="s">
        <v>51</v>
      </c>
      <c r="C140" s="59" t="s">
        <v>104</v>
      </c>
      <c r="D140" s="59" t="s">
        <v>82</v>
      </c>
      <c r="E140" s="59" t="s">
        <v>83</v>
      </c>
      <c r="F140" s="59" t="s">
        <v>84</v>
      </c>
      <c r="G140" s="59" t="s">
        <v>85</v>
      </c>
      <c r="H140" s="59" t="s">
        <v>86</v>
      </c>
      <c r="I140" s="59" t="s">
        <v>105</v>
      </c>
      <c r="J140" s="59" t="s">
        <v>106</v>
      </c>
      <c r="K140" s="59" t="s">
        <v>89</v>
      </c>
      <c r="L140" s="59" t="s">
        <v>90</v>
      </c>
      <c r="M140" s="59" t="s">
        <v>91</v>
      </c>
      <c r="N140" s="59" t="s">
        <v>46</v>
      </c>
      <c r="O140" s="59" t="s">
        <v>107</v>
      </c>
      <c r="P140" s="59" t="s">
        <v>108</v>
      </c>
      <c r="Q140" s="59" t="s">
        <v>109</v>
      </c>
      <c r="R140" s="59" t="s">
        <v>110</v>
      </c>
      <c r="S140" s="59" t="s">
        <v>92</v>
      </c>
      <c r="T140" s="59" t="s">
        <v>93</v>
      </c>
      <c r="U140" s="59" t="s">
        <v>56</v>
      </c>
      <c r="V140" s="59" t="s">
        <v>94</v>
      </c>
      <c r="W140" s="59" t="s">
        <v>95</v>
      </c>
      <c r="X140" s="59" t="s">
        <v>96</v>
      </c>
      <c r="Y140" s="59" t="s">
        <v>97</v>
      </c>
      <c r="Z140" s="59" t="s">
        <v>54</v>
      </c>
      <c r="AA140" s="59" t="s">
        <v>55</v>
      </c>
      <c r="AB140" s="59" t="s">
        <v>98</v>
      </c>
      <c r="AC140" s="59" t="s">
        <v>99</v>
      </c>
      <c r="AD140" s="59" t="s">
        <v>100</v>
      </c>
      <c r="AE140" s="49"/>
      <c r="AF140" s="49"/>
      <c r="AG140" s="49"/>
      <c r="AH140" s="49"/>
      <c r="AI140" s="49"/>
      <c r="AJ140" s="49"/>
      <c r="AK140" s="49"/>
      <c r="AL140" s="49"/>
      <c r="AM140" s="49"/>
      <c r="AN140" s="49"/>
      <c r="AO140" s="49"/>
    </row>
    <row r="141" spans="1:41" ht="12.75" customHeight="1">
      <c r="A141"/>
      <c r="B141" t="s">
        <v>422</v>
      </c>
      <c r="C141" s="49">
        <v>18</v>
      </c>
      <c r="D141" s="49">
        <v>8611.592717283367</v>
      </c>
      <c r="E141" s="49">
        <v>1040.16</v>
      </c>
      <c r="F141" s="49">
        <v>0</v>
      </c>
      <c r="G141" s="49">
        <v>0</v>
      </c>
      <c r="H141" s="49"/>
      <c r="I141" s="49">
        <v>0.15943649267764762</v>
      </c>
      <c r="J141" s="49">
        <v>0.31250375509262085</v>
      </c>
      <c r="K141" s="49">
        <v>9268.226661976223</v>
      </c>
      <c r="L141" s="49">
        <v>2.0926215081372406</v>
      </c>
      <c r="M141" s="49">
        <v>6.6397247314453125</v>
      </c>
      <c r="N141" s="49">
        <v>1040.1568219504923</v>
      </c>
      <c r="O141" s="49">
        <v>0</v>
      </c>
      <c r="P141" s="49">
        <v>0</v>
      </c>
      <c r="Q141" s="49">
        <v>1040.1568603515625</v>
      </c>
      <c r="R141" s="49">
        <v>9.414090186376441</v>
      </c>
      <c r="S141" s="49">
        <v>3601.438435345137</v>
      </c>
      <c r="T141" s="49">
        <v>74.84034729003906</v>
      </c>
      <c r="U141" s="49">
        <v>518.418212890625</v>
      </c>
      <c r="V141" s="49">
        <v>4191.303301145828</v>
      </c>
      <c r="W141" s="49">
        <v>1040.1568219504923</v>
      </c>
      <c r="X141" s="48">
        <v>4.029491719610449</v>
      </c>
      <c r="Y141" s="60">
        <v>1583.083984375</v>
      </c>
      <c r="Z141" s="60">
        <v>0</v>
      </c>
      <c r="AA141" s="60">
        <v>0</v>
      </c>
      <c r="AB141" s="60">
        <v>5774.38720703125</v>
      </c>
      <c r="AC141" s="60">
        <v>1040.1568603515625</v>
      </c>
      <c r="AD141" s="48">
        <v>5.55145788192749</v>
      </c>
      <c r="AE141" s="60"/>
      <c r="AF141" s="60"/>
      <c r="AG141" s="60"/>
      <c r="AH141" s="60"/>
      <c r="AI141" s="60"/>
      <c r="AJ141" s="60"/>
      <c r="AK141" s="60"/>
      <c r="AL141" s="49"/>
      <c r="AM141" s="49"/>
      <c r="AN141" s="49"/>
      <c r="AO141" s="49"/>
    </row>
    <row r="142" spans="1:41" ht="12.75" customHeight="1">
      <c r="A142"/>
      <c r="B142" t="s">
        <v>428</v>
      </c>
      <c r="C142" s="49">
        <v>18</v>
      </c>
      <c r="D142" s="49">
        <v>8115.393038778548</v>
      </c>
      <c r="E142" s="49">
        <v>1040.16</v>
      </c>
      <c r="F142" s="49">
        <v>0</v>
      </c>
      <c r="G142" s="49">
        <v>0</v>
      </c>
      <c r="H142" s="49"/>
      <c r="I142" s="49">
        <v>0.158790607886586</v>
      </c>
      <c r="J142" s="49">
        <v>0.33161118626594543</v>
      </c>
      <c r="K142" s="49">
        <v>8734.19175798541</v>
      </c>
      <c r="L142" s="49">
        <v>2.0926215081372406</v>
      </c>
      <c r="M142" s="49">
        <v>6.2811198234558105</v>
      </c>
      <c r="N142" s="49">
        <v>1040.1568219504923</v>
      </c>
      <c r="O142" s="49">
        <v>0</v>
      </c>
      <c r="P142" s="49">
        <v>0</v>
      </c>
      <c r="Q142" s="49">
        <v>1040.1568603515625</v>
      </c>
      <c r="R142" s="49">
        <v>9.989696136892233</v>
      </c>
      <c r="S142" s="49">
        <v>3192.9829396905957</v>
      </c>
      <c r="T142" s="49">
        <v>74.84034729003906</v>
      </c>
      <c r="U142" s="49">
        <v>469.4103088378906</v>
      </c>
      <c r="V142" s="49">
        <v>3733.8398823650664</v>
      </c>
      <c r="W142" s="49">
        <v>1040.1568219504923</v>
      </c>
      <c r="X142" s="48">
        <v>3.589689365651042</v>
      </c>
      <c r="Y142" s="60">
        <v>1497.5831298828125</v>
      </c>
      <c r="Z142" s="60">
        <v>0</v>
      </c>
      <c r="AA142" s="60">
        <v>0</v>
      </c>
      <c r="AB142" s="60">
        <v>5231.4228515625</v>
      </c>
      <c r="AC142" s="60">
        <v>1040.1568603515625</v>
      </c>
      <c r="AD142" s="48">
        <v>5.029455661773682</v>
      </c>
      <c r="AE142" s="60"/>
      <c r="AF142" s="60"/>
      <c r="AG142" s="60"/>
      <c r="AH142" s="60"/>
      <c r="AI142" s="60"/>
      <c r="AJ142" s="60"/>
      <c r="AK142" s="60"/>
      <c r="AL142" s="49"/>
      <c r="AM142" s="49"/>
      <c r="AN142" s="49"/>
      <c r="AO142" s="49"/>
    </row>
    <row r="143" spans="1:41" ht="12.75" customHeight="1">
      <c r="A143"/>
      <c r="B143" t="s">
        <v>425</v>
      </c>
      <c r="C143" s="49">
        <v>18</v>
      </c>
      <c r="D143" s="49">
        <v>7377.799398217039</v>
      </c>
      <c r="E143" s="49">
        <v>1040.16</v>
      </c>
      <c r="F143" s="49">
        <v>0</v>
      </c>
      <c r="G143" s="49">
        <v>0</v>
      </c>
      <c r="H143" s="49"/>
      <c r="I143" s="49">
        <v>0.15967671811248363</v>
      </c>
      <c r="J143" s="49">
        <v>0.305397093296051</v>
      </c>
      <c r="K143" s="49">
        <v>7940.356602331089</v>
      </c>
      <c r="L143" s="49">
        <v>1.7520386972249211</v>
      </c>
      <c r="M143" s="49">
        <v>5.6803364753723145</v>
      </c>
      <c r="N143" s="49">
        <v>1040.1568219504923</v>
      </c>
      <c r="O143" s="49">
        <v>0</v>
      </c>
      <c r="P143" s="49">
        <v>0</v>
      </c>
      <c r="Q143" s="49">
        <v>1040.1568603515625</v>
      </c>
      <c r="R143" s="49">
        <v>10.988413497450212</v>
      </c>
      <c r="S143" s="49">
        <v>3112.770420517323</v>
      </c>
      <c r="T143" s="49">
        <v>62.65977096557617</v>
      </c>
      <c r="U143" s="49">
        <v>446.5515441894531</v>
      </c>
      <c r="V143" s="49">
        <v>3619.140352376242</v>
      </c>
      <c r="W143" s="49">
        <v>1040.1568219504923</v>
      </c>
      <c r="X143" s="48">
        <v>3.4794179839052193</v>
      </c>
      <c r="Y143" s="60">
        <v>1354.3406982421875</v>
      </c>
      <c r="Z143" s="60">
        <v>0</v>
      </c>
      <c r="AA143" s="60">
        <v>0</v>
      </c>
      <c r="AB143" s="60">
        <v>4973.48095703125</v>
      </c>
      <c r="AC143" s="60">
        <v>1040.1568603515625</v>
      </c>
      <c r="AD143" s="48">
        <v>4.781472206115723</v>
      </c>
      <c r="AE143" s="60"/>
      <c r="AF143" s="60"/>
      <c r="AG143" s="60"/>
      <c r="AH143" s="60"/>
      <c r="AI143" s="60"/>
      <c r="AJ143" s="60"/>
      <c r="AK143" s="60"/>
      <c r="AL143" s="49"/>
      <c r="AM143" s="49"/>
      <c r="AN143" s="49"/>
      <c r="AO143" s="49"/>
    </row>
    <row r="144" spans="1:41" ht="12.75" customHeight="1">
      <c r="A144"/>
      <c r="B144" t="s">
        <v>427</v>
      </c>
      <c r="C144" s="49">
        <v>18</v>
      </c>
      <c r="D144" s="49">
        <v>7835.569588712074</v>
      </c>
      <c r="E144" s="49">
        <v>1040.16</v>
      </c>
      <c r="F144" s="49">
        <v>0</v>
      </c>
      <c r="G144" s="49">
        <v>0</v>
      </c>
      <c r="H144" s="49"/>
      <c r="I144" s="49">
        <v>0.1583902986635217</v>
      </c>
      <c r="J144" s="49">
        <v>0.34345364570617676</v>
      </c>
      <c r="K144" s="49">
        <v>8433.031769851368</v>
      </c>
      <c r="L144" s="49">
        <v>2.0926215081372406</v>
      </c>
      <c r="M144" s="49">
        <v>6.078890323638916</v>
      </c>
      <c r="N144" s="49">
        <v>1040.1568219504923</v>
      </c>
      <c r="O144" s="49">
        <v>0</v>
      </c>
      <c r="P144" s="49">
        <v>0</v>
      </c>
      <c r="Q144" s="49">
        <v>1040.1568603515625</v>
      </c>
      <c r="R144" s="49">
        <v>10.346447641233143</v>
      </c>
      <c r="S144" s="49">
        <v>3002.7836394108976</v>
      </c>
      <c r="T144" s="49">
        <v>74.84034729003906</v>
      </c>
      <c r="U144" s="49">
        <v>445.787353515625</v>
      </c>
      <c r="V144" s="49">
        <v>3520.017621041057</v>
      </c>
      <c r="W144" s="49">
        <v>1040.1568219504923</v>
      </c>
      <c r="X144" s="48">
        <v>3.384122035021943</v>
      </c>
      <c r="Y144" s="60">
        <v>1449.3663330078125</v>
      </c>
      <c r="Z144" s="60">
        <v>0</v>
      </c>
      <c r="AA144" s="60">
        <v>0</v>
      </c>
      <c r="AB144" s="60">
        <v>4969.3837890625</v>
      </c>
      <c r="AC144" s="60">
        <v>1040.1568603515625</v>
      </c>
      <c r="AD144" s="48">
        <v>4.777533054351807</v>
      </c>
      <c r="AE144" s="60"/>
      <c r="AF144" s="60"/>
      <c r="AG144" s="60"/>
      <c r="AH144" s="60"/>
      <c r="AI144" s="60"/>
      <c r="AJ144" s="60"/>
      <c r="AK144" s="60"/>
      <c r="AL144" s="49"/>
      <c r="AM144" s="49"/>
      <c r="AN144" s="49"/>
      <c r="AO144" s="49"/>
    </row>
    <row r="145" spans="1:41" ht="12.75" customHeight="1">
      <c r="A145"/>
      <c r="B145" t="s">
        <v>421</v>
      </c>
      <c r="C145" s="49">
        <v>18</v>
      </c>
      <c r="D145" s="49">
        <v>6881.59971971222</v>
      </c>
      <c r="E145" s="49">
        <v>1040.16</v>
      </c>
      <c r="F145" s="49">
        <v>0</v>
      </c>
      <c r="G145" s="49">
        <v>0</v>
      </c>
      <c r="H145" s="49"/>
      <c r="I145" s="49">
        <v>0.15893235497566427</v>
      </c>
      <c r="J145" s="49">
        <v>0.3274178206920624</v>
      </c>
      <c r="K145" s="49">
        <v>7406.321698340277</v>
      </c>
      <c r="L145" s="49">
        <v>1.7520386972249211</v>
      </c>
      <c r="M145" s="49">
        <v>5.3217315673828125</v>
      </c>
      <c r="N145" s="49">
        <v>1040.1568219504923</v>
      </c>
      <c r="O145" s="49">
        <v>0</v>
      </c>
      <c r="P145" s="49">
        <v>0</v>
      </c>
      <c r="Q145" s="49">
        <v>1040.1568603515625</v>
      </c>
      <c r="R145" s="49">
        <v>11.78073613561447</v>
      </c>
      <c r="S145" s="49">
        <v>2704.314924862782</v>
      </c>
      <c r="T145" s="49">
        <v>62.65977096557617</v>
      </c>
      <c r="U145" s="49">
        <v>397.5436096191406</v>
      </c>
      <c r="V145" s="49">
        <v>3161.67693359548</v>
      </c>
      <c r="W145" s="49">
        <v>1040.1568219504923</v>
      </c>
      <c r="X145" s="48">
        <v>3.039615629945813</v>
      </c>
      <c r="Y145" s="60">
        <v>1268.83984375</v>
      </c>
      <c r="Z145" s="60">
        <v>0</v>
      </c>
      <c r="AA145" s="60">
        <v>0</v>
      </c>
      <c r="AB145" s="60">
        <v>4430.5166015625</v>
      </c>
      <c r="AC145" s="60">
        <v>1040.1568603515625</v>
      </c>
      <c r="AD145" s="48">
        <v>4.259469509124756</v>
      </c>
      <c r="AE145" s="60"/>
      <c r="AF145" s="60"/>
      <c r="AG145" s="60"/>
      <c r="AH145" s="60"/>
      <c r="AI145" s="60"/>
      <c r="AJ145" s="60"/>
      <c r="AK145" s="60"/>
      <c r="AL145" s="49"/>
      <c r="AM145" s="49"/>
      <c r="AN145" s="49"/>
      <c r="AO145" s="49"/>
    </row>
    <row r="146" spans="1:41" ht="12.75" customHeight="1">
      <c r="A146"/>
      <c r="B146" t="s">
        <v>426</v>
      </c>
      <c r="C146" s="49">
        <v>18</v>
      </c>
      <c r="D146" s="49">
        <v>6601.776269645746</v>
      </c>
      <c r="E146" s="49">
        <v>1040.16</v>
      </c>
      <c r="F146" s="49">
        <v>0</v>
      </c>
      <c r="G146" s="49">
        <v>0</v>
      </c>
      <c r="H146" s="49"/>
      <c r="I146" s="49">
        <v>0.1584632408329963</v>
      </c>
      <c r="J146" s="49">
        <v>0.3412957787513733</v>
      </c>
      <c r="K146" s="49">
        <v>7105.161710206234</v>
      </c>
      <c r="L146" s="49">
        <v>1.7520386972249211</v>
      </c>
      <c r="M146" s="49">
        <v>5.119502067565918</v>
      </c>
      <c r="N146" s="49">
        <v>1040.1568219504923</v>
      </c>
      <c r="O146" s="49">
        <v>0</v>
      </c>
      <c r="P146" s="49">
        <v>0</v>
      </c>
      <c r="Q146" s="49">
        <v>1040.1568603515625</v>
      </c>
      <c r="R146" s="49">
        <v>12.280075418732485</v>
      </c>
      <c r="S146" s="49">
        <v>2514.115624583084</v>
      </c>
      <c r="T146" s="49">
        <v>62.65977096557617</v>
      </c>
      <c r="U146" s="49">
        <v>373.920654296875</v>
      </c>
      <c r="V146" s="49">
        <v>2947.8546722714705</v>
      </c>
      <c r="W146" s="49">
        <v>1040.1568219504923</v>
      </c>
      <c r="X146" s="48">
        <v>2.8340482993167138</v>
      </c>
      <c r="Y146" s="60">
        <v>1220.623046875</v>
      </c>
      <c r="Z146" s="60">
        <v>0</v>
      </c>
      <c r="AA146" s="60">
        <v>0</v>
      </c>
      <c r="AB146" s="60">
        <v>4168.4775390625</v>
      </c>
      <c r="AC146" s="60">
        <v>1040.1568603515625</v>
      </c>
      <c r="AD146" s="48">
        <v>4.007546901702881</v>
      </c>
      <c r="AE146" s="60"/>
      <c r="AF146" s="60"/>
      <c r="AG146" s="60"/>
      <c r="AH146" s="60"/>
      <c r="AI146" s="60"/>
      <c r="AJ146" s="60"/>
      <c r="AK146" s="60"/>
      <c r="AL146" s="49"/>
      <c r="AM146" s="49"/>
      <c r="AN146" s="49"/>
      <c r="AO146" s="49"/>
    </row>
    <row r="147" spans="1:41" ht="12.75" customHeight="1">
      <c r="A147"/>
      <c r="B147" t="s">
        <v>431</v>
      </c>
      <c r="C147" s="49">
        <v>18</v>
      </c>
      <c r="D147" s="49">
        <v>5636.704619203331</v>
      </c>
      <c r="E147" s="49">
        <v>1040.16</v>
      </c>
      <c r="F147" s="49">
        <v>0</v>
      </c>
      <c r="G147" s="49">
        <v>0</v>
      </c>
      <c r="H147" s="49"/>
      <c r="I147" s="49">
        <v>0.15955400274466378</v>
      </c>
      <c r="J147" s="49">
        <v>0.30902740359306335</v>
      </c>
      <c r="K147" s="49">
        <v>6066.503346417585</v>
      </c>
      <c r="L147" s="49">
        <v>1.354485155229186</v>
      </c>
      <c r="M147" s="49">
        <v>4.342991828918457</v>
      </c>
      <c r="N147" s="49">
        <v>1040.1568219504923</v>
      </c>
      <c r="O147" s="49">
        <v>0</v>
      </c>
      <c r="P147" s="49">
        <v>0</v>
      </c>
      <c r="Q147" s="49">
        <v>1040.1568603515625</v>
      </c>
      <c r="R147" s="49">
        <v>14.38257208168313</v>
      </c>
      <c r="S147" s="49">
        <v>2377.1789706427144</v>
      </c>
      <c r="T147" s="49">
        <v>48.44169616699219</v>
      </c>
      <c r="U147" s="49">
        <v>341.1951904296875</v>
      </c>
      <c r="V147" s="49">
        <v>2764.619202255729</v>
      </c>
      <c r="W147" s="49">
        <v>1040.1568219504923</v>
      </c>
      <c r="X147" s="48">
        <v>2.6578869108136414</v>
      </c>
      <c r="Y147" s="60">
        <v>1035.4827880859375</v>
      </c>
      <c r="Z147" s="60">
        <v>0</v>
      </c>
      <c r="AA147" s="60">
        <v>0</v>
      </c>
      <c r="AB147" s="60">
        <v>3800.10205078125</v>
      </c>
      <c r="AC147" s="60">
        <v>1040.1568603515625</v>
      </c>
      <c r="AD147" s="48">
        <v>3.653393268585205</v>
      </c>
      <c r="AE147" s="60"/>
      <c r="AF147" s="60"/>
      <c r="AG147" s="60"/>
      <c r="AH147" s="60"/>
      <c r="AI147" s="60"/>
      <c r="AJ147" s="60"/>
      <c r="AK147" s="60"/>
      <c r="AL147" s="49"/>
      <c r="AM147" s="49"/>
      <c r="AN147" s="49"/>
      <c r="AO147" s="49"/>
    </row>
    <row r="148" spans="1:41" ht="12.75" customHeight="1">
      <c r="A148"/>
      <c r="B148" t="s">
        <v>413</v>
      </c>
      <c r="C148" s="49">
        <v>18</v>
      </c>
      <c r="D148" s="49">
        <v>5646.212748939502</v>
      </c>
      <c r="E148" s="49">
        <v>1040.16</v>
      </c>
      <c r="F148" s="49">
        <v>0</v>
      </c>
      <c r="G148" s="49">
        <v>0</v>
      </c>
      <c r="H148" s="49"/>
      <c r="I148" s="49">
        <v>0.15933150003475408</v>
      </c>
      <c r="J148" s="49">
        <v>0.31560978293418884</v>
      </c>
      <c r="K148" s="49">
        <v>6076.736471046138</v>
      </c>
      <c r="L148" s="49">
        <v>1.3856695186912094</v>
      </c>
      <c r="M148" s="49">
        <v>4.356064319610596</v>
      </c>
      <c r="N148" s="49">
        <v>1040.1568219504923</v>
      </c>
      <c r="O148" s="49">
        <v>0</v>
      </c>
      <c r="P148" s="49">
        <v>0</v>
      </c>
      <c r="Q148" s="49">
        <v>1040.1568603515625</v>
      </c>
      <c r="R148" s="49">
        <v>14.35835206600658</v>
      </c>
      <c r="S148" s="49">
        <v>2343.515177377789</v>
      </c>
      <c r="T148" s="49">
        <v>49.55697250366211</v>
      </c>
      <c r="U148" s="49">
        <v>338.2327880859375</v>
      </c>
      <c r="V148" s="49">
        <v>2729.057738865381</v>
      </c>
      <c r="W148" s="49">
        <v>1040.1568219504923</v>
      </c>
      <c r="X148" s="48">
        <v>2.6236983513196384</v>
      </c>
      <c r="Y148" s="60">
        <v>1038.599609375</v>
      </c>
      <c r="Z148" s="60">
        <v>0</v>
      </c>
      <c r="AA148" s="60">
        <v>0</v>
      </c>
      <c r="AB148" s="60">
        <v>3767.6572265625</v>
      </c>
      <c r="AC148" s="60">
        <v>1040.1568603515625</v>
      </c>
      <c r="AD148" s="48">
        <v>3.6222009658813477</v>
      </c>
      <c r="AE148" s="60"/>
      <c r="AF148" s="60"/>
      <c r="AG148" s="60"/>
      <c r="AH148" s="60"/>
      <c r="AI148" s="60"/>
      <c r="AJ148" s="60"/>
      <c r="AK148" s="60"/>
      <c r="AL148" s="49"/>
      <c r="AM148" s="49"/>
      <c r="AN148" s="49"/>
      <c r="AO148" s="49"/>
    </row>
    <row r="149" spans="1:41" ht="12.75" customHeight="1">
      <c r="A149"/>
      <c r="B149" t="s">
        <v>424</v>
      </c>
      <c r="C149" s="49">
        <v>18</v>
      </c>
      <c r="D149" s="49">
        <v>5334.434428275876</v>
      </c>
      <c r="E149" s="49">
        <v>1040.16</v>
      </c>
      <c r="F149" s="49">
        <v>0</v>
      </c>
      <c r="G149" s="49">
        <v>0</v>
      </c>
      <c r="H149" s="49"/>
      <c r="I149" s="49">
        <v>0.1603189880853516</v>
      </c>
      <c r="J149" s="49">
        <v>0.2863965928554535</v>
      </c>
      <c r="K149" s="49">
        <v>5741.185053431911</v>
      </c>
      <c r="L149" s="49">
        <v>1.1879774606889861</v>
      </c>
      <c r="M149" s="49">
        <v>4.091431617736816</v>
      </c>
      <c r="N149" s="49">
        <v>1040.1568219504923</v>
      </c>
      <c r="O149" s="49">
        <v>0</v>
      </c>
      <c r="P149" s="49">
        <v>0</v>
      </c>
      <c r="Q149" s="49">
        <v>1040.1568603515625</v>
      </c>
      <c r="R149" s="49">
        <v>15.197545602796101</v>
      </c>
      <c r="S149" s="49">
        <v>2283.412435698002</v>
      </c>
      <c r="T149" s="49">
        <v>42.48672866821289</v>
      </c>
      <c r="U149" s="49">
        <v>325.524169921875</v>
      </c>
      <c r="V149" s="49">
        <v>2649.496721155677</v>
      </c>
      <c r="W149" s="49">
        <v>1040.1568219504923</v>
      </c>
      <c r="X149" s="48">
        <v>2.547208906621759</v>
      </c>
      <c r="Y149" s="60">
        <v>975.5043334960938</v>
      </c>
      <c r="Z149" s="60">
        <v>0</v>
      </c>
      <c r="AA149" s="60">
        <v>0</v>
      </c>
      <c r="AB149" s="60">
        <v>3625.0009765625</v>
      </c>
      <c r="AC149" s="60">
        <v>1040.1568603515625</v>
      </c>
      <c r="AD149" s="48">
        <v>3.4850521087646484</v>
      </c>
      <c r="AE149" s="60"/>
      <c r="AF149" s="60"/>
      <c r="AG149" s="60"/>
      <c r="AH149" s="60"/>
      <c r="AI149" s="60"/>
      <c r="AJ149" s="60"/>
      <c r="AK149" s="60"/>
      <c r="AL149" s="49"/>
      <c r="AM149" s="49"/>
      <c r="AN149" s="49"/>
      <c r="AO149" s="49"/>
    </row>
    <row r="150" spans="1:41" ht="12.75" customHeight="1">
      <c r="A150"/>
      <c r="B150" t="s">
        <v>419</v>
      </c>
      <c r="C150" s="49">
        <v>18</v>
      </c>
      <c r="D150" s="49">
        <v>5323.9004133935</v>
      </c>
      <c r="E150" s="49">
        <v>1040.16</v>
      </c>
      <c r="F150" s="49">
        <v>0</v>
      </c>
      <c r="G150" s="49">
        <v>0</v>
      </c>
      <c r="H150" s="49"/>
      <c r="I150" s="49">
        <v>0.1586856222245831</v>
      </c>
      <c r="J150" s="49">
        <v>0.3347170054912567</v>
      </c>
      <c r="K150" s="49">
        <v>5729.847819914753</v>
      </c>
      <c r="L150" s="49">
        <v>1.3856695186912094</v>
      </c>
      <c r="M150" s="49">
        <v>4.1231279373168945</v>
      </c>
      <c r="N150" s="49">
        <v>1040.1568219504923</v>
      </c>
      <c r="O150" s="49">
        <v>0</v>
      </c>
      <c r="P150" s="49">
        <v>0</v>
      </c>
      <c r="Q150" s="49">
        <v>1040.1568603515625</v>
      </c>
      <c r="R150" s="49">
        <v>15.227615881938195</v>
      </c>
      <c r="S150" s="49">
        <v>2081.727083377464</v>
      </c>
      <c r="T150" s="49">
        <v>49.55697250366211</v>
      </c>
      <c r="U150" s="49">
        <v>306.75201416015625</v>
      </c>
      <c r="V150" s="49">
        <v>2435.7888690319264</v>
      </c>
      <c r="W150" s="49">
        <v>1040.1568219504923</v>
      </c>
      <c r="X150" s="48">
        <v>2.341751568253293</v>
      </c>
      <c r="Y150" s="60">
        <v>983.0615234375</v>
      </c>
      <c r="Z150" s="60">
        <v>0</v>
      </c>
      <c r="AA150" s="60">
        <v>0</v>
      </c>
      <c r="AB150" s="60">
        <v>3418.850341796875</v>
      </c>
      <c r="AC150" s="60">
        <v>1040.1568603515625</v>
      </c>
      <c r="AD150" s="48">
        <v>3.286860466003418</v>
      </c>
      <c r="AE150" s="60"/>
      <c r="AF150" s="60"/>
      <c r="AG150" s="60"/>
      <c r="AH150" s="60"/>
      <c r="AI150" s="60"/>
      <c r="AJ150" s="60"/>
      <c r="AK150" s="60"/>
      <c r="AL150" s="49"/>
      <c r="AM150" s="49"/>
      <c r="AN150" s="49"/>
      <c r="AO150" s="49"/>
    </row>
    <row r="151" spans="1:41" ht="12.75" customHeight="1">
      <c r="A151"/>
      <c r="B151" t="s">
        <v>437</v>
      </c>
      <c r="C151" s="49">
        <v>18</v>
      </c>
      <c r="D151" s="49">
        <v>5278.23119107188</v>
      </c>
      <c r="E151" s="49">
        <v>1040.16</v>
      </c>
      <c r="F151" s="49">
        <v>0</v>
      </c>
      <c r="G151" s="49">
        <v>0</v>
      </c>
      <c r="H151" s="49"/>
      <c r="I151" s="49">
        <v>0.15884455817681195</v>
      </c>
      <c r="J151" s="49">
        <v>0.3300151526927948</v>
      </c>
      <c r="K151" s="49">
        <v>5680.6963193911115</v>
      </c>
      <c r="L151" s="49">
        <v>1.354485155229186</v>
      </c>
      <c r="M151" s="49">
        <v>4.083921909332275</v>
      </c>
      <c r="N151" s="49">
        <v>1040.1568219504923</v>
      </c>
      <c r="O151" s="49">
        <v>0</v>
      </c>
      <c r="P151" s="49">
        <v>0</v>
      </c>
      <c r="Q151" s="49">
        <v>1040.1568603515625</v>
      </c>
      <c r="R151" s="49">
        <v>15.359370886591416</v>
      </c>
      <c r="S151" s="49">
        <v>2083.3054629732483</v>
      </c>
      <c r="T151" s="49">
        <v>48.44169616699219</v>
      </c>
      <c r="U151" s="49">
        <v>305.9110107421875</v>
      </c>
      <c r="V151" s="49">
        <v>2435.461539694295</v>
      </c>
      <c r="W151" s="49">
        <v>1040.1568219504923</v>
      </c>
      <c r="X151" s="48">
        <v>2.3414368759581277</v>
      </c>
      <c r="Y151" s="60">
        <v>973.7137451171875</v>
      </c>
      <c r="Z151" s="60">
        <v>0</v>
      </c>
      <c r="AA151" s="60">
        <v>0</v>
      </c>
      <c r="AB151" s="60">
        <v>3409.17529296875</v>
      </c>
      <c r="AC151" s="60">
        <v>1040.1568603515625</v>
      </c>
      <c r="AD151" s="48">
        <v>3.2775588035583496</v>
      </c>
      <c r="AE151" s="60"/>
      <c r="AF151" s="60"/>
      <c r="AG151" s="60"/>
      <c r="AH151" s="60"/>
      <c r="AI151" s="60"/>
      <c r="AJ151" s="60"/>
      <c r="AK151" s="60"/>
      <c r="AL151" s="49"/>
      <c r="AM151" s="49"/>
      <c r="AN151" s="49"/>
      <c r="AO151" s="49"/>
    </row>
    <row r="152" spans="1:41" ht="12.75" customHeight="1">
      <c r="A152"/>
      <c r="B152" t="s">
        <v>416</v>
      </c>
      <c r="C152" s="49">
        <v>18</v>
      </c>
      <c r="D152" s="49">
        <v>4960.7728580916155</v>
      </c>
      <c r="E152" s="49">
        <v>1040.16</v>
      </c>
      <c r="F152" s="49">
        <v>0</v>
      </c>
      <c r="G152" s="49">
        <v>0</v>
      </c>
      <c r="H152" s="49"/>
      <c r="I152" s="49">
        <v>0.1595154760531273</v>
      </c>
      <c r="J152" s="49">
        <v>0.3101671636104584</v>
      </c>
      <c r="K152" s="49">
        <v>5339.031788521101</v>
      </c>
      <c r="L152" s="49">
        <v>1.1964570783830801</v>
      </c>
      <c r="M152" s="49">
        <v>3.8230714797973633</v>
      </c>
      <c r="N152" s="49">
        <v>1040.1568219504923</v>
      </c>
      <c r="O152" s="49">
        <v>0</v>
      </c>
      <c r="P152" s="49">
        <v>0</v>
      </c>
      <c r="Q152" s="49">
        <v>1040.1568603515625</v>
      </c>
      <c r="R152" s="49">
        <v>16.34227423991259</v>
      </c>
      <c r="S152" s="49">
        <v>2068.7435830280997</v>
      </c>
      <c r="T152" s="49">
        <v>42.78999328613281</v>
      </c>
      <c r="U152" s="49">
        <v>297.97796630859375</v>
      </c>
      <c r="V152" s="49">
        <v>2407.571169754445</v>
      </c>
      <c r="W152" s="49">
        <v>1040.1568219504923</v>
      </c>
      <c r="X152" s="48">
        <v>2.314623255789247</v>
      </c>
      <c r="Y152" s="60">
        <v>911.5200805664062</v>
      </c>
      <c r="Z152" s="60">
        <v>0</v>
      </c>
      <c r="AA152" s="60">
        <v>0</v>
      </c>
      <c r="AB152" s="60">
        <v>3319.09130859375</v>
      </c>
      <c r="AC152" s="60">
        <v>1040.1568603515625</v>
      </c>
      <c r="AD152" s="48">
        <v>3.190952777862549</v>
      </c>
      <c r="AE152" s="60"/>
      <c r="AF152" s="60"/>
      <c r="AG152" s="60"/>
      <c r="AH152" s="60"/>
      <c r="AI152" s="60"/>
      <c r="AJ152" s="60"/>
      <c r="AK152" s="60"/>
      <c r="AL152" s="49"/>
      <c r="AM152" s="49"/>
      <c r="AN152" s="49"/>
      <c r="AO152" s="49"/>
    </row>
    <row r="153" spans="1:41" ht="12.75" customHeight="1">
      <c r="A153"/>
      <c r="B153" t="s">
        <v>418</v>
      </c>
      <c r="C153" s="49">
        <v>18</v>
      </c>
      <c r="D153" s="49">
        <v>5149.204877477398</v>
      </c>
      <c r="E153" s="49">
        <v>1040.16</v>
      </c>
      <c r="F153" s="49">
        <v>0</v>
      </c>
      <c r="G153" s="49">
        <v>0</v>
      </c>
      <c r="H153" s="49"/>
      <c r="I153" s="49">
        <v>0.15830176270916954</v>
      </c>
      <c r="J153" s="49">
        <v>0.34607285261154175</v>
      </c>
      <c r="K153" s="49">
        <v>5541.83174938505</v>
      </c>
      <c r="L153" s="49">
        <v>1.3856695186912094</v>
      </c>
      <c r="M153" s="49">
        <v>3.9968748092651367</v>
      </c>
      <c r="N153" s="49">
        <v>1040.1568219504923</v>
      </c>
      <c r="O153" s="49">
        <v>0</v>
      </c>
      <c r="P153" s="49">
        <v>0</v>
      </c>
      <c r="Q153" s="49">
        <v>1040.1568603515625</v>
      </c>
      <c r="R153" s="49">
        <v>15.744238657787609</v>
      </c>
      <c r="S153" s="49">
        <v>1963.848337033656</v>
      </c>
      <c r="T153" s="49">
        <v>49.55697250366211</v>
      </c>
      <c r="U153" s="49">
        <v>292.0904541015625</v>
      </c>
      <c r="V153" s="49">
        <v>2303.248546417061</v>
      </c>
      <c r="W153" s="49">
        <v>1040.1568219504923</v>
      </c>
      <c r="X153" s="48">
        <v>2.214328164572368</v>
      </c>
      <c r="Y153" s="60">
        <v>952.9595336914062</v>
      </c>
      <c r="Z153" s="60">
        <v>0</v>
      </c>
      <c r="AA153" s="60">
        <v>0</v>
      </c>
      <c r="AB153" s="60">
        <v>3256.2080078125</v>
      </c>
      <c r="AC153" s="60">
        <v>1040.1568603515625</v>
      </c>
      <c r="AD153" s="48">
        <v>3.1304969787597656</v>
      </c>
      <c r="AE153" s="60"/>
      <c r="AF153" s="60"/>
      <c r="AG153" s="60"/>
      <c r="AH153" s="60"/>
      <c r="AI153" s="60"/>
      <c r="AJ153" s="60"/>
      <c r="AK153" s="60"/>
      <c r="AL153" s="49"/>
      <c r="AM153" s="49"/>
      <c r="AN153" s="49"/>
      <c r="AO153" s="49"/>
    </row>
    <row r="154" spans="1:41" ht="12.75" customHeight="1">
      <c r="A154"/>
      <c r="B154" t="s">
        <v>434</v>
      </c>
      <c r="C154" s="49">
        <v>18</v>
      </c>
      <c r="D154" s="49">
        <v>4792.110435937295</v>
      </c>
      <c r="E154" s="49">
        <v>1040.16</v>
      </c>
      <c r="F154" s="49">
        <v>0</v>
      </c>
      <c r="G154" s="49">
        <v>0</v>
      </c>
      <c r="H154" s="49"/>
      <c r="I154" s="49">
        <v>0.15982789077301132</v>
      </c>
      <c r="J154" s="49">
        <v>0.3009248971939087</v>
      </c>
      <c r="K154" s="49">
        <v>5157.508856677513</v>
      </c>
      <c r="L154" s="49">
        <v>1.1213389251664208</v>
      </c>
      <c r="M154" s="49">
        <v>3.686241865158081</v>
      </c>
      <c r="N154" s="49">
        <v>1040.1568219504923</v>
      </c>
      <c r="O154" s="49">
        <v>0</v>
      </c>
      <c r="P154" s="49">
        <v>0</v>
      </c>
      <c r="Q154" s="49">
        <v>1040.1568603515625</v>
      </c>
      <c r="R154" s="49">
        <v>16.917454547975485</v>
      </c>
      <c r="S154" s="49">
        <v>2043.811324019809</v>
      </c>
      <c r="T154" s="49">
        <v>40.10347366333008</v>
      </c>
      <c r="U154" s="49">
        <v>292.11383056640625</v>
      </c>
      <c r="V154" s="49">
        <v>2374.210078578966</v>
      </c>
      <c r="W154" s="49">
        <v>1040.1568219504923</v>
      </c>
      <c r="X154" s="48">
        <v>2.2825501198241143</v>
      </c>
      <c r="Y154" s="60">
        <v>878.896484375</v>
      </c>
      <c r="Z154" s="60">
        <v>0</v>
      </c>
      <c r="AA154" s="60">
        <v>0</v>
      </c>
      <c r="AB154" s="60">
        <v>3253.1064453125</v>
      </c>
      <c r="AC154" s="60">
        <v>1040.1568603515625</v>
      </c>
      <c r="AD154" s="48">
        <v>3.1275153160095215</v>
      </c>
      <c r="AE154" s="60"/>
      <c r="AF154" s="60"/>
      <c r="AG154" s="60"/>
      <c r="AH154" s="60"/>
      <c r="AI154" s="60"/>
      <c r="AJ154" s="60"/>
      <c r="AK154" s="60"/>
      <c r="AL154" s="49"/>
      <c r="AM154" s="49"/>
      <c r="AN154" s="49"/>
      <c r="AO154" s="49"/>
    </row>
    <row r="155" spans="1:41" ht="12.75" customHeight="1">
      <c r="A155"/>
      <c r="B155" t="s">
        <v>436</v>
      </c>
      <c r="C155" s="49">
        <v>18</v>
      </c>
      <c r="D155" s="49">
        <v>5078.193892072062</v>
      </c>
      <c r="E155" s="49">
        <v>1040.16</v>
      </c>
      <c r="F155" s="49">
        <v>0</v>
      </c>
      <c r="G155" s="49">
        <v>0</v>
      </c>
      <c r="H155" s="49"/>
      <c r="I155" s="49">
        <v>0.15840512941554624</v>
      </c>
      <c r="J155" s="49">
        <v>0.3430149257183075</v>
      </c>
      <c r="K155" s="49">
        <v>5465.406176342556</v>
      </c>
      <c r="L155" s="49">
        <v>1.354485155229186</v>
      </c>
      <c r="M155" s="49">
        <v>3.939354181289673</v>
      </c>
      <c r="N155" s="49">
        <v>1040.1568219504923</v>
      </c>
      <c r="O155" s="49">
        <v>0</v>
      </c>
      <c r="P155" s="49">
        <v>0</v>
      </c>
      <c r="Q155" s="49">
        <v>1040.1568603515625</v>
      </c>
      <c r="R155" s="49">
        <v>15.964398408539093</v>
      </c>
      <c r="S155" s="49">
        <v>1947.6510415847042</v>
      </c>
      <c r="T155" s="49">
        <v>48.44169616699219</v>
      </c>
      <c r="U155" s="49">
        <v>289.0550231933594</v>
      </c>
      <c r="V155" s="49">
        <v>2282.9511088224135</v>
      </c>
      <c r="W155" s="49">
        <v>1040.1568219504923</v>
      </c>
      <c r="X155" s="48">
        <v>2.194814340150599</v>
      </c>
      <c r="Y155" s="60">
        <v>939.2450561523438</v>
      </c>
      <c r="Z155" s="60">
        <v>0</v>
      </c>
      <c r="AA155" s="60">
        <v>0</v>
      </c>
      <c r="AB155" s="60">
        <v>3222.196044921875</v>
      </c>
      <c r="AC155" s="60">
        <v>1040.1568603515625</v>
      </c>
      <c r="AD155" s="48">
        <v>3.0977981090545654</v>
      </c>
      <c r="AE155" s="60"/>
      <c r="AF155" s="60"/>
      <c r="AG155" s="60"/>
      <c r="AH155" s="60"/>
      <c r="AI155" s="60"/>
      <c r="AJ155" s="60"/>
      <c r="AK155" s="60"/>
      <c r="AL155" s="49"/>
      <c r="AM155" s="49"/>
      <c r="AN155" s="49"/>
      <c r="AO155" s="49"/>
    </row>
    <row r="156" spans="1:41" ht="12.75" customHeight="1">
      <c r="A156"/>
      <c r="B156" t="s">
        <v>423</v>
      </c>
      <c r="C156" s="49">
        <v>18</v>
      </c>
      <c r="D156" s="49">
        <v>4838.234749771056</v>
      </c>
      <c r="E156" s="49">
        <v>1040.16</v>
      </c>
      <c r="F156" s="49">
        <v>0</v>
      </c>
      <c r="G156" s="49">
        <v>0</v>
      </c>
      <c r="H156" s="49"/>
      <c r="I156" s="49">
        <v>0.1593261228673344</v>
      </c>
      <c r="J156" s="49">
        <v>0.315768837928772</v>
      </c>
      <c r="K156" s="49">
        <v>5207.1501494410995</v>
      </c>
      <c r="L156" s="49">
        <v>1.1879774606889861</v>
      </c>
      <c r="M156" s="49">
        <v>3.7328267097473145</v>
      </c>
      <c r="N156" s="49">
        <v>1040.1568219504923</v>
      </c>
      <c r="O156" s="49">
        <v>0</v>
      </c>
      <c r="P156" s="49">
        <v>0</v>
      </c>
      <c r="Q156" s="49">
        <v>1040.1568603515625</v>
      </c>
      <c r="R156" s="49">
        <v>16.75617548170526</v>
      </c>
      <c r="S156" s="49">
        <v>1874.9569400434607</v>
      </c>
      <c r="T156" s="49">
        <v>42.48672866821289</v>
      </c>
      <c r="U156" s="49">
        <v>276.5162353515625</v>
      </c>
      <c r="V156" s="49">
        <v>2192.033302374915</v>
      </c>
      <c r="W156" s="49">
        <v>1040.1568219504923</v>
      </c>
      <c r="X156" s="48">
        <v>2.107406552662352</v>
      </c>
      <c r="Y156" s="60">
        <v>890.0034790039062</v>
      </c>
      <c r="Z156" s="60">
        <v>0</v>
      </c>
      <c r="AA156" s="60">
        <v>0</v>
      </c>
      <c r="AB156" s="60">
        <v>3082.036865234375</v>
      </c>
      <c r="AC156" s="60">
        <v>1040.1568603515625</v>
      </c>
      <c r="AD156" s="48">
        <v>2.963050127029419</v>
      </c>
      <c r="AE156" s="60"/>
      <c r="AF156" s="60"/>
      <c r="AG156" s="60"/>
      <c r="AH156" s="60"/>
      <c r="AI156" s="60"/>
      <c r="AJ156" s="60"/>
      <c r="AK156" s="60"/>
      <c r="AL156" s="49"/>
      <c r="AM156" s="49"/>
      <c r="AN156" s="49"/>
      <c r="AO156" s="49"/>
    </row>
    <row r="157" spans="1:41" ht="12.75" customHeight="1">
      <c r="A157"/>
      <c r="B157" t="s">
        <v>412</v>
      </c>
      <c r="C157" s="49">
        <v>18</v>
      </c>
      <c r="D157" s="49">
        <v>4638.4605225456135</v>
      </c>
      <c r="E157" s="49">
        <v>1040.16</v>
      </c>
      <c r="F157" s="49">
        <v>0</v>
      </c>
      <c r="G157" s="49">
        <v>0</v>
      </c>
      <c r="H157" s="49"/>
      <c r="I157" s="49">
        <v>0.15878693877573125</v>
      </c>
      <c r="J157" s="49">
        <v>0.3317197263240814</v>
      </c>
      <c r="K157" s="49">
        <v>4992.143137389716</v>
      </c>
      <c r="L157" s="49">
        <v>1.1964570783830801</v>
      </c>
      <c r="M157" s="49">
        <v>3.590135097503662</v>
      </c>
      <c r="N157" s="49">
        <v>1040.1568219504923</v>
      </c>
      <c r="O157" s="49">
        <v>0</v>
      </c>
      <c r="P157" s="49">
        <v>0</v>
      </c>
      <c r="Q157" s="49">
        <v>1040.1568603515625</v>
      </c>
      <c r="R157" s="49">
        <v>17.477848543670763</v>
      </c>
      <c r="S157" s="49">
        <v>1806.955489027775</v>
      </c>
      <c r="T157" s="49">
        <v>42.78999328613281</v>
      </c>
      <c r="U157" s="49">
        <v>266.4971618652344</v>
      </c>
      <c r="V157" s="49">
        <v>2114.30229992099</v>
      </c>
      <c r="W157" s="49">
        <v>1040.1568219504923</v>
      </c>
      <c r="X157" s="48">
        <v>2.032676472722902</v>
      </c>
      <c r="Y157" s="60">
        <v>855.9819946289062</v>
      </c>
      <c r="Z157" s="60">
        <v>0</v>
      </c>
      <c r="AA157" s="60">
        <v>0</v>
      </c>
      <c r="AB157" s="60">
        <v>2970.2841796875</v>
      </c>
      <c r="AC157" s="60">
        <v>1040.1568603515625</v>
      </c>
      <c r="AD157" s="48">
        <v>2.855611801147461</v>
      </c>
      <c r="AE157" s="60"/>
      <c r="AF157" s="60"/>
      <c r="AG157" s="60"/>
      <c r="AH157" s="60"/>
      <c r="AI157" s="60"/>
      <c r="AJ157" s="60"/>
      <c r="AK157" s="60"/>
      <c r="AL157" s="49"/>
      <c r="AM157" s="49"/>
      <c r="AN157" s="49"/>
      <c r="AO157" s="49"/>
    </row>
    <row r="158" spans="1:41" ht="12.75" customHeight="1">
      <c r="A158"/>
      <c r="B158" t="s">
        <v>430</v>
      </c>
      <c r="C158" s="49">
        <v>18</v>
      </c>
      <c r="D158" s="49">
        <v>4433.637007805844</v>
      </c>
      <c r="E158" s="49">
        <v>1040.16</v>
      </c>
      <c r="F158" s="49">
        <v>0</v>
      </c>
      <c r="G158" s="49">
        <v>0</v>
      </c>
      <c r="H158" s="49"/>
      <c r="I158" s="49">
        <v>0.15900544390613738</v>
      </c>
      <c r="J158" s="49">
        <v>0.3252556025981903</v>
      </c>
      <c r="K158" s="49">
        <v>4771.70182965104</v>
      </c>
      <c r="L158" s="49">
        <v>1.1213389251664208</v>
      </c>
      <c r="M158" s="49">
        <v>3.4271719455718994</v>
      </c>
      <c r="N158" s="49">
        <v>1040.1568219504923</v>
      </c>
      <c r="O158" s="49">
        <v>0</v>
      </c>
      <c r="P158" s="49">
        <v>0</v>
      </c>
      <c r="Q158" s="49">
        <v>1040.1568603515625</v>
      </c>
      <c r="R158" s="49">
        <v>18.285283695105417</v>
      </c>
      <c r="S158" s="49">
        <v>1749.937816350343</v>
      </c>
      <c r="T158" s="49">
        <v>40.10347366333008</v>
      </c>
      <c r="U158" s="49">
        <v>256.82965087890625</v>
      </c>
      <c r="V158" s="49">
        <v>2045.0524160175326</v>
      </c>
      <c r="W158" s="49">
        <v>1040.1568219504923</v>
      </c>
      <c r="X158" s="48">
        <v>1.9661000849686008</v>
      </c>
      <c r="Y158" s="60">
        <v>817.12744140625</v>
      </c>
      <c r="Z158" s="60">
        <v>0</v>
      </c>
      <c r="AA158" s="60">
        <v>0</v>
      </c>
      <c r="AB158" s="60">
        <v>2862.179931640625</v>
      </c>
      <c r="AC158" s="60">
        <v>1040.1568603515625</v>
      </c>
      <c r="AD158" s="48">
        <v>2.751681089401245</v>
      </c>
      <c r="AE158" s="60"/>
      <c r="AF158" s="60"/>
      <c r="AG158" s="60"/>
      <c r="AH158" s="60"/>
      <c r="AI158" s="60"/>
      <c r="AJ158" s="60"/>
      <c r="AK158" s="60"/>
      <c r="AL158" s="49"/>
      <c r="AM158" s="49"/>
      <c r="AN158" s="49"/>
      <c r="AO158" s="49"/>
    </row>
    <row r="159" spans="1:41" ht="12.75" customHeight="1">
      <c r="A159"/>
      <c r="B159" t="s">
        <v>420</v>
      </c>
      <c r="C159" s="49">
        <v>18</v>
      </c>
      <c r="D159" s="49">
        <v>4558.411299704582</v>
      </c>
      <c r="E159" s="49">
        <v>1040.16</v>
      </c>
      <c r="F159" s="49">
        <v>0</v>
      </c>
      <c r="G159" s="49">
        <v>0</v>
      </c>
      <c r="H159" s="49"/>
      <c r="I159" s="49">
        <v>0.15867089433957043</v>
      </c>
      <c r="J159" s="49">
        <v>0.33515268564224243</v>
      </c>
      <c r="K159" s="49">
        <v>4905.990161307056</v>
      </c>
      <c r="L159" s="49">
        <v>1.1879774606889861</v>
      </c>
      <c r="M159" s="49">
        <v>3.53059720993042</v>
      </c>
      <c r="N159" s="49">
        <v>1040.1568219504923</v>
      </c>
      <c r="O159" s="49">
        <v>0</v>
      </c>
      <c r="P159" s="49">
        <v>0</v>
      </c>
      <c r="Q159" s="49">
        <v>1040.1568603515625</v>
      </c>
      <c r="R159" s="49">
        <v>17.78477306207584</v>
      </c>
      <c r="S159" s="49">
        <v>1684.7576397637627</v>
      </c>
      <c r="T159" s="49">
        <v>42.48672866821289</v>
      </c>
      <c r="U159" s="49">
        <v>252.89328002929688</v>
      </c>
      <c r="V159" s="49">
        <v>1978.2110410509054</v>
      </c>
      <c r="W159" s="49">
        <v>1040.1568219504923</v>
      </c>
      <c r="X159" s="48">
        <v>1.9018392220332534</v>
      </c>
      <c r="Y159" s="60">
        <v>841.7867431640625</v>
      </c>
      <c r="Z159" s="60">
        <v>0</v>
      </c>
      <c r="AA159" s="60">
        <v>0</v>
      </c>
      <c r="AB159" s="60">
        <v>2819.997802734375</v>
      </c>
      <c r="AC159" s="60">
        <v>1040.1568603515625</v>
      </c>
      <c r="AD159" s="48">
        <v>2.711127519607544</v>
      </c>
      <c r="AE159" s="60"/>
      <c r="AF159" s="60"/>
      <c r="AG159" s="60"/>
      <c r="AH159" s="60"/>
      <c r="AI159" s="60"/>
      <c r="AJ159" s="60"/>
      <c r="AK159" s="60"/>
      <c r="AL159" s="49"/>
      <c r="AM159" s="49"/>
      <c r="AN159" s="49"/>
      <c r="AO159" s="49"/>
    </row>
    <row r="160" spans="1:41" ht="12.75" customHeight="1">
      <c r="A160"/>
      <c r="B160" t="s">
        <v>417</v>
      </c>
      <c r="C160" s="49">
        <v>18</v>
      </c>
      <c r="D160" s="49">
        <v>4463.764986629512</v>
      </c>
      <c r="E160" s="49">
        <v>1040.16</v>
      </c>
      <c r="F160" s="49">
        <v>0</v>
      </c>
      <c r="G160" s="49">
        <v>0</v>
      </c>
      <c r="H160" s="49"/>
      <c r="I160" s="49">
        <v>0.15834810031857655</v>
      </c>
      <c r="J160" s="49">
        <v>0.3447020351886749</v>
      </c>
      <c r="K160" s="49">
        <v>4804.127066860013</v>
      </c>
      <c r="L160" s="49">
        <v>1.1964570783830801</v>
      </c>
      <c r="M160" s="49">
        <v>3.4638819694519043</v>
      </c>
      <c r="N160" s="49">
        <v>1040.1568219504923</v>
      </c>
      <c r="O160" s="49">
        <v>0</v>
      </c>
      <c r="P160" s="49">
        <v>0</v>
      </c>
      <c r="Q160" s="49">
        <v>1040.1568603515625</v>
      </c>
      <c r="R160" s="49">
        <v>18.161868004180594</v>
      </c>
      <c r="S160" s="49">
        <v>1689.0767426839668</v>
      </c>
      <c r="T160" s="49">
        <v>42.78999328613281</v>
      </c>
      <c r="U160" s="49">
        <v>251.83560180664062</v>
      </c>
      <c r="V160" s="49">
        <v>1981.761977306125</v>
      </c>
      <c r="W160" s="49">
        <v>1040.1568219504923</v>
      </c>
      <c r="X160" s="48">
        <v>1.9052530690419773</v>
      </c>
      <c r="Y160" s="60">
        <v>825.8800048828125</v>
      </c>
      <c r="Z160" s="60">
        <v>0</v>
      </c>
      <c r="AA160" s="60">
        <v>0</v>
      </c>
      <c r="AB160" s="60">
        <v>2807.64208984375</v>
      </c>
      <c r="AC160" s="60">
        <v>1040.1568603515625</v>
      </c>
      <c r="AD160" s="48">
        <v>2.699248790740967</v>
      </c>
      <c r="AE160" s="60"/>
      <c r="AF160" s="60"/>
      <c r="AG160" s="60"/>
      <c r="AH160" s="60"/>
      <c r="AI160" s="60"/>
      <c r="AJ160" s="60"/>
      <c r="AK160" s="60"/>
      <c r="AL160" s="49"/>
      <c r="AM160" s="49"/>
      <c r="AN160" s="49"/>
      <c r="AO160" s="49"/>
    </row>
    <row r="161" spans="1:41" ht="12.75" customHeight="1">
      <c r="A161"/>
      <c r="B161" t="s">
        <v>435</v>
      </c>
      <c r="C161" s="49">
        <v>18</v>
      </c>
      <c r="D161" s="49">
        <v>4233.599708806026</v>
      </c>
      <c r="E161" s="49">
        <v>1040.16</v>
      </c>
      <c r="F161" s="49">
        <v>0</v>
      </c>
      <c r="G161" s="49">
        <v>0</v>
      </c>
      <c r="H161" s="49"/>
      <c r="I161" s="49">
        <v>0.15848595187666098</v>
      </c>
      <c r="J161" s="49">
        <v>0.3406239151954651</v>
      </c>
      <c r="K161" s="49">
        <v>4556.411686602484</v>
      </c>
      <c r="L161" s="49">
        <v>1.1213389251664208</v>
      </c>
      <c r="M161" s="49">
        <v>3.282604217529297</v>
      </c>
      <c r="N161" s="49">
        <v>1040.1568219504923</v>
      </c>
      <c r="O161" s="49">
        <v>0</v>
      </c>
      <c r="P161" s="49">
        <v>0</v>
      </c>
      <c r="Q161" s="49">
        <v>1040.1568603515625</v>
      </c>
      <c r="R161" s="49">
        <v>19.149262109079253</v>
      </c>
      <c r="S161" s="49">
        <v>1614.2833949617989</v>
      </c>
      <c r="T161" s="49">
        <v>40.10347366333008</v>
      </c>
      <c r="U161" s="49">
        <v>239.97364807128906</v>
      </c>
      <c r="V161" s="49">
        <v>1892.541985145651</v>
      </c>
      <c r="W161" s="49">
        <v>1040.1568219504923</v>
      </c>
      <c r="X161" s="48">
        <v>1.819477549161072</v>
      </c>
      <c r="Y161" s="60">
        <v>782.6587524414062</v>
      </c>
      <c r="Z161" s="60">
        <v>0</v>
      </c>
      <c r="AA161" s="60">
        <v>0</v>
      </c>
      <c r="AB161" s="60">
        <v>2675.20068359375</v>
      </c>
      <c r="AC161" s="60">
        <v>1040.1568603515625</v>
      </c>
      <c r="AD161" s="48">
        <v>2.571920394897461</v>
      </c>
      <c r="AE161" s="60"/>
      <c r="AF161" s="60"/>
      <c r="AG161" s="60"/>
      <c r="AH161" s="60"/>
      <c r="AI161" s="60"/>
      <c r="AJ161" s="60"/>
      <c r="AK161" s="60"/>
      <c r="AL161" s="49"/>
      <c r="AM161" s="49"/>
      <c r="AN161" s="49"/>
      <c r="AO161" s="49"/>
    </row>
    <row r="162" spans="1:41" ht="12.75" customHeight="1">
      <c r="A162"/>
      <c r="B162" t="s">
        <v>415</v>
      </c>
      <c r="C162" s="49">
        <v>18</v>
      </c>
      <c r="D162" s="49">
        <v>3495.420045118446</v>
      </c>
      <c r="E162" s="49">
        <v>1040.16</v>
      </c>
      <c r="F162" s="49">
        <v>0</v>
      </c>
      <c r="G162" s="49">
        <v>0</v>
      </c>
      <c r="H162" s="49"/>
      <c r="I162" s="49">
        <v>0.16015079514747904</v>
      </c>
      <c r="J162" s="49">
        <v>0.29137229919433594</v>
      </c>
      <c r="K162" s="49">
        <v>3761.945823558727</v>
      </c>
      <c r="L162" s="49">
        <v>0.7919533642615366</v>
      </c>
      <c r="M162" s="49">
        <v>2.683624267578125</v>
      </c>
      <c r="N162" s="49">
        <v>1040.1568219504923</v>
      </c>
      <c r="O162" s="49">
        <v>0</v>
      </c>
      <c r="P162" s="49">
        <v>0</v>
      </c>
      <c r="Q162" s="49">
        <v>1040.1568603515625</v>
      </c>
      <c r="R162" s="49">
        <v>23.193295638979784</v>
      </c>
      <c r="S162" s="49">
        <v>1477.580290624402</v>
      </c>
      <c r="T162" s="49">
        <v>28.32335662841797</v>
      </c>
      <c r="U162" s="49">
        <v>211.5450897216797</v>
      </c>
      <c r="V162" s="49">
        <v>1716.164383238366</v>
      </c>
      <c r="W162" s="49">
        <v>1040.1568219504923</v>
      </c>
      <c r="X162" s="48">
        <v>1.649909270431194</v>
      </c>
      <c r="Y162" s="60">
        <v>639.8461303710938</v>
      </c>
      <c r="Z162" s="60">
        <v>0</v>
      </c>
      <c r="AA162" s="60">
        <v>0</v>
      </c>
      <c r="AB162" s="60">
        <v>2356.010498046875</v>
      </c>
      <c r="AC162" s="60">
        <v>1040.1568603515625</v>
      </c>
      <c r="AD162" s="48">
        <v>2.2650530338287354</v>
      </c>
      <c r="AE162" s="60"/>
      <c r="AF162" s="60"/>
      <c r="AG162" s="60"/>
      <c r="AH162" s="60"/>
      <c r="AI162" s="60"/>
      <c r="AJ162" s="60"/>
      <c r="AK162" s="60"/>
      <c r="AL162" s="49"/>
      <c r="AM162" s="49"/>
      <c r="AN162" s="49"/>
      <c r="AO162" s="49"/>
    </row>
    <row r="163" spans="1:41" ht="12.75" customHeight="1">
      <c r="A163"/>
      <c r="B163" t="s">
        <v>433</v>
      </c>
      <c r="C163" s="49">
        <v>18</v>
      </c>
      <c r="D163" s="49">
        <v>3401.5209871210545</v>
      </c>
      <c r="E163" s="49">
        <v>1040.16</v>
      </c>
      <c r="F163" s="49">
        <v>0</v>
      </c>
      <c r="G163" s="49">
        <v>0</v>
      </c>
      <c r="H163" s="49"/>
      <c r="I163" s="49">
        <v>0.16057515813727632</v>
      </c>
      <c r="J163" s="49">
        <v>0.2788182199001312</v>
      </c>
      <c r="K163" s="49">
        <v>3660.886962389035</v>
      </c>
      <c r="L163" s="49">
        <v>0.7374732841518846</v>
      </c>
      <c r="M163" s="49">
        <v>2.6049301624298096</v>
      </c>
      <c r="N163" s="49">
        <v>1040.1568219504923</v>
      </c>
      <c r="O163" s="49">
        <v>0</v>
      </c>
      <c r="P163" s="49">
        <v>0</v>
      </c>
      <c r="Q163" s="49">
        <v>1040.1568603515625</v>
      </c>
      <c r="R163" s="49">
        <v>23.833547050216392</v>
      </c>
      <c r="S163" s="49">
        <v>1483.6524826470218</v>
      </c>
      <c r="T163" s="49">
        <v>26.374935150146484</v>
      </c>
      <c r="U163" s="49">
        <v>210.17510986328125</v>
      </c>
      <c r="V163" s="49">
        <v>1719.0065274868077</v>
      </c>
      <c r="W163" s="49">
        <v>1040.1568219504923</v>
      </c>
      <c r="X163" s="48">
        <v>1.6526416894169313</v>
      </c>
      <c r="Y163" s="60">
        <v>621.0833740234375</v>
      </c>
      <c r="Z163" s="60">
        <v>0</v>
      </c>
      <c r="AA163" s="60">
        <v>0</v>
      </c>
      <c r="AB163" s="60">
        <v>2340.08984375</v>
      </c>
      <c r="AC163" s="60">
        <v>1040.1568603515625</v>
      </c>
      <c r="AD163" s="48">
        <v>2.2497470378875732</v>
      </c>
      <c r="AE163" s="60"/>
      <c r="AF163" s="60"/>
      <c r="AG163" s="60"/>
      <c r="AH163" s="60"/>
      <c r="AI163" s="60"/>
      <c r="AJ163" s="60"/>
      <c r="AK163" s="60"/>
      <c r="AL163" s="49"/>
      <c r="AM163" s="49"/>
      <c r="AN163" s="49"/>
      <c r="AO163" s="49"/>
    </row>
    <row r="164" spans="1:41" ht="12.75" customHeight="1">
      <c r="A164"/>
      <c r="B164" t="s">
        <v>414</v>
      </c>
      <c r="C164" s="49">
        <v>18</v>
      </c>
      <c r="D164" s="49">
        <v>3173.1077095724436</v>
      </c>
      <c r="E164" s="49">
        <v>1040.16</v>
      </c>
      <c r="F164" s="49">
        <v>0</v>
      </c>
      <c r="G164" s="49">
        <v>0</v>
      </c>
      <c r="H164" s="49"/>
      <c r="I164" s="49">
        <v>0.15915034999722139</v>
      </c>
      <c r="J164" s="49">
        <v>0.3209688067436218</v>
      </c>
      <c r="K164" s="49">
        <v>3415.0571724273423</v>
      </c>
      <c r="L164" s="49">
        <v>0.7919533642615366</v>
      </c>
      <c r="M164" s="49">
        <v>2.450687885284424</v>
      </c>
      <c r="N164" s="49">
        <v>1040.1568219504923</v>
      </c>
      <c r="O164" s="49">
        <v>0</v>
      </c>
      <c r="P164" s="49">
        <v>0</v>
      </c>
      <c r="Q164" s="49">
        <v>1040.1568603515625</v>
      </c>
      <c r="R164" s="49">
        <v>25.549183295694647</v>
      </c>
      <c r="S164" s="49">
        <v>1215.7921966240774</v>
      </c>
      <c r="T164" s="49">
        <v>28.32335662841797</v>
      </c>
      <c r="U164" s="49">
        <v>180.06431579589844</v>
      </c>
      <c r="V164" s="49">
        <v>1422.8955134049115</v>
      </c>
      <c r="W164" s="49">
        <v>1040.1568219504923</v>
      </c>
      <c r="X164" s="48">
        <v>1.3679624873648488</v>
      </c>
      <c r="Y164" s="60">
        <v>584.3080444335938</v>
      </c>
      <c r="Z164" s="60">
        <v>0</v>
      </c>
      <c r="AA164" s="60">
        <v>0</v>
      </c>
      <c r="AB164" s="60">
        <v>2007.20361328125</v>
      </c>
      <c r="AC164" s="60">
        <v>1040.1568603515625</v>
      </c>
      <c r="AD164" s="48">
        <v>1.9297124147415161</v>
      </c>
      <c r="AE164" s="60"/>
      <c r="AF164" s="60"/>
      <c r="AG164" s="60"/>
      <c r="AH164" s="60"/>
      <c r="AI164" s="60"/>
      <c r="AJ164" s="60"/>
      <c r="AK164" s="60"/>
      <c r="AL164" s="49"/>
      <c r="AM164" s="49"/>
      <c r="AN164" s="49"/>
      <c r="AO164" s="49"/>
    </row>
    <row r="165" spans="1:41" ht="12.75" customHeight="1">
      <c r="A165"/>
      <c r="B165" t="s">
        <v>432</v>
      </c>
      <c r="C165" s="49">
        <v>18</v>
      </c>
      <c r="D165" s="49">
        <v>3043.0475589896037</v>
      </c>
      <c r="E165" s="49">
        <v>1040.16</v>
      </c>
      <c r="F165" s="49">
        <v>0</v>
      </c>
      <c r="G165" s="49">
        <v>0</v>
      </c>
      <c r="H165" s="49"/>
      <c r="I165" s="49">
        <v>0.1594649042530915</v>
      </c>
      <c r="J165" s="49">
        <v>0.3116632401943207</v>
      </c>
      <c r="K165" s="49">
        <v>3275.0799353625607</v>
      </c>
      <c r="L165" s="49">
        <v>0.7374732841518846</v>
      </c>
      <c r="M165" s="49">
        <v>2.345860242843628</v>
      </c>
      <c r="N165" s="49">
        <v>1040.1568219504923</v>
      </c>
      <c r="O165" s="49">
        <v>0</v>
      </c>
      <c r="P165" s="49">
        <v>0</v>
      </c>
      <c r="Q165" s="49">
        <v>1040.1568603515625</v>
      </c>
      <c r="R165" s="49">
        <v>26.641157890994744</v>
      </c>
      <c r="S165" s="49">
        <v>1189.778974977556</v>
      </c>
      <c r="T165" s="49">
        <v>26.374935150146484</v>
      </c>
      <c r="U165" s="49">
        <v>174.89096069335938</v>
      </c>
      <c r="V165" s="49">
        <v>1389.8488649253738</v>
      </c>
      <c r="W165" s="49">
        <v>1040.1568219504923</v>
      </c>
      <c r="X165" s="48">
        <v>1.3361916545614174</v>
      </c>
      <c r="Y165" s="60">
        <v>559.3143310546875</v>
      </c>
      <c r="Z165" s="60">
        <v>0</v>
      </c>
      <c r="AA165" s="60">
        <v>0</v>
      </c>
      <c r="AB165" s="60">
        <v>1949.1632080078125</v>
      </c>
      <c r="AC165" s="60">
        <v>1040.1568603515625</v>
      </c>
      <c r="AD165" s="48">
        <v>1.8739128112792969</v>
      </c>
      <c r="AE165" s="60"/>
      <c r="AF165" s="60"/>
      <c r="AG165" s="60"/>
      <c r="AH165" s="60"/>
      <c r="AI165" s="60"/>
      <c r="AJ165" s="60"/>
      <c r="AK165" s="60"/>
      <c r="AL165" s="49"/>
      <c r="AM165" s="49"/>
      <c r="AN165" s="49"/>
      <c r="AO165" s="49"/>
    </row>
    <row r="166" spans="1:41" ht="12.75" customHeight="1">
      <c r="A166"/>
      <c r="B166" t="s">
        <v>411</v>
      </c>
      <c r="C166" s="49">
        <v>18</v>
      </c>
      <c r="D166" s="49">
        <v>2998.412173656343</v>
      </c>
      <c r="E166" s="49">
        <v>1040.16</v>
      </c>
      <c r="F166" s="49">
        <v>0</v>
      </c>
      <c r="G166" s="49">
        <v>0</v>
      </c>
      <c r="H166" s="49"/>
      <c r="I166" s="49">
        <v>0.1585182202859061</v>
      </c>
      <c r="J166" s="49">
        <v>0.33966928720474243</v>
      </c>
      <c r="K166" s="49">
        <v>3227.0411018976392</v>
      </c>
      <c r="L166" s="49">
        <v>0.7919533642615366</v>
      </c>
      <c r="M166" s="49">
        <v>2.324434757232666</v>
      </c>
      <c r="N166" s="49">
        <v>1040.1568219504923</v>
      </c>
      <c r="O166" s="49">
        <v>0</v>
      </c>
      <c r="P166" s="49">
        <v>0</v>
      </c>
      <c r="Q166" s="49">
        <v>1040.1568603515625</v>
      </c>
      <c r="R166" s="49">
        <v>27.03774724539918</v>
      </c>
      <c r="S166" s="49">
        <v>1097.913450280269</v>
      </c>
      <c r="T166" s="49">
        <v>28.32335662841797</v>
      </c>
      <c r="U166" s="49">
        <v>165.40274047851562</v>
      </c>
      <c r="V166" s="49">
        <v>1290.355190790046</v>
      </c>
      <c r="W166" s="49">
        <v>1040.1568219504923</v>
      </c>
      <c r="X166" s="48">
        <v>1.2405390836839238</v>
      </c>
      <c r="Y166" s="60">
        <v>554.2060546875</v>
      </c>
      <c r="Z166" s="60">
        <v>0</v>
      </c>
      <c r="AA166" s="60">
        <v>0</v>
      </c>
      <c r="AB166" s="60">
        <v>1844.561279296875</v>
      </c>
      <c r="AC166" s="60">
        <v>1040.1568603515625</v>
      </c>
      <c r="AD166" s="48">
        <v>1.7733491659164429</v>
      </c>
      <c r="AE166" s="60"/>
      <c r="AF166" s="60"/>
      <c r="AG166" s="60"/>
      <c r="AH166" s="60"/>
      <c r="AI166" s="60"/>
      <c r="AJ166" s="60"/>
      <c r="AK166" s="60"/>
      <c r="AL166" s="49"/>
      <c r="AM166" s="49"/>
      <c r="AN166" s="49"/>
      <c r="AO166" s="49"/>
    </row>
    <row r="167" spans="1:41" ht="12.75" customHeight="1">
      <c r="A167"/>
      <c r="B167" t="s">
        <v>429</v>
      </c>
      <c r="C167" s="49">
        <v>18</v>
      </c>
      <c r="D167" s="49">
        <v>2843.010259989785</v>
      </c>
      <c r="E167" s="49">
        <v>1040.16</v>
      </c>
      <c r="F167" s="49">
        <v>0</v>
      </c>
      <c r="G167" s="49">
        <v>0</v>
      </c>
      <c r="H167" s="49"/>
      <c r="I167" s="49">
        <v>0.15872364343965933</v>
      </c>
      <c r="J167" s="49">
        <v>0.3335922062397003</v>
      </c>
      <c r="K167" s="49">
        <v>3059.7897923140063</v>
      </c>
      <c r="L167" s="49">
        <v>0.7374732841518846</v>
      </c>
      <c r="M167" s="49">
        <v>2.2012925148010254</v>
      </c>
      <c r="N167" s="49">
        <v>1040.1568219504923</v>
      </c>
      <c r="O167" s="49">
        <v>0</v>
      </c>
      <c r="P167" s="49">
        <v>0</v>
      </c>
      <c r="Q167" s="49">
        <v>1040.1568603515625</v>
      </c>
      <c r="R167" s="49">
        <v>28.515658782441204</v>
      </c>
      <c r="S167" s="49">
        <v>1054.1245535890116</v>
      </c>
      <c r="T167" s="49">
        <v>26.374935150146484</v>
      </c>
      <c r="U167" s="49">
        <v>158.03494262695312</v>
      </c>
      <c r="V167" s="49">
        <v>1237.3384340534924</v>
      </c>
      <c r="W167" s="49">
        <v>1040.1568219504923</v>
      </c>
      <c r="X167" s="48">
        <v>1.1895691187538886</v>
      </c>
      <c r="Y167" s="60">
        <v>524.8456420898438</v>
      </c>
      <c r="Z167" s="60">
        <v>0</v>
      </c>
      <c r="AA167" s="60">
        <v>0</v>
      </c>
      <c r="AB167" s="60">
        <v>1762.18408203125</v>
      </c>
      <c r="AC167" s="60">
        <v>1040.1568603515625</v>
      </c>
      <c r="AD167" s="48">
        <v>1.6941522359848022</v>
      </c>
      <c r="AE167" s="60"/>
      <c r="AF167" s="60"/>
      <c r="AG167" s="60"/>
      <c r="AH167" s="60"/>
      <c r="AI167" s="60"/>
      <c r="AJ167" s="60"/>
      <c r="AK167" s="60"/>
      <c r="AL167" s="49"/>
      <c r="AM167" s="49"/>
      <c r="AN167" s="49"/>
      <c r="AO167" s="49"/>
    </row>
    <row r="168" spans="1:41" ht="12.75" customHeight="1">
      <c r="A168"/>
      <c r="B168" t="s">
        <v>407</v>
      </c>
      <c r="C168" s="49">
        <v>18</v>
      </c>
      <c r="D168" s="49">
        <v>1030.8741567717698</v>
      </c>
      <c r="E168" s="49">
        <v>960.65</v>
      </c>
      <c r="F168" s="49">
        <v>0</v>
      </c>
      <c r="G168" s="49">
        <v>0</v>
      </c>
      <c r="H168" s="49"/>
      <c r="I168" s="49">
        <v>0.17</v>
      </c>
      <c r="J168" s="49">
        <v>0</v>
      </c>
      <c r="K168" s="49">
        <v>1109.478311225617</v>
      </c>
      <c r="L168" s="49">
        <v>0</v>
      </c>
      <c r="M168" s="49">
        <v>0.74501633644104</v>
      </c>
      <c r="N168" s="49">
        <v>960.6473049846117</v>
      </c>
      <c r="O168" s="49">
        <v>0</v>
      </c>
      <c r="P168" s="49">
        <v>0</v>
      </c>
      <c r="Q168" s="49">
        <v>960.6472778320312</v>
      </c>
      <c r="R168" s="49">
        <v>72.63087628512558</v>
      </c>
      <c r="S168" s="49">
        <v>757.6771837955959</v>
      </c>
      <c r="T168" s="49">
        <v>0</v>
      </c>
      <c r="U168" s="49">
        <v>92.7253646850586</v>
      </c>
      <c r="V168" s="49">
        <v>850.4025484806544</v>
      </c>
      <c r="W168" s="49">
        <v>960.6473049846117</v>
      </c>
      <c r="X168" s="69">
        <v>0.8852390925036497</v>
      </c>
      <c r="Y168" s="60">
        <v>177.63133239746094</v>
      </c>
      <c r="Z168" s="60">
        <v>0</v>
      </c>
      <c r="AA168" s="60">
        <v>0</v>
      </c>
      <c r="AB168" s="60">
        <v>1028.033935546875</v>
      </c>
      <c r="AC168" s="60">
        <v>960.6472778320312</v>
      </c>
      <c r="AD168" s="48">
        <v>1.070147156715393</v>
      </c>
      <c r="AE168" s="60"/>
      <c r="AF168" s="60"/>
      <c r="AG168" s="60"/>
      <c r="AH168" s="60"/>
      <c r="AI168" s="60"/>
      <c r="AJ168" s="60"/>
      <c r="AK168" s="60"/>
      <c r="AL168" s="49"/>
      <c r="AM168" s="49"/>
      <c r="AN168" s="49"/>
      <c r="AO168" s="49"/>
    </row>
    <row r="169" spans="1:41" ht="12.75" customHeight="1">
      <c r="A169"/>
      <c r="B169" t="s">
        <v>410</v>
      </c>
      <c r="C169" s="49">
        <v>18</v>
      </c>
      <c r="D169" s="49">
        <v>729.9545374250838</v>
      </c>
      <c r="E169" s="49">
        <v>960.65</v>
      </c>
      <c r="F169" s="49">
        <v>0</v>
      </c>
      <c r="G169" s="49">
        <v>0</v>
      </c>
      <c r="H169" s="49"/>
      <c r="I169" s="49">
        <v>0.17</v>
      </c>
      <c r="J169" s="49">
        <v>0</v>
      </c>
      <c r="K169" s="49">
        <v>785.6135709037464</v>
      </c>
      <c r="L169" s="49">
        <v>0</v>
      </c>
      <c r="M169" s="49">
        <v>0.5275406837463379</v>
      </c>
      <c r="N169" s="49">
        <v>960.6473049846117</v>
      </c>
      <c r="O169" s="49">
        <v>0</v>
      </c>
      <c r="P169" s="49">
        <v>0</v>
      </c>
      <c r="Q169" s="49">
        <v>960.6472778320312</v>
      </c>
      <c r="R169" s="49">
        <v>102.57254323007464</v>
      </c>
      <c r="S169" s="49">
        <v>536.5057360124529</v>
      </c>
      <c r="T169" s="49">
        <v>0</v>
      </c>
      <c r="U169" s="49">
        <v>65.65815734863281</v>
      </c>
      <c r="V169" s="49">
        <v>602.1638933610857</v>
      </c>
      <c r="W169" s="49">
        <v>960.6473049846117</v>
      </c>
      <c r="X169" s="69">
        <v>0.626831398200541</v>
      </c>
      <c r="Y169" s="60">
        <v>125.77947998046875</v>
      </c>
      <c r="Z169" s="60">
        <v>0</v>
      </c>
      <c r="AA169" s="60">
        <v>0</v>
      </c>
      <c r="AB169" s="60">
        <v>727.9434204101562</v>
      </c>
      <c r="AC169" s="60">
        <v>960.6472778320312</v>
      </c>
      <c r="AD169" s="69">
        <v>0.7577635049819946</v>
      </c>
      <c r="AE169" s="60"/>
      <c r="AF169" s="60"/>
      <c r="AG169" s="60"/>
      <c r="AH169" s="60"/>
      <c r="AI169" s="60"/>
      <c r="AJ169" s="60"/>
      <c r="AK169" s="60"/>
      <c r="AL169" s="49"/>
      <c r="AM169" s="49"/>
      <c r="AN169" s="49"/>
      <c r="AO169" s="49"/>
    </row>
    <row r="170" spans="1:41" ht="12.75" customHeight="1">
      <c r="A170"/>
      <c r="B170" t="s">
        <v>404</v>
      </c>
      <c r="C170" s="49">
        <v>18</v>
      </c>
      <c r="D170" s="49">
        <v>626.4943726201489</v>
      </c>
      <c r="E170" s="49">
        <v>960.65</v>
      </c>
      <c r="F170" s="49">
        <v>0</v>
      </c>
      <c r="G170" s="49">
        <v>0</v>
      </c>
      <c r="H170" s="49"/>
      <c r="I170" s="49">
        <v>0.17</v>
      </c>
      <c r="J170" s="49">
        <v>0</v>
      </c>
      <c r="K170" s="49">
        <v>674.2645685324352</v>
      </c>
      <c r="L170" s="49">
        <v>0</v>
      </c>
      <c r="M170" s="49">
        <v>0.4527696669101715</v>
      </c>
      <c r="N170" s="49">
        <v>960.6473049846117</v>
      </c>
      <c r="O170" s="49">
        <v>0</v>
      </c>
      <c r="P170" s="49">
        <v>0</v>
      </c>
      <c r="Q170" s="49">
        <v>960.6472778320312</v>
      </c>
      <c r="R170" s="49">
        <v>119.51151776972168</v>
      </c>
      <c r="S170" s="49">
        <v>460.46405256399834</v>
      </c>
      <c r="T170" s="49">
        <v>0</v>
      </c>
      <c r="U170" s="49">
        <v>56.35209655761719</v>
      </c>
      <c r="V170" s="49">
        <v>516.8161491216156</v>
      </c>
      <c r="W170" s="49">
        <v>960.6473049846117</v>
      </c>
      <c r="X170" s="69">
        <v>0.5379874033268581</v>
      </c>
      <c r="Y170" s="60">
        <v>107.95210266113281</v>
      </c>
      <c r="Z170" s="60">
        <v>0</v>
      </c>
      <c r="AA170" s="60">
        <v>0</v>
      </c>
      <c r="AB170" s="60">
        <v>624.7682495117188</v>
      </c>
      <c r="AC170" s="60">
        <v>960.6472778320312</v>
      </c>
      <c r="AD170" s="69">
        <v>0.6503617763519287</v>
      </c>
      <c r="AE170" s="60"/>
      <c r="AF170" s="60"/>
      <c r="AG170" s="60"/>
      <c r="AH170" s="60"/>
      <c r="AI170" s="60"/>
      <c r="AJ170" s="60"/>
      <c r="AK170" s="60"/>
      <c r="AL170" s="49"/>
      <c r="AM170" s="49"/>
      <c r="AN170" s="49"/>
      <c r="AO170" s="49"/>
    </row>
    <row r="171" spans="1:41" ht="12.75" customHeight="1">
      <c r="A171"/>
      <c r="B171" t="s">
        <v>406</v>
      </c>
      <c r="C171" s="49">
        <v>18</v>
      </c>
      <c r="D171" s="49">
        <v>534.6744782669505</v>
      </c>
      <c r="E171" s="49">
        <v>960.65</v>
      </c>
      <c r="F171" s="49">
        <v>0</v>
      </c>
      <c r="G171" s="49">
        <v>0</v>
      </c>
      <c r="H171" s="49"/>
      <c r="I171" s="49">
        <v>0.17</v>
      </c>
      <c r="J171" s="49">
        <v>0</v>
      </c>
      <c r="K171" s="49">
        <v>575.4434072348055</v>
      </c>
      <c r="L171" s="49">
        <v>0</v>
      </c>
      <c r="M171" s="49">
        <v>0.3864111006259918</v>
      </c>
      <c r="N171" s="49">
        <v>960.6473049846117</v>
      </c>
      <c r="O171" s="49">
        <v>0</v>
      </c>
      <c r="P171" s="49">
        <v>0</v>
      </c>
      <c r="Q171" s="49">
        <v>960.6472778320312</v>
      </c>
      <c r="R171" s="49">
        <v>140.0352857475293</v>
      </c>
      <c r="S171" s="49">
        <v>349.2216881410545</v>
      </c>
      <c r="T171" s="49">
        <v>0</v>
      </c>
      <c r="U171" s="49">
        <v>43.71744155883789</v>
      </c>
      <c r="V171" s="49">
        <v>392.9391296998924</v>
      </c>
      <c r="W171" s="49">
        <v>960.6473049846117</v>
      </c>
      <c r="X171" s="69">
        <v>0.40903579041028676</v>
      </c>
      <c r="Y171" s="60">
        <v>92.13050079345703</v>
      </c>
      <c r="Z171" s="60">
        <v>0</v>
      </c>
      <c r="AA171" s="60">
        <v>0</v>
      </c>
      <c r="AB171" s="60">
        <v>485.0696716308594</v>
      </c>
      <c r="AC171" s="60">
        <v>960.6472778320312</v>
      </c>
      <c r="AD171" s="69">
        <v>0.5049404501914978</v>
      </c>
      <c r="AE171" s="60"/>
      <c r="AF171" s="60"/>
      <c r="AG171" s="60"/>
      <c r="AH171" s="60"/>
      <c r="AI171" s="60"/>
      <c r="AJ171" s="60"/>
      <c r="AK171" s="60"/>
      <c r="AL171" s="49"/>
      <c r="AM171" s="49"/>
      <c r="AN171" s="49"/>
      <c r="AO171" s="49"/>
    </row>
    <row r="172" spans="1:41" ht="12.75" customHeight="1">
      <c r="A172"/>
      <c r="B172" t="s">
        <v>409</v>
      </c>
      <c r="C172" s="49">
        <v>18</v>
      </c>
      <c r="D172" s="49">
        <v>371.4811092936329</v>
      </c>
      <c r="E172" s="49">
        <v>960.65</v>
      </c>
      <c r="F172" s="49">
        <v>0</v>
      </c>
      <c r="G172" s="49">
        <v>0</v>
      </c>
      <c r="H172" s="49"/>
      <c r="I172" s="49">
        <v>0.17</v>
      </c>
      <c r="J172" s="49">
        <v>0</v>
      </c>
      <c r="K172" s="49">
        <v>399.8065438772724</v>
      </c>
      <c r="L172" s="49">
        <v>0</v>
      </c>
      <c r="M172" s="49">
        <v>0.2684706747531891</v>
      </c>
      <c r="N172" s="49">
        <v>960.6473049846117</v>
      </c>
      <c r="O172" s="49">
        <v>0</v>
      </c>
      <c r="P172" s="49">
        <v>0</v>
      </c>
      <c r="Q172" s="49">
        <v>960.6472778320312</v>
      </c>
      <c r="R172" s="49">
        <v>201.55343427393726</v>
      </c>
      <c r="S172" s="49">
        <v>242.63222834298682</v>
      </c>
      <c r="T172" s="49">
        <v>0</v>
      </c>
      <c r="U172" s="49">
        <v>30.37400245666504</v>
      </c>
      <c r="V172" s="49">
        <v>273.00623079965186</v>
      </c>
      <c r="W172" s="49">
        <v>960.6473049846117</v>
      </c>
      <c r="X172" s="69">
        <v>0.2841898680015816</v>
      </c>
      <c r="Y172" s="60">
        <v>64.01042175292969</v>
      </c>
      <c r="Z172" s="60">
        <v>0</v>
      </c>
      <c r="AA172" s="60">
        <v>0</v>
      </c>
      <c r="AB172" s="60">
        <v>337.0166931152344</v>
      </c>
      <c r="AC172" s="60">
        <v>960.6472778320312</v>
      </c>
      <c r="AD172" s="69">
        <v>0.3508225083351135</v>
      </c>
      <c r="AE172" s="60"/>
      <c r="AF172" s="60"/>
      <c r="AG172" s="60"/>
      <c r="AH172" s="60"/>
      <c r="AI172" s="60"/>
      <c r="AJ172" s="60"/>
      <c r="AK172" s="60"/>
      <c r="AL172" s="49"/>
      <c r="AM172" s="49"/>
      <c r="AN172" s="49"/>
      <c r="AO172" s="49"/>
    </row>
    <row r="173" spans="1:41" ht="12.75" customHeight="1">
      <c r="A173"/>
      <c r="B173" t="s">
        <v>403</v>
      </c>
      <c r="C173" s="49">
        <v>18</v>
      </c>
      <c r="D173" s="49">
        <v>304.1820370741467</v>
      </c>
      <c r="E173" s="49">
        <v>960.65</v>
      </c>
      <c r="F173" s="49">
        <v>0</v>
      </c>
      <c r="G173" s="49">
        <v>0</v>
      </c>
      <c r="H173" s="49"/>
      <c r="I173" s="49">
        <v>0.17</v>
      </c>
      <c r="J173" s="49">
        <v>0</v>
      </c>
      <c r="K173" s="49">
        <v>327.3759174010504</v>
      </c>
      <c r="L173" s="49">
        <v>0</v>
      </c>
      <c r="M173" s="49">
        <v>0.21983341872692108</v>
      </c>
      <c r="N173" s="49">
        <v>960.6473049846117</v>
      </c>
      <c r="O173" s="49">
        <v>0</v>
      </c>
      <c r="P173" s="49">
        <v>0</v>
      </c>
      <c r="Q173" s="49">
        <v>960.6472778320312</v>
      </c>
      <c r="R173" s="49">
        <v>246.14633416953743</v>
      </c>
      <c r="S173" s="49">
        <v>198.6759585636736</v>
      </c>
      <c r="T173" s="49">
        <v>0</v>
      </c>
      <c r="U173" s="49">
        <v>24.871320724487305</v>
      </c>
      <c r="V173" s="49">
        <v>223.5472792881609</v>
      </c>
      <c r="W173" s="49">
        <v>960.6473049846117</v>
      </c>
      <c r="X173" s="69">
        <v>0.23270484196251592</v>
      </c>
      <c r="Y173" s="60">
        <v>52.41402053833008</v>
      </c>
      <c r="Z173" s="60">
        <v>0</v>
      </c>
      <c r="AA173" s="60">
        <v>0</v>
      </c>
      <c r="AB173" s="60">
        <v>275.9613342285156</v>
      </c>
      <c r="AC173" s="60">
        <v>960.6472778320312</v>
      </c>
      <c r="AD173" s="69">
        <v>0.2872660458087921</v>
      </c>
      <c r="AE173" s="60"/>
      <c r="AF173" s="60"/>
      <c r="AG173" s="60"/>
      <c r="AH173" s="60"/>
      <c r="AI173" s="60"/>
      <c r="AJ173" s="60"/>
      <c r="AK173" s="60"/>
      <c r="AL173" s="49"/>
      <c r="AM173" s="49"/>
      <c r="AN173" s="49"/>
      <c r="AO173" s="49"/>
    </row>
    <row r="174" spans="1:41" ht="12.75" customHeight="1">
      <c r="A174"/>
      <c r="B174" t="s">
        <v>405</v>
      </c>
      <c r="C174" s="49">
        <v>18</v>
      </c>
      <c r="D174" s="49">
        <v>254.8510282004761</v>
      </c>
      <c r="E174" s="49">
        <v>960.65</v>
      </c>
      <c r="F174" s="49">
        <v>0</v>
      </c>
      <c r="G174" s="49">
        <v>0</v>
      </c>
      <c r="H174" s="49"/>
      <c r="I174" s="49">
        <v>0.17</v>
      </c>
      <c r="J174" s="49">
        <v>0</v>
      </c>
      <c r="K174" s="49">
        <v>274.2834191007624</v>
      </c>
      <c r="L174" s="49">
        <v>0</v>
      </c>
      <c r="M174" s="49">
        <v>0.18418172001838684</v>
      </c>
      <c r="N174" s="49">
        <v>960.6473049846117</v>
      </c>
      <c r="O174" s="49">
        <v>0</v>
      </c>
      <c r="P174" s="49">
        <v>0</v>
      </c>
      <c r="Q174" s="49">
        <v>960.6472778320312</v>
      </c>
      <c r="R174" s="49">
        <v>293.7923926566433</v>
      </c>
      <c r="S174" s="49">
        <v>159.02238786135644</v>
      </c>
      <c r="T174" s="49">
        <v>0</v>
      </c>
      <c r="U174" s="49">
        <v>20.094480514526367</v>
      </c>
      <c r="V174" s="49">
        <v>179.1168683758828</v>
      </c>
      <c r="W174" s="49">
        <v>960.6473049846117</v>
      </c>
      <c r="X174" s="69">
        <v>0.186454349527116</v>
      </c>
      <c r="Y174" s="60">
        <v>43.91373062133789</v>
      </c>
      <c r="Z174" s="60">
        <v>0</v>
      </c>
      <c r="AA174" s="60">
        <v>0</v>
      </c>
      <c r="AB174" s="60">
        <v>223.03062438964844</v>
      </c>
      <c r="AC174" s="60">
        <v>960.6472778320312</v>
      </c>
      <c r="AD174" s="69">
        <v>0.23216703534126282</v>
      </c>
      <c r="AE174" s="60"/>
      <c r="AF174" s="60"/>
      <c r="AG174" s="60"/>
      <c r="AH174" s="60"/>
      <c r="AI174" s="60"/>
      <c r="AJ174" s="60"/>
      <c r="AK174" s="60"/>
      <c r="AL174" s="49"/>
      <c r="AM174" s="49"/>
      <c r="AN174" s="49"/>
      <c r="AO174" s="49"/>
    </row>
    <row r="175" spans="1:41" ht="12.75" customHeight="1">
      <c r="A175"/>
      <c r="B175" t="s">
        <v>408</v>
      </c>
      <c r="C175" s="49">
        <v>18</v>
      </c>
      <c r="D175" s="49">
        <v>171.44381029381435</v>
      </c>
      <c r="E175" s="49">
        <v>960.65</v>
      </c>
      <c r="F175" s="49">
        <v>0</v>
      </c>
      <c r="G175" s="49">
        <v>0</v>
      </c>
      <c r="H175" s="49"/>
      <c r="I175" s="49">
        <v>0.17</v>
      </c>
      <c r="J175" s="49">
        <v>0</v>
      </c>
      <c r="K175" s="49">
        <v>184.5164008287177</v>
      </c>
      <c r="L175" s="49">
        <v>0</v>
      </c>
      <c r="M175" s="49">
        <v>0.12390303611755371</v>
      </c>
      <c r="N175" s="49">
        <v>960.6473049846117</v>
      </c>
      <c r="O175" s="49">
        <v>0</v>
      </c>
      <c r="P175" s="49">
        <v>0</v>
      </c>
      <c r="Q175" s="49">
        <v>960.6472778320312</v>
      </c>
      <c r="R175" s="49">
        <v>436.72205615185715</v>
      </c>
      <c r="S175" s="49">
        <v>106.97780695444264</v>
      </c>
      <c r="T175" s="49">
        <v>0</v>
      </c>
      <c r="U175" s="49">
        <v>13.517992973327637</v>
      </c>
      <c r="V175" s="49">
        <v>120.49579992777028</v>
      </c>
      <c r="W175" s="49">
        <v>960.6473049846117</v>
      </c>
      <c r="X175" s="69">
        <v>0.12543188254684218</v>
      </c>
      <c r="Y175" s="60">
        <v>29.54172134399414</v>
      </c>
      <c r="Z175" s="60">
        <v>0</v>
      </c>
      <c r="AA175" s="60">
        <v>0</v>
      </c>
      <c r="AB175" s="60">
        <v>150.0375518798828</v>
      </c>
      <c r="AC175" s="60">
        <v>960.6472778320312</v>
      </c>
      <c r="AD175" s="69">
        <v>0.15618380904197693</v>
      </c>
      <c r="AE175" s="60"/>
      <c r="AF175" s="60"/>
      <c r="AG175" s="60"/>
      <c r="AH175" s="60"/>
      <c r="AI175" s="60"/>
      <c r="AJ175" s="60"/>
      <c r="AK175" s="60"/>
      <c r="AL175" s="49"/>
      <c r="AM175" s="49"/>
      <c r="AN175" s="49"/>
      <c r="AO175" s="49"/>
    </row>
    <row r="176" spans="1:41" ht="12.75" customHeight="1">
      <c r="A176"/>
      <c r="B176" t="s">
        <v>438</v>
      </c>
      <c r="C176" s="49">
        <v>18</v>
      </c>
      <c r="D176" s="49">
        <v>129.48650115804594</v>
      </c>
      <c r="E176" s="49">
        <v>960.65</v>
      </c>
      <c r="F176" s="49">
        <v>0</v>
      </c>
      <c r="G176" s="49">
        <v>0</v>
      </c>
      <c r="H176" s="49"/>
      <c r="I176" s="49">
        <v>0.17</v>
      </c>
      <c r="J176" s="49">
        <v>0</v>
      </c>
      <c r="K176" s="49">
        <v>139.35984687134692</v>
      </c>
      <c r="L176" s="49">
        <v>0</v>
      </c>
      <c r="M176" s="49">
        <v>0.09358034282922745</v>
      </c>
      <c r="N176" s="49">
        <v>960.6473049846117</v>
      </c>
      <c r="O176" s="49">
        <v>0</v>
      </c>
      <c r="P176" s="49">
        <v>0</v>
      </c>
      <c r="Q176" s="49">
        <v>960.6472778320312</v>
      </c>
      <c r="R176" s="49">
        <v>578.232423275043</v>
      </c>
      <c r="S176" s="49">
        <v>80.7972122198653</v>
      </c>
      <c r="T176" s="49">
        <v>0</v>
      </c>
      <c r="U176" s="49">
        <v>10.209744453430176</v>
      </c>
      <c r="V176" s="49">
        <v>91.00695667329548</v>
      </c>
      <c r="W176" s="49">
        <v>960.6473049846117</v>
      </c>
      <c r="X176" s="69">
        <v>0.09473503563803085</v>
      </c>
      <c r="Y176" s="60">
        <v>22.311996459960938</v>
      </c>
      <c r="Z176" s="60">
        <v>0</v>
      </c>
      <c r="AA176" s="60">
        <v>0</v>
      </c>
      <c r="AB176" s="60">
        <v>113.31897735595703</v>
      </c>
      <c r="AC176" s="60">
        <v>960.6472778320312</v>
      </c>
      <c r="AD176" s="69">
        <v>0.11796106398105621</v>
      </c>
      <c r="AE176" s="60"/>
      <c r="AF176" s="60"/>
      <c r="AG176" s="60"/>
      <c r="AH176" s="60"/>
      <c r="AI176" s="60"/>
      <c r="AJ176" s="60"/>
      <c r="AK176" s="60"/>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60"/>
      <c r="Y177" s="60"/>
      <c r="Z177" s="60"/>
      <c r="AA177" s="60"/>
      <c r="AB177" s="60"/>
      <c r="AC177" s="60"/>
      <c r="AD177" s="60"/>
      <c r="AE177" s="60"/>
      <c r="AF177" s="60"/>
      <c r="AG177" s="60"/>
      <c r="AH177" s="60"/>
      <c r="AI177" s="60"/>
      <c r="AJ177" s="60"/>
      <c r="AK177" s="60"/>
      <c r="AL177" s="49"/>
      <c r="AM177" s="49"/>
      <c r="AN177" s="49"/>
      <c r="AO177" s="49"/>
    </row>
    <row r="178" spans="1:41" ht="12.75" customHeight="1" thickBo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thickBot="1">
      <c r="A179" s="65" t="s">
        <v>62</v>
      </c>
      <c r="B179" s="66"/>
      <c r="C179" s="67"/>
      <c r="D179" s="67"/>
      <c r="E179" s="67"/>
      <c r="F179" s="67"/>
      <c r="G179" s="67"/>
      <c r="H179" s="67"/>
      <c r="I179" s="67"/>
      <c r="J179" s="67"/>
      <c r="K179" s="68"/>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25.5">
      <c r="A180" s="57"/>
      <c r="B180" s="58" t="s">
        <v>63</v>
      </c>
      <c r="C180" s="59" t="s">
        <v>59</v>
      </c>
      <c r="D180" s="59" t="s">
        <v>60</v>
      </c>
      <c r="E180" s="59" t="s">
        <v>64</v>
      </c>
      <c r="F180" s="59" t="s">
        <v>65</v>
      </c>
      <c r="G180" s="59" t="s">
        <v>66</v>
      </c>
      <c r="H180" s="59" t="s">
        <v>67</v>
      </c>
      <c r="I180" s="59" t="s">
        <v>61</v>
      </c>
      <c r="J180" s="59" t="s">
        <v>50</v>
      </c>
      <c r="K180" s="59" t="s">
        <v>58</v>
      </c>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t="s">
        <v>68</v>
      </c>
      <c r="C181" s="49">
        <v>131434.4986614843</v>
      </c>
      <c r="D181" s="49">
        <v>21843.29326096033</v>
      </c>
      <c r="E181" s="49">
        <v>21843.29</v>
      </c>
      <c r="F181" s="49">
        <v>4368.65772</v>
      </c>
      <c r="G181" s="49">
        <v>26211.95098096033</v>
      </c>
      <c r="H181" s="49">
        <v>1747.0047607421875</v>
      </c>
      <c r="I181" s="49">
        <v>16.728851694040042</v>
      </c>
      <c r="J181" s="49">
        <v>49367.62041763383</v>
      </c>
      <c r="K181" s="48">
        <v>1.8834012185316982</v>
      </c>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t="s">
        <v>69</v>
      </c>
      <c r="C182" s="49">
        <v>0</v>
      </c>
      <c r="D182" s="49">
        <v>0</v>
      </c>
      <c r="E182" s="49">
        <v>0</v>
      </c>
      <c r="F182" s="49">
        <v>0</v>
      </c>
      <c r="G182" s="49">
        <v>0</v>
      </c>
      <c r="H182" s="49">
        <v>0</v>
      </c>
      <c r="I182" s="49">
        <v>0</v>
      </c>
      <c r="J182" s="49">
        <v>58152.38362617418</v>
      </c>
      <c r="K182" s="69">
        <v>0</v>
      </c>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t="s">
        <v>70</v>
      </c>
      <c r="C183" s="49">
        <v>137981.64624435807</v>
      </c>
      <c r="D183" s="49">
        <v>28878.4921875</v>
      </c>
      <c r="E183" s="49">
        <v>0</v>
      </c>
      <c r="F183" s="49">
        <v>0</v>
      </c>
      <c r="G183" s="49">
        <v>28878.4921875</v>
      </c>
      <c r="H183" s="49">
        <v>1833.4002685546875</v>
      </c>
      <c r="I183" s="49">
        <v>17.556152662243825</v>
      </c>
      <c r="J183" s="49">
        <v>51607.799583248474</v>
      </c>
      <c r="K183" s="48">
        <v>1.7870669717855565</v>
      </c>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t="s">
        <v>71</v>
      </c>
      <c r="C184" s="49">
        <v>13410.42595792726</v>
      </c>
      <c r="D184" s="49">
        <v>0</v>
      </c>
      <c r="E184" s="49">
        <v>0</v>
      </c>
      <c r="F184" s="49">
        <v>0</v>
      </c>
      <c r="G184" s="49">
        <v>0</v>
      </c>
      <c r="H184" s="49">
        <v>0</v>
      </c>
      <c r="I184" s="49">
        <v>0</v>
      </c>
      <c r="J184" s="49">
        <v>8675.922763366281</v>
      </c>
      <c r="K184" s="69">
        <v>0</v>
      </c>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t="s">
        <v>72</v>
      </c>
      <c r="C185" s="49">
        <v>77018.96495965085</v>
      </c>
      <c r="D185" s="49">
        <v>12481.881863405904</v>
      </c>
      <c r="E185" s="49">
        <v>12481.88</v>
      </c>
      <c r="F185" s="49">
        <v>2496.37584</v>
      </c>
      <c r="G185" s="49">
        <v>14978.257703405905</v>
      </c>
      <c r="H185" s="49">
        <v>1703.600341796875</v>
      </c>
      <c r="I185" s="49">
        <v>16.313223163303213</v>
      </c>
      <c r="J185" s="49">
        <v>26767.736543145962</v>
      </c>
      <c r="K185" s="364">
        <v>1.787106155681862</v>
      </c>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t="s">
        <v>73</v>
      </c>
      <c r="C186" s="49">
        <v>41005.10774390618</v>
      </c>
      <c r="D186" s="49">
        <v>9361.41139755443</v>
      </c>
      <c r="E186" s="49">
        <v>9361.41</v>
      </c>
      <c r="F186" s="49">
        <v>1872.28188</v>
      </c>
      <c r="G186" s="49">
        <v>11233.69327755443</v>
      </c>
      <c r="H186" s="49">
        <v>2399.87548828125</v>
      </c>
      <c r="I186" s="49">
        <v>22.98056813507826</v>
      </c>
      <c r="J186" s="49">
        <v>13923.961111121589</v>
      </c>
      <c r="K186" s="364">
        <v>1.2394820445153572</v>
      </c>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t="s">
        <v>74</v>
      </c>
      <c r="C187" s="49">
        <v>17888.86393953474</v>
      </c>
      <c r="D187" s="49">
        <v>6240.940931702954</v>
      </c>
      <c r="E187" s="49">
        <v>6240.94</v>
      </c>
      <c r="F187" s="49">
        <v>1248.18792</v>
      </c>
      <c r="G187" s="49">
        <v>7489.128851702954</v>
      </c>
      <c r="H187" s="49">
        <v>3667.3525390625</v>
      </c>
      <c r="I187" s="49">
        <v>35.11758956410545</v>
      </c>
      <c r="J187" s="49">
        <v>5892.788954084918</v>
      </c>
      <c r="K187" s="70">
        <v>0.7868457160734997</v>
      </c>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t="s">
        <v>75</v>
      </c>
      <c r="C188" s="49">
        <v>0</v>
      </c>
      <c r="D188" s="49">
        <v>0</v>
      </c>
      <c r="E188" s="49">
        <v>0</v>
      </c>
      <c r="F188" s="49">
        <v>0</v>
      </c>
      <c r="G188" s="49">
        <v>0</v>
      </c>
      <c r="H188" s="49">
        <v>0</v>
      </c>
      <c r="I188" s="49">
        <v>0</v>
      </c>
      <c r="J188" s="49">
        <v>0</v>
      </c>
      <c r="K188" s="70">
        <v>0</v>
      </c>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t="s">
        <v>76</v>
      </c>
      <c r="C189" s="49">
        <v>0</v>
      </c>
      <c r="D189" s="49">
        <v>0</v>
      </c>
      <c r="E189" s="49">
        <v>0</v>
      </c>
      <c r="F189" s="49">
        <v>0</v>
      </c>
      <c r="G189" s="49">
        <v>0</v>
      </c>
      <c r="H189" s="49">
        <v>0</v>
      </c>
      <c r="I189" s="49">
        <v>0</v>
      </c>
      <c r="J189" s="49">
        <v>0</v>
      </c>
      <c r="K189" s="70">
        <v>0</v>
      </c>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t="s">
        <v>77</v>
      </c>
      <c r="C190" s="49">
        <v>4470.141985975753</v>
      </c>
      <c r="D190" s="49">
        <v>8645.825744861504</v>
      </c>
      <c r="E190" s="49">
        <v>8645.82</v>
      </c>
      <c r="F190" s="49">
        <v>1729.16478</v>
      </c>
      <c r="G190" s="49">
        <v>10374.990524861503</v>
      </c>
      <c r="H190" s="49">
        <v>20331.55078125</v>
      </c>
      <c r="I190" s="49">
        <v>194.6895080290585</v>
      </c>
      <c r="J190" s="49">
        <v>2891.9742544554265</v>
      </c>
      <c r="K190" s="70">
        <v>0.27874476102174867</v>
      </c>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row>
    <row r="521" spans="1:41" ht="12.75"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row>
    <row r="522" spans="1:41" ht="12.75"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row>
    <row r="523" spans="1:41" ht="12.75"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row>
    <row r="524" spans="1:41" ht="12.75"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49"/>
      <c r="AL524" s="49"/>
      <c r="AM524" s="49"/>
      <c r="AN524" s="49"/>
      <c r="AO524" s="49"/>
    </row>
    <row r="525" spans="1:41"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49"/>
      <c r="AL525" s="49"/>
      <c r="AM525" s="49"/>
      <c r="AN525" s="49"/>
      <c r="AO525" s="49"/>
    </row>
    <row r="526" spans="1:41" ht="12.75" customHeight="1">
      <c r="A526"/>
      <c r="B526"/>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49"/>
      <c r="AL526" s="49"/>
      <c r="AM526" s="49"/>
      <c r="AN526" s="49"/>
      <c r="AO526" s="49"/>
    </row>
    <row r="527" spans="1:41" ht="12.75" customHeight="1">
      <c r="A527"/>
      <c r="B52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49"/>
      <c r="AL527" s="49"/>
      <c r="AM527" s="49"/>
      <c r="AN527" s="49"/>
      <c r="AO527" s="49"/>
    </row>
    <row r="528" spans="1:41" ht="12.75" customHeight="1">
      <c r="A528"/>
      <c r="B52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49"/>
      <c r="AL528" s="49"/>
      <c r="AM528" s="49"/>
      <c r="AN528" s="49"/>
      <c r="AO528" s="49"/>
    </row>
    <row r="529" spans="1:41" ht="12.75" customHeight="1">
      <c r="A529"/>
      <c r="B52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9"/>
      <c r="AO529" s="49"/>
    </row>
    <row r="530" spans="1:41" ht="12.75" customHeight="1">
      <c r="A530"/>
      <c r="B530"/>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49"/>
      <c r="AL530" s="49"/>
      <c r="AM530" s="49"/>
      <c r="AN530" s="49"/>
      <c r="AO530" s="49"/>
    </row>
    <row r="531" spans="1:41" ht="12.75" customHeight="1">
      <c r="A531"/>
      <c r="B531"/>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49"/>
      <c r="AL531" s="49"/>
      <c r="AM531" s="49"/>
      <c r="AN531" s="49"/>
      <c r="AO531" s="49"/>
    </row>
    <row r="532" spans="1:41" ht="12.75" customHeight="1">
      <c r="A532"/>
      <c r="B532"/>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49"/>
      <c r="AL532" s="49"/>
      <c r="AM532" s="49"/>
      <c r="AN532" s="49"/>
      <c r="AO532" s="49"/>
    </row>
    <row r="533" spans="1:41" ht="12.75" customHeight="1">
      <c r="A533"/>
      <c r="B533"/>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49"/>
      <c r="AL533" s="49"/>
      <c r="AM533" s="49"/>
      <c r="AN533" s="49"/>
      <c r="AO533" s="49"/>
    </row>
    <row r="534" spans="1:41" ht="12.75" customHeight="1">
      <c r="A534"/>
      <c r="B534"/>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49"/>
      <c r="AL534" s="49"/>
      <c r="AM534" s="49"/>
      <c r="AN534" s="49"/>
      <c r="AO534" s="49"/>
    </row>
    <row r="535" spans="1:41" ht="12.75" customHeight="1">
      <c r="A535"/>
      <c r="B535"/>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9"/>
      <c r="AO535" s="49"/>
    </row>
    <row r="536" spans="1:41" ht="12.75" customHeight="1">
      <c r="A536"/>
      <c r="B536"/>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49"/>
      <c r="AL536" s="49"/>
      <c r="AM536" s="49"/>
      <c r="AN536" s="49"/>
      <c r="AO536" s="49"/>
    </row>
    <row r="537" spans="1:41" ht="12.75" customHeight="1">
      <c r="A537"/>
      <c r="B537"/>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49"/>
      <c r="AL537" s="49"/>
      <c r="AM537" s="49"/>
      <c r="AN537" s="49"/>
      <c r="AO537" s="49"/>
    </row>
    <row r="538" spans="1:41" ht="12.75" customHeight="1">
      <c r="A538"/>
      <c r="B538"/>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49"/>
      <c r="AL538" s="49"/>
      <c r="AM538" s="49"/>
      <c r="AN538" s="49"/>
      <c r="AO538" s="49"/>
    </row>
    <row r="539" spans="1:41" ht="12.75" customHeight="1">
      <c r="A539"/>
      <c r="B53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49"/>
      <c r="AL539" s="49"/>
      <c r="AM539" s="49"/>
      <c r="AN539" s="49"/>
      <c r="AO539" s="49"/>
    </row>
    <row r="540" spans="1:41" ht="12.75" customHeight="1">
      <c r="A540"/>
      <c r="B540"/>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49"/>
      <c r="AL540" s="49"/>
      <c r="AM540" s="49"/>
      <c r="AN540" s="49"/>
      <c r="AO540" s="49"/>
    </row>
    <row r="541" spans="1:41" ht="12.75" customHeight="1">
      <c r="A541"/>
      <c r="B541"/>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9"/>
      <c r="AO541" s="49"/>
    </row>
    <row r="542" spans="1:41" ht="12.75" customHeight="1">
      <c r="A542"/>
      <c r="B542"/>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49"/>
      <c r="AL542" s="49"/>
      <c r="AM542" s="49"/>
      <c r="AN542" s="49"/>
      <c r="AO542" s="49"/>
    </row>
    <row r="543" spans="1:41" ht="12.75" customHeight="1">
      <c r="A543"/>
      <c r="B543"/>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49"/>
      <c r="AL543" s="49"/>
      <c r="AM543" s="49"/>
      <c r="AN543" s="49"/>
      <c r="AO543" s="49"/>
    </row>
    <row r="544" spans="1:41" ht="12.75" customHeight="1">
      <c r="A544"/>
      <c r="B544"/>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49"/>
      <c r="AL544" s="49"/>
      <c r="AM544" s="49"/>
      <c r="AN544" s="49"/>
      <c r="AO544" s="49"/>
    </row>
    <row r="545" spans="1:41" ht="12.75" customHeight="1">
      <c r="A545"/>
      <c r="B545"/>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49"/>
      <c r="AL545" s="49"/>
      <c r="AM545" s="49"/>
      <c r="AN545" s="49"/>
      <c r="AO545" s="49"/>
    </row>
    <row r="546" spans="1:41" ht="12.75" customHeight="1">
      <c r="A546"/>
      <c r="B546"/>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49"/>
      <c r="AL546" s="49"/>
      <c r="AM546" s="49"/>
      <c r="AN546" s="49"/>
      <c r="AO546" s="49"/>
    </row>
    <row r="547" spans="1:41" ht="12.75" customHeight="1">
      <c r="A547"/>
      <c r="B547"/>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9"/>
      <c r="AO547" s="49"/>
    </row>
    <row r="548" spans="1:41" ht="12.75" customHeight="1">
      <c r="A548"/>
      <c r="B548"/>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49"/>
      <c r="AL548" s="49"/>
      <c r="AM548" s="49"/>
      <c r="AN548" s="49"/>
      <c r="AO548" s="49"/>
    </row>
    <row r="549" spans="1:41" ht="12.75" customHeight="1">
      <c r="A549"/>
      <c r="B5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c r="AE549" s="49"/>
      <c r="AF549" s="49"/>
      <c r="AG549" s="49"/>
      <c r="AH549" s="49"/>
      <c r="AI549" s="49"/>
      <c r="AJ549" s="49"/>
      <c r="AK549" s="49"/>
      <c r="AL549" s="49"/>
      <c r="AM549" s="49"/>
      <c r="AN549" s="49"/>
      <c r="AO549" s="49"/>
    </row>
    <row r="550" spans="1:41" ht="12.75" customHeight="1">
      <c r="A550"/>
      <c r="B550"/>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c r="AE550" s="49"/>
      <c r="AF550" s="49"/>
      <c r="AG550" s="49"/>
      <c r="AH550" s="49"/>
      <c r="AI550" s="49"/>
      <c r="AJ550" s="49"/>
      <c r="AK550" s="49"/>
      <c r="AL550" s="49"/>
      <c r="AM550" s="49"/>
      <c r="AN550" s="49"/>
      <c r="AO550" s="49"/>
    </row>
    <row r="551" spans="1:41" ht="12.75" customHeight="1">
      <c r="A551"/>
      <c r="B551"/>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49"/>
      <c r="AL551" s="49"/>
      <c r="AM551" s="49"/>
      <c r="AN551" s="49"/>
      <c r="AO551" s="49"/>
    </row>
    <row r="552" spans="1:41" ht="12.75" customHeight="1">
      <c r="A552"/>
      <c r="B552"/>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49"/>
      <c r="AL552" s="49"/>
      <c r="AM552" s="49"/>
      <c r="AN552" s="49"/>
      <c r="AO552" s="49"/>
    </row>
    <row r="553" spans="1:41" ht="12.75" customHeight="1">
      <c r="A553"/>
      <c r="B553"/>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9"/>
      <c r="AO553" s="49"/>
    </row>
    <row r="554" spans="1:41" ht="12.75" customHeight="1">
      <c r="A554"/>
      <c r="B554"/>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49"/>
      <c r="AL554" s="49"/>
      <c r="AM554" s="49"/>
      <c r="AN554" s="49"/>
      <c r="AO554" s="49"/>
    </row>
    <row r="555" spans="1:41" ht="12.75" customHeight="1">
      <c r="A555"/>
      <c r="B555"/>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49"/>
      <c r="AL555" s="49"/>
      <c r="AM555" s="49"/>
      <c r="AN555" s="49"/>
      <c r="AO555" s="49"/>
    </row>
    <row r="556" spans="1:41" ht="12.75" customHeight="1">
      <c r="A556"/>
      <c r="B556"/>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49"/>
      <c r="AL556" s="49"/>
      <c r="AM556" s="49"/>
      <c r="AN556" s="49"/>
      <c r="AO556" s="49"/>
    </row>
    <row r="557" spans="1:41" ht="12.75" customHeight="1">
      <c r="A557"/>
      <c r="B557"/>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49"/>
      <c r="AL557" s="49"/>
      <c r="AM557" s="49"/>
      <c r="AN557" s="49"/>
      <c r="AO557" s="49"/>
    </row>
    <row r="558" spans="1:41" ht="12.75" customHeight="1">
      <c r="A558"/>
      <c r="B558"/>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49"/>
      <c r="AL558" s="49"/>
      <c r="AM558" s="49"/>
      <c r="AN558" s="49"/>
      <c r="AO558" s="49"/>
    </row>
    <row r="559" spans="1:41" ht="12.75" customHeight="1">
      <c r="A559"/>
      <c r="B55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9"/>
      <c r="AO559" s="49"/>
    </row>
    <row r="560" spans="1:41" ht="12.75" customHeight="1">
      <c r="A560"/>
      <c r="B560"/>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49"/>
      <c r="AL560" s="49"/>
      <c r="AM560" s="49"/>
      <c r="AN560" s="49"/>
      <c r="AO560" s="49"/>
    </row>
    <row r="561" spans="1:41" ht="12.75" customHeight="1">
      <c r="A561"/>
      <c r="B561"/>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49"/>
      <c r="AL561" s="49"/>
      <c r="AM561" s="49"/>
      <c r="AN561" s="49"/>
      <c r="AO561" s="49"/>
    </row>
    <row r="562" spans="1:41" ht="12.75" customHeight="1">
      <c r="A562"/>
      <c r="B562"/>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49"/>
      <c r="AL562" s="49"/>
      <c r="AM562" s="49"/>
      <c r="AN562" s="49"/>
      <c r="AO562" s="49"/>
    </row>
    <row r="563" spans="1:41" ht="12.75" customHeight="1">
      <c r="A563"/>
      <c r="B563"/>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c r="AE563" s="49"/>
      <c r="AF563" s="49"/>
      <c r="AG563" s="49"/>
      <c r="AH563" s="49"/>
      <c r="AI563" s="49"/>
      <c r="AJ563" s="49"/>
      <c r="AK563" s="49"/>
      <c r="AL563" s="49"/>
      <c r="AM563" s="49"/>
      <c r="AN563" s="49"/>
      <c r="AO563" s="49"/>
    </row>
    <row r="564" spans="1:41" ht="12.75" customHeight="1">
      <c r="A564"/>
      <c r="B564"/>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c r="AE564" s="49"/>
      <c r="AF564" s="49"/>
      <c r="AG564" s="49"/>
      <c r="AH564" s="49"/>
      <c r="AI564" s="49"/>
      <c r="AJ564" s="49"/>
      <c r="AK564" s="49"/>
      <c r="AL564" s="49"/>
      <c r="AM564" s="49"/>
      <c r="AN564" s="49"/>
      <c r="AO564" s="49"/>
    </row>
    <row r="565" spans="1:41" ht="12.75" customHeight="1">
      <c r="A565"/>
      <c r="B565"/>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9"/>
      <c r="AO565" s="49"/>
    </row>
    <row r="566" spans="1:41" ht="12.75" customHeight="1">
      <c r="A566"/>
      <c r="B566"/>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c r="AE566" s="49"/>
      <c r="AF566" s="49"/>
      <c r="AG566" s="49"/>
      <c r="AH566" s="49"/>
      <c r="AI566" s="49"/>
      <c r="AJ566" s="49"/>
      <c r="AK566" s="49"/>
      <c r="AL566" s="49"/>
      <c r="AM566" s="49"/>
      <c r="AN566" s="49"/>
      <c r="AO566" s="49"/>
    </row>
    <row r="567" spans="1:41" ht="12.75" customHeight="1">
      <c r="A567"/>
      <c r="B567"/>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c r="AE567" s="49"/>
      <c r="AF567" s="49"/>
      <c r="AG567" s="49"/>
      <c r="AH567" s="49"/>
      <c r="AI567" s="49"/>
      <c r="AJ567" s="49"/>
      <c r="AK567" s="49"/>
      <c r="AL567" s="49"/>
      <c r="AM567" s="49"/>
      <c r="AN567" s="49"/>
      <c r="AO567" s="49"/>
    </row>
    <row r="568" spans="1:41" ht="12.75" customHeight="1">
      <c r="A568"/>
      <c r="B568"/>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49"/>
      <c r="AL568" s="49"/>
      <c r="AM568" s="49"/>
      <c r="AN568" s="49"/>
      <c r="AO568" s="49"/>
    </row>
    <row r="569" spans="1:41" ht="12.75" customHeight="1">
      <c r="A569"/>
      <c r="B56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49"/>
      <c r="AL569" s="49"/>
      <c r="AM569" s="49"/>
      <c r="AN569" s="49"/>
      <c r="AO569" s="49"/>
    </row>
    <row r="570" spans="1:41" ht="12.75" customHeight="1">
      <c r="A570"/>
      <c r="B570"/>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49"/>
      <c r="AL570" s="49"/>
      <c r="AM570" s="49"/>
      <c r="AN570" s="49"/>
      <c r="AO570" s="49"/>
    </row>
    <row r="571" spans="1:41" ht="12.75" customHeight="1">
      <c r="A571"/>
      <c r="B571"/>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9"/>
      <c r="AO571" s="49"/>
    </row>
    <row r="572" spans="1:41" ht="12.75" customHeight="1">
      <c r="A572"/>
      <c r="B572"/>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49"/>
      <c r="AL572" s="49"/>
      <c r="AM572" s="49"/>
      <c r="AN572" s="49"/>
      <c r="AO572" s="49"/>
    </row>
    <row r="573" spans="1:41" ht="12.75" customHeight="1">
      <c r="A573"/>
      <c r="B573"/>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49"/>
      <c r="AL573" s="49"/>
      <c r="AM573" s="49"/>
      <c r="AN573" s="49"/>
      <c r="AO573" s="49"/>
    </row>
    <row r="574" spans="1:41" ht="12.75" customHeight="1">
      <c r="A574"/>
      <c r="B574"/>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49"/>
      <c r="AL574" s="49"/>
      <c r="AM574" s="49"/>
      <c r="AN574" s="49"/>
      <c r="AO574" s="49"/>
    </row>
    <row r="575" spans="1:41" ht="12.75" customHeight="1">
      <c r="A575"/>
      <c r="B575"/>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49"/>
      <c r="AL575" s="49"/>
      <c r="AM575" s="49"/>
      <c r="AN575" s="49"/>
      <c r="AO575" s="49"/>
    </row>
    <row r="576" spans="1:41" ht="12.75" customHeight="1">
      <c r="A576"/>
      <c r="B576"/>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49"/>
      <c r="AL576" s="49"/>
      <c r="AM576" s="49"/>
      <c r="AN576" s="49"/>
      <c r="AO576" s="49"/>
    </row>
    <row r="577" spans="1:41" ht="12.75" customHeight="1">
      <c r="A577"/>
      <c r="B577"/>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9"/>
      <c r="AO577" s="49"/>
    </row>
    <row r="578" spans="1:41" ht="12.75" customHeight="1">
      <c r="A578"/>
      <c r="B578"/>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49"/>
      <c r="AL578" s="49"/>
      <c r="AM578" s="49"/>
      <c r="AN578" s="49"/>
      <c r="AO578" s="49"/>
    </row>
    <row r="579" spans="1:41" ht="12.75" customHeight="1">
      <c r="A579"/>
      <c r="B57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49"/>
      <c r="AL579" s="49"/>
      <c r="AM579" s="49"/>
      <c r="AN579" s="49"/>
      <c r="AO579" s="49"/>
    </row>
    <row r="580" spans="1:41" ht="12.75" customHeight="1">
      <c r="A580"/>
      <c r="B580"/>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49"/>
      <c r="AL580" s="49"/>
      <c r="AM580" s="49"/>
      <c r="AN580" s="49"/>
      <c r="AO580" s="49"/>
    </row>
    <row r="581" spans="1:41" ht="12.75" customHeight="1">
      <c r="A581"/>
      <c r="B581"/>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49"/>
      <c r="AL581" s="49"/>
      <c r="AM581" s="49"/>
      <c r="AN581" s="49"/>
      <c r="AO581" s="49"/>
    </row>
    <row r="582" spans="1:41" ht="12.75" customHeight="1">
      <c r="A582"/>
      <c r="B582"/>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c r="AE582" s="49"/>
      <c r="AF582" s="49"/>
      <c r="AG582" s="49"/>
      <c r="AH582" s="49"/>
      <c r="AI582" s="49"/>
      <c r="AJ582" s="49"/>
      <c r="AK582" s="49"/>
      <c r="AL582" s="49"/>
      <c r="AM582" s="49"/>
      <c r="AN582" s="49"/>
      <c r="AO582" s="49"/>
    </row>
    <row r="583" spans="1:41" ht="12.75" customHeight="1">
      <c r="A583"/>
      <c r="B583"/>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9"/>
      <c r="AO583" s="49"/>
    </row>
    <row r="584" spans="1:41" ht="12.75" customHeight="1">
      <c r="A584"/>
      <c r="B584"/>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49"/>
      <c r="AL584" s="49"/>
      <c r="AM584" s="49"/>
      <c r="AN584" s="49"/>
      <c r="AO584" s="49"/>
    </row>
    <row r="585" spans="1:41" ht="12.75" customHeight="1">
      <c r="A585"/>
      <c r="B585"/>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49"/>
      <c r="AL585" s="49"/>
      <c r="AM585" s="49"/>
      <c r="AN585" s="49"/>
      <c r="AO585" s="49"/>
    </row>
    <row r="586" spans="1:41" ht="12.75" customHeight="1">
      <c r="A586"/>
      <c r="B586"/>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49"/>
      <c r="AL586" s="49"/>
      <c r="AM586" s="49"/>
      <c r="AN586" s="49"/>
      <c r="AO586" s="49"/>
    </row>
    <row r="587" spans="1:41" ht="12.75" customHeight="1">
      <c r="A587"/>
      <c r="B587"/>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49"/>
      <c r="AL587" s="49"/>
      <c r="AM587" s="49"/>
      <c r="AN587" s="49"/>
      <c r="AO587" s="49"/>
    </row>
    <row r="588" spans="1:41" ht="12.75" customHeight="1">
      <c r="A588"/>
      <c r="B588"/>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49"/>
      <c r="AL588" s="49"/>
      <c r="AM588" s="49"/>
      <c r="AN588" s="49"/>
      <c r="AO588" s="49"/>
    </row>
    <row r="589" spans="1:41" ht="12.75" customHeight="1">
      <c r="A589"/>
      <c r="B58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9"/>
      <c r="AO589" s="49"/>
    </row>
    <row r="590" spans="1:41" ht="12.75" customHeight="1">
      <c r="A590"/>
      <c r="B590"/>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49"/>
      <c r="AL590" s="49"/>
      <c r="AM590" s="49"/>
      <c r="AN590" s="49"/>
      <c r="AO590" s="49"/>
    </row>
    <row r="591" spans="1:41" ht="12.75" customHeight="1">
      <c r="A591"/>
      <c r="B591"/>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49"/>
      <c r="AL591" s="49"/>
      <c r="AM591" s="49"/>
      <c r="AN591" s="49"/>
      <c r="AO591" s="49"/>
    </row>
    <row r="592" spans="1:41" ht="12.75" customHeight="1">
      <c r="A592"/>
      <c r="B592"/>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49"/>
      <c r="AL592" s="49"/>
      <c r="AM592" s="49"/>
      <c r="AN592" s="49"/>
      <c r="AO592" s="49"/>
    </row>
    <row r="593" spans="1:41" ht="12.75" customHeight="1">
      <c r="A593"/>
      <c r="B593"/>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49"/>
      <c r="AL593" s="49"/>
      <c r="AM593" s="49"/>
      <c r="AN593" s="49"/>
      <c r="AO593" s="49"/>
    </row>
    <row r="594" spans="1:41" ht="12.75" customHeight="1">
      <c r="A594"/>
      <c r="B594"/>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49"/>
      <c r="AL594" s="49"/>
      <c r="AM594" s="49"/>
      <c r="AN594" s="49"/>
      <c r="AO594" s="49"/>
    </row>
    <row r="595" spans="1:41" ht="12.75" customHeight="1">
      <c r="A595"/>
      <c r="B595"/>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9"/>
      <c r="AO595" s="49"/>
    </row>
    <row r="596" spans="1:41" ht="12.75" customHeight="1">
      <c r="A596"/>
      <c r="B596"/>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c r="AE596" s="49"/>
      <c r="AF596" s="49"/>
      <c r="AG596" s="49"/>
      <c r="AH596" s="49"/>
      <c r="AI596" s="49"/>
      <c r="AJ596" s="49"/>
      <c r="AK596" s="49"/>
      <c r="AL596" s="49"/>
      <c r="AM596" s="49"/>
      <c r="AN596" s="49"/>
      <c r="AO596" s="49"/>
    </row>
    <row r="597" spans="1:41" ht="12.75" customHeight="1">
      <c r="A597"/>
      <c r="B597"/>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c r="AE597" s="49"/>
      <c r="AF597" s="49"/>
      <c r="AG597" s="49"/>
      <c r="AH597" s="49"/>
      <c r="AI597" s="49"/>
      <c r="AJ597" s="49"/>
      <c r="AK597" s="49"/>
      <c r="AL597" s="49"/>
      <c r="AM597" s="49"/>
      <c r="AN597" s="49"/>
      <c r="AO597" s="49"/>
    </row>
    <row r="598" spans="1:41" ht="12.75" customHeight="1">
      <c r="A598"/>
      <c r="B598"/>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c r="AE598" s="49"/>
      <c r="AF598" s="49"/>
      <c r="AG598" s="49"/>
      <c r="AH598" s="49"/>
      <c r="AI598" s="49"/>
      <c r="AJ598" s="49"/>
      <c r="AK598" s="49"/>
      <c r="AL598" s="49"/>
      <c r="AM598" s="49"/>
      <c r="AN598" s="49"/>
      <c r="AO598" s="49"/>
    </row>
    <row r="599" spans="1:41" ht="12.75" customHeight="1">
      <c r="A599"/>
      <c r="B59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c r="AE599" s="49"/>
      <c r="AF599" s="49"/>
      <c r="AG599" s="49"/>
      <c r="AH599" s="49"/>
      <c r="AI599" s="49"/>
      <c r="AJ599" s="49"/>
      <c r="AK599" s="49"/>
      <c r="AL599" s="49"/>
      <c r="AM599" s="49"/>
      <c r="AN599" s="49"/>
      <c r="AO599" s="49"/>
    </row>
    <row r="600" spans="1:41" ht="12.75" customHeight="1">
      <c r="A600"/>
      <c r="B600"/>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c r="AE600" s="49"/>
      <c r="AF600" s="49"/>
      <c r="AG600" s="49"/>
      <c r="AH600" s="49"/>
      <c r="AI600" s="49"/>
      <c r="AJ600" s="49"/>
      <c r="AK600" s="49"/>
      <c r="AL600" s="49"/>
      <c r="AM600" s="49"/>
      <c r="AN600" s="49"/>
      <c r="AO600" s="49"/>
    </row>
    <row r="601" spans="1:41" ht="12.75" customHeight="1">
      <c r="A601"/>
      <c r="B601"/>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9"/>
      <c r="AO601" s="49"/>
    </row>
    <row r="602" spans="1:41" ht="12.75" customHeight="1">
      <c r="A602"/>
      <c r="B602"/>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49"/>
      <c r="AL602" s="49"/>
      <c r="AM602" s="49"/>
      <c r="AN602" s="49"/>
      <c r="AO602" s="49"/>
    </row>
    <row r="603" spans="1:41" ht="12.75" customHeight="1">
      <c r="A603"/>
      <c r="B603"/>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49"/>
      <c r="AL603" s="49"/>
      <c r="AM603" s="49"/>
      <c r="AN603" s="49"/>
      <c r="AO603" s="49"/>
    </row>
    <row r="604" spans="1:41" ht="12.75" customHeight="1">
      <c r="A604"/>
      <c r="B604"/>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49"/>
      <c r="AL604" s="49"/>
      <c r="AM604" s="49"/>
      <c r="AN604" s="49"/>
      <c r="AO604" s="49"/>
    </row>
    <row r="605" spans="1:41" ht="12.75" customHeight="1">
      <c r="A605"/>
      <c r="B605"/>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49"/>
      <c r="AL605" s="49"/>
      <c r="AM605" s="49"/>
      <c r="AN605" s="49"/>
      <c r="AO605" s="49"/>
    </row>
    <row r="606" spans="1:41" ht="12.75" customHeight="1">
      <c r="A606"/>
      <c r="B606"/>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49"/>
      <c r="AL606" s="49"/>
      <c r="AM606" s="49"/>
      <c r="AN606" s="49"/>
      <c r="AO606" s="49"/>
    </row>
    <row r="607" spans="1:41" ht="12.75" customHeight="1">
      <c r="A607"/>
      <c r="B607"/>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9"/>
      <c r="AO607" s="49"/>
    </row>
    <row r="608" spans="1:41" ht="12.75" customHeight="1">
      <c r="A608"/>
      <c r="B608"/>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49"/>
      <c r="AL608" s="49"/>
      <c r="AM608" s="49"/>
      <c r="AN608" s="49"/>
      <c r="AO608" s="49"/>
    </row>
    <row r="609" spans="1:41" ht="12.75" customHeight="1">
      <c r="A609"/>
      <c r="B60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49"/>
      <c r="AL609" s="49"/>
      <c r="AM609" s="49"/>
      <c r="AN609" s="49"/>
      <c r="AO609" s="49"/>
    </row>
    <row r="610" spans="1:41" ht="12.75" customHeight="1">
      <c r="A610"/>
      <c r="B610"/>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49"/>
      <c r="AL610" s="49"/>
      <c r="AM610" s="49"/>
      <c r="AN610" s="49"/>
      <c r="AO610" s="49"/>
    </row>
    <row r="611" spans="1:41" ht="12.75" customHeight="1">
      <c r="A611"/>
      <c r="B611"/>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49"/>
      <c r="AL611" s="49"/>
      <c r="AM611" s="49"/>
      <c r="AN611" s="49"/>
      <c r="AO611" s="49"/>
    </row>
    <row r="612" spans="1:41" ht="12.75" customHeight="1">
      <c r="A612"/>
      <c r="B612"/>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49"/>
      <c r="AL612" s="49"/>
      <c r="AM612" s="49"/>
      <c r="AN612" s="49"/>
      <c r="AO612" s="49"/>
    </row>
    <row r="613" spans="1:41" ht="12.75" customHeight="1">
      <c r="A613"/>
      <c r="B613"/>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9"/>
      <c r="AO613" s="49"/>
    </row>
    <row r="614" spans="1:41" ht="12.75" customHeight="1">
      <c r="A614"/>
      <c r="B614"/>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49"/>
      <c r="AL614" s="49"/>
      <c r="AM614" s="49"/>
      <c r="AN614" s="49"/>
      <c r="AO614" s="49"/>
    </row>
    <row r="615" spans="1:41" ht="12.75" customHeight="1">
      <c r="A615"/>
      <c r="B615"/>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c r="AE615" s="49"/>
      <c r="AF615" s="49"/>
      <c r="AG615" s="49"/>
      <c r="AH615" s="49"/>
      <c r="AI615" s="49"/>
      <c r="AJ615" s="49"/>
      <c r="AK615" s="49"/>
      <c r="AL615" s="49"/>
      <c r="AM615" s="49"/>
      <c r="AN615" s="49"/>
      <c r="AO615" s="49"/>
    </row>
    <row r="616" spans="1:41" ht="12.75" customHeight="1">
      <c r="A616"/>
      <c r="B616"/>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c r="AE616" s="49"/>
      <c r="AF616" s="49"/>
      <c r="AG616" s="49"/>
      <c r="AH616" s="49"/>
      <c r="AI616" s="49"/>
      <c r="AJ616" s="49"/>
      <c r="AK616" s="49"/>
      <c r="AL616" s="49"/>
      <c r="AM616" s="49"/>
      <c r="AN616" s="49"/>
      <c r="AO616" s="49"/>
    </row>
    <row r="617" spans="1:41" ht="12.75" customHeight="1">
      <c r="A617"/>
      <c r="B617"/>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49"/>
      <c r="AL617" s="49"/>
      <c r="AM617" s="49"/>
      <c r="AN617" s="49"/>
      <c r="AO617" s="49"/>
    </row>
    <row r="618" spans="1:41" ht="12.75" customHeight="1">
      <c r="A618"/>
      <c r="B618"/>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49"/>
      <c r="AL618" s="49"/>
      <c r="AM618" s="49"/>
      <c r="AN618" s="49"/>
      <c r="AO618" s="49"/>
    </row>
    <row r="619" spans="1:41" ht="12.75" customHeight="1">
      <c r="A619"/>
      <c r="B61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9"/>
      <c r="AO619" s="49"/>
    </row>
    <row r="620" spans="1:41" ht="12.75" customHeight="1">
      <c r="A620"/>
      <c r="B620"/>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49"/>
      <c r="AL620" s="49"/>
      <c r="AM620" s="49"/>
      <c r="AN620" s="49"/>
      <c r="AO620" s="49"/>
    </row>
    <row r="621" spans="1:41" ht="12.75" customHeight="1">
      <c r="A621"/>
      <c r="B621"/>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49"/>
      <c r="AL621" s="49"/>
      <c r="AM621" s="49"/>
      <c r="AN621" s="49"/>
      <c r="AO621" s="49"/>
    </row>
    <row r="622" spans="1:41" ht="12.75" customHeight="1">
      <c r="A622"/>
      <c r="B622"/>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49"/>
      <c r="AL622" s="49"/>
      <c r="AM622" s="49"/>
      <c r="AN622" s="49"/>
      <c r="AO622" s="49"/>
    </row>
    <row r="623" spans="3:41" ht="12.75">
      <c r="C623" s="39"/>
      <c r="D623" s="39"/>
      <c r="E623" s="39"/>
      <c r="F623" s="39"/>
      <c r="G623" s="39"/>
      <c r="H623" s="39"/>
      <c r="I623" s="104"/>
      <c r="J623" s="104"/>
      <c r="K623" s="104"/>
      <c r="L623" s="104"/>
      <c r="M623" s="104"/>
      <c r="S623" s="39"/>
      <c r="T623" s="39"/>
      <c r="U623" s="39"/>
      <c r="X623" s="49"/>
      <c r="Y623" s="49"/>
      <c r="Z623" s="39"/>
      <c r="AA623" s="39"/>
      <c r="AB623" s="39"/>
      <c r="AC623" s="39"/>
      <c r="AD623" s="39"/>
      <c r="AE623" s="39"/>
      <c r="AF623" s="39"/>
      <c r="AG623" s="39"/>
      <c r="AH623" s="39"/>
      <c r="AI623" s="39"/>
      <c r="AJ623" s="39"/>
      <c r="AK623" s="39"/>
      <c r="AL623" s="39"/>
      <c r="AM623" s="39"/>
      <c r="AN623" s="39"/>
      <c r="AO623" s="39"/>
    </row>
    <row r="624" spans="3:41" ht="12.75">
      <c r="C624" s="39"/>
      <c r="D624" s="39"/>
      <c r="E624" s="39"/>
      <c r="F624" s="39"/>
      <c r="G624" s="39"/>
      <c r="H624" s="39"/>
      <c r="I624" s="104"/>
      <c r="J624" s="104"/>
      <c r="K624" s="104"/>
      <c r="L624" s="104"/>
      <c r="M624" s="104"/>
      <c r="S624" s="39"/>
      <c r="T624" s="39"/>
      <c r="U624" s="39"/>
      <c r="X624" s="49"/>
      <c r="Y624" s="49"/>
      <c r="Z624" s="39"/>
      <c r="AA624" s="39"/>
      <c r="AB624" s="39"/>
      <c r="AC624" s="39"/>
      <c r="AD624" s="39"/>
      <c r="AE624" s="39"/>
      <c r="AF624" s="39"/>
      <c r="AG624" s="39"/>
      <c r="AH624" s="39"/>
      <c r="AI624" s="39"/>
      <c r="AJ624" s="39"/>
      <c r="AK624" s="39"/>
      <c r="AL624" s="39"/>
      <c r="AM624" s="39"/>
      <c r="AN624" s="39"/>
      <c r="AO624" s="39"/>
    </row>
    <row r="625" spans="3:41" ht="12.75">
      <c r="C625" s="39"/>
      <c r="D625" s="39"/>
      <c r="E625" s="39"/>
      <c r="F625" s="39"/>
      <c r="G625" s="39"/>
      <c r="H625" s="39"/>
      <c r="I625" s="104"/>
      <c r="J625" s="104"/>
      <c r="K625" s="104"/>
      <c r="L625" s="104"/>
      <c r="M625" s="104"/>
      <c r="S625" s="39"/>
      <c r="T625" s="39"/>
      <c r="U625" s="39"/>
      <c r="X625" s="49"/>
      <c r="Y625" s="49"/>
      <c r="Z625" s="39"/>
      <c r="AA625" s="39"/>
      <c r="AB625" s="39"/>
      <c r="AC625" s="39"/>
      <c r="AD625" s="39"/>
      <c r="AE625" s="39"/>
      <c r="AF625" s="39"/>
      <c r="AG625" s="39"/>
      <c r="AH625" s="39"/>
      <c r="AI625" s="39"/>
      <c r="AJ625" s="39"/>
      <c r="AK625" s="39"/>
      <c r="AL625" s="39"/>
      <c r="AM625" s="39"/>
      <c r="AN625" s="39"/>
      <c r="AO625" s="39"/>
    </row>
    <row r="626" spans="3:41" ht="12.75">
      <c r="C626" s="39"/>
      <c r="D626" s="39"/>
      <c r="E626" s="39"/>
      <c r="F626" s="39"/>
      <c r="G626" s="39"/>
      <c r="H626" s="39"/>
      <c r="I626" s="104"/>
      <c r="J626" s="104"/>
      <c r="K626" s="104"/>
      <c r="L626" s="104"/>
      <c r="M626" s="104"/>
      <c r="S626" s="39"/>
      <c r="T626" s="39"/>
      <c r="U626" s="39"/>
      <c r="X626" s="49"/>
      <c r="Y626" s="49"/>
      <c r="Z626" s="39"/>
      <c r="AA626" s="39"/>
      <c r="AB626" s="39"/>
      <c r="AC626" s="39"/>
      <c r="AD626" s="39"/>
      <c r="AE626" s="39"/>
      <c r="AF626" s="39"/>
      <c r="AG626" s="39"/>
      <c r="AH626" s="39"/>
      <c r="AI626" s="39"/>
      <c r="AJ626" s="39"/>
      <c r="AK626" s="39"/>
      <c r="AL626" s="39"/>
      <c r="AM626" s="39"/>
      <c r="AN626" s="39"/>
      <c r="AO626" s="39"/>
    </row>
  </sheetData>
  <printOptions gridLines="1" headings="1"/>
  <pageMargins left="0.25" right="0.23" top="1" bottom="1" header="0.5" footer="0.5"/>
  <pageSetup blackAndWhite="1" horizontalDpi="300" verticalDpi="300" orientation="landscape" r:id="rId3"/>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sheetPr codeName="Sheet4"/>
  <dimension ref="A1:BE243"/>
  <sheetViews>
    <sheetView workbookViewId="0" topLeftCell="A127">
      <selection activeCell="D150" sqref="D150"/>
    </sheetView>
  </sheetViews>
  <sheetFormatPr defaultColWidth="9.140625" defaultRowHeight="12.75"/>
  <cols>
    <col min="1" max="1" width="47.57421875" style="0" customWidth="1"/>
    <col min="2" max="2" width="11.28125" style="0" customWidth="1"/>
    <col min="3" max="3" width="17.7109375" style="0" customWidth="1"/>
    <col min="4" max="4" width="11.8515625" style="0" customWidth="1"/>
    <col min="5" max="5" width="11.28125" style="0" customWidth="1"/>
    <col min="6" max="6" width="17.8515625" style="0" customWidth="1"/>
    <col min="7" max="7" width="14.8515625" style="0" customWidth="1"/>
    <col min="8" max="8" width="16.00390625" style="0" customWidth="1"/>
    <col min="9" max="9" width="16.57421875" style="0" customWidth="1"/>
    <col min="10" max="10" width="13.8515625" style="0" customWidth="1"/>
    <col min="11" max="11" width="11.28125" style="0" customWidth="1"/>
    <col min="12" max="12" width="12.140625" style="0" customWidth="1"/>
    <col min="14" max="14" width="11.28125" style="0" customWidth="1"/>
    <col min="15" max="15" width="12.140625" style="0" customWidth="1"/>
    <col min="16" max="16" width="16.140625" style="0" customWidth="1"/>
    <col min="17" max="17" width="17.7109375" style="0" customWidth="1"/>
    <col min="18" max="18" width="13.421875" style="0" customWidth="1"/>
    <col min="20" max="20" width="21.57421875" style="0" customWidth="1"/>
  </cols>
  <sheetData>
    <row r="1" spans="1:13" ht="13.5" thickBot="1">
      <c r="A1" s="105" t="s">
        <v>186</v>
      </c>
      <c r="L1" t="s">
        <v>187</v>
      </c>
      <c r="M1" s="106"/>
    </row>
    <row r="2" spans="1:13" ht="13.5" thickBot="1">
      <c r="A2" s="107" t="s">
        <v>118</v>
      </c>
      <c r="B2" s="107" t="s">
        <v>188</v>
      </c>
      <c r="C2" s="108" t="s">
        <v>189</v>
      </c>
      <c r="D2" s="108" t="s">
        <v>190</v>
      </c>
      <c r="E2" s="108" t="s">
        <v>191</v>
      </c>
      <c r="F2" s="108" t="s">
        <v>192</v>
      </c>
      <c r="G2" s="109" t="s">
        <v>193</v>
      </c>
      <c r="L2" t="s">
        <v>194</v>
      </c>
      <c r="M2" s="110"/>
    </row>
    <row r="3" spans="1:17" ht="13.5" thickBot="1">
      <c r="A3" s="111" t="s">
        <v>195</v>
      </c>
      <c r="B3" s="112">
        <v>0.2</v>
      </c>
      <c r="C3" s="112">
        <v>0.4</v>
      </c>
      <c r="D3" s="112">
        <v>0.25</v>
      </c>
      <c r="E3" s="112">
        <v>0.1</v>
      </c>
      <c r="F3" s="112">
        <v>0.05</v>
      </c>
      <c r="G3" s="113">
        <f>SUM(B3:F3)</f>
        <v>1</v>
      </c>
      <c r="H3" s="114" t="s">
        <v>196</v>
      </c>
      <c r="I3" s="115" t="s">
        <v>197</v>
      </c>
      <c r="J3" s="116" t="s">
        <v>198</v>
      </c>
      <c r="N3" s="117">
        <f>SUM(B3:C3)</f>
        <v>0.6000000000000001</v>
      </c>
      <c r="O3" s="117">
        <f>SUM(D3:E3)</f>
        <v>0.35</v>
      </c>
      <c r="P3" s="117">
        <f>F3</f>
        <v>0.05</v>
      </c>
      <c r="Q3" s="117">
        <f>SUM(N3:P3)</f>
        <v>1</v>
      </c>
    </row>
    <row r="4" spans="1:17" ht="12.75">
      <c r="A4" s="118" t="s">
        <v>199</v>
      </c>
      <c r="B4" s="119"/>
      <c r="C4" s="119"/>
      <c r="D4" s="119"/>
      <c r="E4" s="119"/>
      <c r="F4" s="120"/>
      <c r="G4" s="121"/>
      <c r="H4" s="121"/>
      <c r="I4" s="121"/>
      <c r="J4" s="122"/>
      <c r="N4" s="117"/>
      <c r="O4" s="117"/>
      <c r="P4" s="117"/>
      <c r="Q4" s="117">
        <f>SUM(N4:P4)</f>
        <v>0</v>
      </c>
    </row>
    <row r="5" spans="1:17" ht="12.75">
      <c r="A5" s="123" t="s">
        <v>200</v>
      </c>
      <c r="B5" s="124">
        <v>0.35</v>
      </c>
      <c r="C5" s="124">
        <v>0.4</v>
      </c>
      <c r="D5" s="124">
        <v>0.25</v>
      </c>
      <c r="E5" s="124">
        <v>0</v>
      </c>
      <c r="F5" s="125">
        <v>0</v>
      </c>
      <c r="G5" s="126">
        <f>SUM(B5:F5)</f>
        <v>1</v>
      </c>
      <c r="H5" s="127"/>
      <c r="I5" s="127"/>
      <c r="J5" s="128"/>
      <c r="N5" s="117"/>
      <c r="O5" s="117"/>
      <c r="P5" s="117"/>
      <c r="Q5" s="117"/>
    </row>
    <row r="6" spans="1:17" ht="12.75">
      <c r="A6" s="123" t="s">
        <v>201</v>
      </c>
      <c r="B6" s="124">
        <v>0</v>
      </c>
      <c r="C6" s="124">
        <v>0</v>
      </c>
      <c r="D6" s="124">
        <v>0.15</v>
      </c>
      <c r="E6" s="124">
        <v>0.85</v>
      </c>
      <c r="F6" s="125">
        <v>0</v>
      </c>
      <c r="G6" s="126">
        <f>SUM(B6:F6)</f>
        <v>1</v>
      </c>
      <c r="H6" s="127"/>
      <c r="I6" s="127"/>
      <c r="J6" s="128"/>
      <c r="N6" s="117"/>
      <c r="O6" s="117"/>
      <c r="P6" s="117"/>
      <c r="Q6" s="117"/>
    </row>
    <row r="7" spans="1:17" ht="12.75">
      <c r="A7" s="123" t="s">
        <v>202</v>
      </c>
      <c r="B7" s="124">
        <v>0</v>
      </c>
      <c r="C7" s="124">
        <v>0</v>
      </c>
      <c r="D7" s="124">
        <v>0</v>
      </c>
      <c r="E7" s="124">
        <v>0</v>
      </c>
      <c r="F7" s="125">
        <v>1</v>
      </c>
      <c r="G7" s="126">
        <f>SUM(B7:F7)</f>
        <v>1</v>
      </c>
      <c r="H7" s="127"/>
      <c r="I7" s="127"/>
      <c r="J7" s="128"/>
      <c r="N7" s="117"/>
      <c r="O7" s="117"/>
      <c r="P7" s="117"/>
      <c r="Q7" s="117"/>
    </row>
    <row r="8" spans="1:17" ht="13.5" thickBot="1">
      <c r="A8" s="129" t="s">
        <v>203</v>
      </c>
      <c r="B8" s="130">
        <v>4461</v>
      </c>
      <c r="C8" s="130">
        <v>4867</v>
      </c>
      <c r="D8" s="130">
        <v>6001</v>
      </c>
      <c r="E8" s="130">
        <v>6888</v>
      </c>
      <c r="F8" s="130">
        <v>7980</v>
      </c>
      <c r="G8" s="131">
        <f>SUMPRODUCT(B$3:F$3,B8:F8)</f>
        <v>5427.05</v>
      </c>
      <c r="H8" s="131">
        <f>SUMPRODUCT(B$5:F$5,B8:F8)</f>
        <v>5008.4</v>
      </c>
      <c r="I8" s="131">
        <f>SUMPRODUCT(B$6:F$6,B8:F8)</f>
        <v>6754.95</v>
      </c>
      <c r="J8" s="132">
        <f>SUMPRODUCT(B$7:F$7,B8:F8)</f>
        <v>7980</v>
      </c>
      <c r="N8" s="117"/>
      <c r="O8" s="117"/>
      <c r="P8" s="117"/>
      <c r="Q8" s="117"/>
    </row>
    <row r="9" spans="1:17" ht="13.5" thickBot="1">
      <c r="A9" s="133" t="s">
        <v>118</v>
      </c>
      <c r="B9" s="134" t="s">
        <v>188</v>
      </c>
      <c r="C9" s="134" t="s">
        <v>189</v>
      </c>
      <c r="D9" s="134" t="s">
        <v>190</v>
      </c>
      <c r="E9" s="134" t="s">
        <v>191</v>
      </c>
      <c r="F9" s="134" t="s">
        <v>192</v>
      </c>
      <c r="G9" s="135" t="s">
        <v>193</v>
      </c>
      <c r="H9" s="115" t="s">
        <v>175</v>
      </c>
      <c r="I9" s="115" t="s">
        <v>174</v>
      </c>
      <c r="J9" s="116" t="s">
        <v>171</v>
      </c>
      <c r="N9" s="117">
        <f>SUM(B10:C10)</f>
        <v>0.55</v>
      </c>
      <c r="O9" s="117">
        <f>SUM(D10:E10)</f>
        <v>0.2</v>
      </c>
      <c r="P9" s="117">
        <f>F10</f>
        <v>0.25</v>
      </c>
      <c r="Q9" s="117">
        <f>SUM(N9:P9)</f>
        <v>1</v>
      </c>
    </row>
    <row r="10" spans="1:10" ht="12.75">
      <c r="A10" s="136" t="s">
        <v>204</v>
      </c>
      <c r="B10" s="124">
        <v>0.2</v>
      </c>
      <c r="C10" s="124">
        <v>0.35</v>
      </c>
      <c r="D10" s="124">
        <v>0.05</v>
      </c>
      <c r="E10" s="124">
        <v>0.15</v>
      </c>
      <c r="F10" s="125">
        <v>0.25</v>
      </c>
      <c r="G10" s="137">
        <f>SUM(B10:F10)</f>
        <v>1</v>
      </c>
      <c r="H10" s="121"/>
      <c r="I10" s="122"/>
      <c r="J10" s="122"/>
    </row>
    <row r="11" spans="1:10" ht="12.75">
      <c r="A11" s="138" t="s">
        <v>199</v>
      </c>
      <c r="B11" s="119"/>
      <c r="C11" s="119"/>
      <c r="D11" s="119"/>
      <c r="E11" s="119"/>
      <c r="F11" s="139"/>
      <c r="G11" s="127"/>
      <c r="H11" s="127"/>
      <c r="I11" s="127"/>
      <c r="J11" s="128"/>
    </row>
    <row r="12" spans="1:10" ht="12.75">
      <c r="A12" s="123" t="s">
        <v>200</v>
      </c>
      <c r="B12" s="124">
        <v>0</v>
      </c>
      <c r="C12" s="124">
        <v>0.85</v>
      </c>
      <c r="D12" s="124">
        <v>0</v>
      </c>
      <c r="E12" s="124">
        <v>0</v>
      </c>
      <c r="F12" s="125">
        <v>0.15</v>
      </c>
      <c r="G12" s="126">
        <f>SUM(B12:F12)</f>
        <v>1</v>
      </c>
      <c r="H12" s="127"/>
      <c r="I12" s="127"/>
      <c r="J12" s="128"/>
    </row>
    <row r="13" spans="1:10" ht="12.75">
      <c r="A13" s="123" t="s">
        <v>201</v>
      </c>
      <c r="B13" s="124">
        <v>0.4</v>
      </c>
      <c r="C13" s="124">
        <v>0</v>
      </c>
      <c r="D13" s="124">
        <v>0</v>
      </c>
      <c r="E13" s="124">
        <v>0.6</v>
      </c>
      <c r="F13" s="125">
        <v>0</v>
      </c>
      <c r="G13" s="126">
        <f>SUM(B13:F13)</f>
        <v>1</v>
      </c>
      <c r="H13" s="127"/>
      <c r="I13" s="127"/>
      <c r="J13" s="128"/>
    </row>
    <row r="14" spans="1:10" ht="12.75">
      <c r="A14" s="123" t="s">
        <v>202</v>
      </c>
      <c r="B14" s="124">
        <v>0</v>
      </c>
      <c r="C14" s="124">
        <v>0</v>
      </c>
      <c r="D14" s="124">
        <v>1</v>
      </c>
      <c r="E14" s="124">
        <v>0</v>
      </c>
      <c r="F14" s="125">
        <v>0</v>
      </c>
      <c r="G14" s="126">
        <f>SUM(B14:F14)</f>
        <v>1</v>
      </c>
      <c r="H14" s="127"/>
      <c r="I14" s="127"/>
      <c r="J14" s="128"/>
    </row>
    <row r="15" spans="1:10" ht="13.5" thickBot="1">
      <c r="A15" s="129" t="s">
        <v>205</v>
      </c>
      <c r="B15" s="130">
        <v>486</v>
      </c>
      <c r="C15" s="130">
        <v>271</v>
      </c>
      <c r="D15" s="130">
        <v>990</v>
      </c>
      <c r="E15" s="130">
        <v>633</v>
      </c>
      <c r="F15" s="130">
        <v>596</v>
      </c>
      <c r="G15" s="131">
        <f>SUMPRODUCT(B$10:F$10,B15:F15)</f>
        <v>485.5</v>
      </c>
      <c r="H15" s="131">
        <f>SUMPRODUCT(B$12:F$12,B15:F15)</f>
        <v>319.75</v>
      </c>
      <c r="I15" s="131">
        <f>SUMPRODUCT(B$13:F$13,B15:F15)</f>
        <v>574.2</v>
      </c>
      <c r="J15" s="132">
        <f>SUMPRODUCT(B$14:F$14,$B15:$F15)</f>
        <v>990</v>
      </c>
    </row>
    <row r="16" spans="1:6" ht="12.75">
      <c r="A16" t="s">
        <v>206</v>
      </c>
      <c r="B16" s="140"/>
      <c r="C16" s="140"/>
      <c r="D16" s="140"/>
      <c r="E16" s="140"/>
      <c r="F16" s="140"/>
    </row>
    <row r="17" spans="2:6" ht="12.75">
      <c r="B17" s="140"/>
      <c r="C17" s="140"/>
      <c r="D17" s="141"/>
      <c r="E17" s="141"/>
      <c r="F17" s="140"/>
    </row>
    <row r="18" ht="13.5" thickBot="1">
      <c r="A18" s="105" t="s">
        <v>207</v>
      </c>
    </row>
    <row r="19" spans="1:3" ht="13.5" thickBot="1">
      <c r="A19" s="503" t="s">
        <v>208</v>
      </c>
      <c r="B19" s="504"/>
      <c r="C19" s="143">
        <f>B99</f>
        <v>6.4350000000000005</v>
      </c>
    </row>
    <row r="20" spans="1:10" ht="13.5" thickBot="1">
      <c r="A20" s="114" t="s">
        <v>209</v>
      </c>
      <c r="B20" s="115" t="s">
        <v>188</v>
      </c>
      <c r="C20" s="115" t="s">
        <v>189</v>
      </c>
      <c r="D20" s="115" t="s">
        <v>190</v>
      </c>
      <c r="E20" s="115" t="s">
        <v>191</v>
      </c>
      <c r="F20" s="115" t="s">
        <v>192</v>
      </c>
      <c r="G20" s="116" t="s">
        <v>193</v>
      </c>
      <c r="H20" s="115" t="s">
        <v>175</v>
      </c>
      <c r="I20" s="116" t="s">
        <v>210</v>
      </c>
      <c r="J20" s="115" t="s">
        <v>171</v>
      </c>
    </row>
    <row r="21" spans="1:12" ht="12.75">
      <c r="A21" s="144" t="s">
        <v>211</v>
      </c>
      <c r="B21" s="145">
        <f>B112</f>
        <v>797.5477778740941</v>
      </c>
      <c r="C21" s="145">
        <f>E112</f>
        <v>367.0736083765636</v>
      </c>
      <c r="D21" s="145">
        <f>H112</f>
        <v>2180.459230412033</v>
      </c>
      <c r="E21" s="145">
        <f>K112</f>
        <v>1262.2937648725863</v>
      </c>
      <c r="F21" s="145">
        <f>N112</f>
        <v>1083.7859738343668</v>
      </c>
      <c r="G21" s="146">
        <f>SUMPRODUCT(B$10:F$10,B21:F21)</f>
        <v>857.2988382166974</v>
      </c>
      <c r="H21" s="146">
        <f>SUMPRODUCT(B$12:F$12,B21:F21)</f>
        <v>474.5804631952341</v>
      </c>
      <c r="I21" s="146">
        <f>SUMPRODUCT(B$13:F$13,B21:F21)</f>
        <v>1076.3953700731895</v>
      </c>
      <c r="J21" s="147">
        <f>SUMPRODUCT(B$14:F$14,$B21:$F21)</f>
        <v>2180.459230412033</v>
      </c>
      <c r="L21" s="148" t="s">
        <v>212</v>
      </c>
    </row>
    <row r="22" spans="1:12" ht="12.75">
      <c r="A22" s="149" t="s">
        <v>213</v>
      </c>
      <c r="B22" s="150">
        <f>C112</f>
        <v>1281.6836509430168</v>
      </c>
      <c r="C22" s="150">
        <f>F112</f>
        <v>627.4107263345458</v>
      </c>
      <c r="D22" s="150">
        <f>I112</f>
        <v>3148.0979089921607</v>
      </c>
      <c r="E22" s="150">
        <f>L112</f>
        <v>1876.5172171044885</v>
      </c>
      <c r="F22" s="150">
        <f>O112</f>
        <v>1679.7368837685171</v>
      </c>
      <c r="G22" s="150">
        <f>SUMPRODUCT(B$10:F$10,B22:F22)</f>
        <v>1334.747183363105</v>
      </c>
      <c r="H22" s="150">
        <f>SUMPRODUCT(B$12:F$12,B22:F22)</f>
        <v>785.2596499496415</v>
      </c>
      <c r="I22" s="150">
        <f>SUMPRODUCT(B$13:F$13,B22:F22)</f>
        <v>1638.5837906399</v>
      </c>
      <c r="J22" s="151">
        <f>SUMPRODUCT(B$14:F$14,$B22:$F22)</f>
        <v>3148.0979089921607</v>
      </c>
      <c r="L22" s="148" t="s">
        <v>214</v>
      </c>
    </row>
    <row r="23" spans="1:10" ht="13.5" thickBot="1">
      <c r="A23" s="152" t="s">
        <v>215</v>
      </c>
      <c r="B23" s="131">
        <f>D112</f>
        <v>889.3953476841837</v>
      </c>
      <c r="C23" s="131">
        <f>G112</f>
        <v>424.515423983047</v>
      </c>
      <c r="D23" s="131">
        <f>J112</f>
        <v>2263.9592684270624</v>
      </c>
      <c r="E23" s="131">
        <f>M112</f>
        <v>1333.9607413893195</v>
      </c>
      <c r="F23" s="131">
        <f>P112</f>
        <v>1170.245726724327</v>
      </c>
      <c r="G23" s="131">
        <f>SUMPRODUCT(B$10:F$10,B23:F23)</f>
        <v>932.3129742417359</v>
      </c>
      <c r="H23" s="131">
        <f>SUMPRODUCT(B$12:F$12,B23:F23)</f>
        <v>536.374969394239</v>
      </c>
      <c r="I23" s="131">
        <f>SUMPRODUCT(B$13:F$13,B23:F23)</f>
        <v>1156.134583907265</v>
      </c>
      <c r="J23" s="132">
        <f>SUMPRODUCT(B$14:F$14,$B23:$F23)</f>
        <v>2263.9592684270624</v>
      </c>
    </row>
    <row r="24" spans="1:8" ht="12.75">
      <c r="A24" s="16" t="s">
        <v>216</v>
      </c>
      <c r="B24" s="153"/>
      <c r="C24" s="153"/>
      <c r="D24" s="153"/>
      <c r="E24" s="153"/>
      <c r="F24" s="153"/>
      <c r="G24" s="153"/>
      <c r="H24" s="103"/>
    </row>
    <row r="25" spans="1:8" ht="13.5" thickBot="1">
      <c r="A25" s="105" t="s">
        <v>217</v>
      </c>
      <c r="H25" s="103"/>
    </row>
    <row r="26" spans="1:8" ht="13.5" thickBot="1">
      <c r="A26" s="503" t="s">
        <v>208</v>
      </c>
      <c r="B26" s="504"/>
      <c r="C26" s="143">
        <f>B106</f>
        <v>8.450000000000001</v>
      </c>
      <c r="D26" s="142"/>
      <c r="E26" s="142"/>
      <c r="F26" s="142"/>
      <c r="G26" s="154"/>
      <c r="H26" s="103"/>
    </row>
    <row r="27" spans="1:10" ht="13.5" thickBot="1">
      <c r="A27" s="114" t="s">
        <v>209</v>
      </c>
      <c r="B27" s="115" t="s">
        <v>188</v>
      </c>
      <c r="C27" s="115" t="s">
        <v>189</v>
      </c>
      <c r="D27" s="115" t="s">
        <v>190</v>
      </c>
      <c r="E27" s="115" t="s">
        <v>191</v>
      </c>
      <c r="F27" s="115" t="s">
        <v>192</v>
      </c>
      <c r="G27" s="116" t="s">
        <v>193</v>
      </c>
      <c r="H27" s="115" t="s">
        <v>175</v>
      </c>
      <c r="I27" s="116" t="s">
        <v>210</v>
      </c>
      <c r="J27" s="115" t="s">
        <v>171</v>
      </c>
    </row>
    <row r="28" spans="1:10" ht="12.75">
      <c r="A28" s="144" t="s">
        <v>211</v>
      </c>
      <c r="B28" s="145">
        <f>B120</f>
        <v>531.4428942949493</v>
      </c>
      <c r="C28" s="145">
        <f>E120</f>
        <v>245.52586017097994</v>
      </c>
      <c r="D28" s="145">
        <f>H120</f>
        <v>1454.066757768217</v>
      </c>
      <c r="E28" s="145">
        <f>K120</f>
        <v>844.3150238435778</v>
      </c>
      <c r="F28" s="145">
        <f>N120</f>
        <v>728.5152046243196</v>
      </c>
      <c r="G28" s="146">
        <f>SUMPRODUCT(B$10:F$10,B28:F28)</f>
        <v>573.7020225398603</v>
      </c>
      <c r="H28" s="146">
        <f>SUMPRODUCT(B$12:F$12,B28:F28)</f>
        <v>317.9742618389809</v>
      </c>
      <c r="I28" s="146">
        <f>SUMPRODUCT(B$13:F$13,B28:F28)</f>
        <v>719.1661720241264</v>
      </c>
      <c r="J28" s="147">
        <f>SUMPRODUCT(B$14:F$14,$B28:$F28)</f>
        <v>1454.066757768217</v>
      </c>
    </row>
    <row r="29" spans="1:10" ht="12.75">
      <c r="A29" s="149" t="s">
        <v>213</v>
      </c>
      <c r="B29" s="150">
        <f>C120</f>
        <v>861.3567546231795</v>
      </c>
      <c r="C29" s="150">
        <f>F120</f>
        <v>423.1551517532509</v>
      </c>
      <c r="D29" s="150">
        <f>I120</f>
        <v>2117.223752220391</v>
      </c>
      <c r="E29" s="150">
        <f>L120</f>
        <v>1265.6110175394629</v>
      </c>
      <c r="F29" s="150">
        <f>O120</f>
        <v>1138.1782850593472</v>
      </c>
      <c r="G29" s="150">
        <f>SUMPRODUCT(B$10:F$10,B29:F29)</f>
        <v>900.6230655450495</v>
      </c>
      <c r="H29" s="150">
        <f>SUMPRODUCT(B$12:F$12,B29:F29)</f>
        <v>530.4086217491654</v>
      </c>
      <c r="I29" s="150">
        <f>SUMPRODUCT(B$13:F$13,B29:F29)</f>
        <v>1103.9093123729494</v>
      </c>
      <c r="J29" s="151">
        <f>SUMPRODUCT(B$14:F$14,$B29:$F29)</f>
        <v>2117.223752220391</v>
      </c>
    </row>
    <row r="30" spans="1:10" ht="13.5" thickBot="1">
      <c r="A30" s="152" t="s">
        <v>215</v>
      </c>
      <c r="B30" s="131">
        <f>D120</f>
        <v>602.2191012743375</v>
      </c>
      <c r="C30" s="131">
        <f>G120</f>
        <v>288.4105162041657</v>
      </c>
      <c r="D30" s="131">
        <f>J120</f>
        <v>1534.0047310019786</v>
      </c>
      <c r="E30" s="131">
        <f>M120</f>
        <v>906.2763901731621</v>
      </c>
      <c r="F30" s="131">
        <f>P120</f>
        <v>798.5481355125589</v>
      </c>
      <c r="G30" s="131">
        <f>SUMPRODUCT(B$10:F$10,B30:F30)</f>
        <v>633.6662298805385</v>
      </c>
      <c r="H30" s="131">
        <f>SUMPRODUCT(B$12:F$12,B30:F30)</f>
        <v>364.9311591004246</v>
      </c>
      <c r="I30" s="131">
        <f>SUMPRODUCT(B$13:F$13,B30:F30)</f>
        <v>784.6534746136322</v>
      </c>
      <c r="J30" s="132">
        <f>SUMPRODUCT(B$14:F$14,$B30:$F30)</f>
        <v>1534.0047310019786</v>
      </c>
    </row>
    <row r="31" spans="1:8" ht="12.75">
      <c r="A31" s="16"/>
      <c r="B31" s="153"/>
      <c r="C31" s="153"/>
      <c r="D31" s="153"/>
      <c r="E31" s="153"/>
      <c r="F31" s="153"/>
      <c r="G31" s="153"/>
      <c r="H31" s="103"/>
    </row>
    <row r="32" spans="1:8" ht="13.5" thickBot="1">
      <c r="A32" s="105" t="s">
        <v>218</v>
      </c>
      <c r="B32" s="153"/>
      <c r="C32" s="153"/>
      <c r="D32" s="153"/>
      <c r="E32" s="153"/>
      <c r="F32" s="153"/>
      <c r="G32" s="153"/>
      <c r="H32" s="103"/>
    </row>
    <row r="33" spans="1:8" ht="13.5" thickBot="1">
      <c r="A33" s="503" t="s">
        <v>219</v>
      </c>
      <c r="B33" s="504"/>
      <c r="C33" s="143">
        <f>B106</f>
        <v>8.450000000000001</v>
      </c>
      <c r="D33" s="153"/>
      <c r="E33" s="153"/>
      <c r="F33" s="153"/>
      <c r="G33" s="153"/>
      <c r="H33" s="103"/>
    </row>
    <row r="34" spans="1:10" ht="13.5" thickBot="1">
      <c r="A34" s="114" t="s">
        <v>209</v>
      </c>
      <c r="B34" s="115" t="s">
        <v>188</v>
      </c>
      <c r="C34" s="115" t="s">
        <v>189</v>
      </c>
      <c r="D34" s="115" t="s">
        <v>190</v>
      </c>
      <c r="E34" s="115" t="s">
        <v>191</v>
      </c>
      <c r="F34" s="115" t="s">
        <v>192</v>
      </c>
      <c r="G34" s="155" t="s">
        <v>193</v>
      </c>
      <c r="H34" s="115" t="s">
        <v>175</v>
      </c>
      <c r="I34" s="116" t="s">
        <v>210</v>
      </c>
      <c r="J34" s="115" t="s">
        <v>171</v>
      </c>
    </row>
    <row r="35" spans="1:10" ht="12.75">
      <c r="A35" s="144" t="s">
        <v>211</v>
      </c>
      <c r="B35" s="145">
        <f aca="true" t="shared" si="0" ref="B35:F37">B21-B28</f>
        <v>266.1048835791448</v>
      </c>
      <c r="C35" s="145">
        <f t="shared" si="0"/>
        <v>121.54774820558364</v>
      </c>
      <c r="D35" s="145">
        <f t="shared" si="0"/>
        <v>726.3924726438158</v>
      </c>
      <c r="E35" s="145">
        <f t="shared" si="0"/>
        <v>417.97874102900846</v>
      </c>
      <c r="F35" s="145">
        <f t="shared" si="0"/>
        <v>355.2707692100472</v>
      </c>
      <c r="G35" s="156">
        <f>SUMPRODUCT(B$10:F$10,B35:F35)</f>
        <v>283.5968156768371</v>
      </c>
      <c r="H35" s="145">
        <f aca="true" t="shared" si="1" ref="H35:J37">H21-H28</f>
        <v>156.60620135625317</v>
      </c>
      <c r="I35" s="157">
        <f t="shared" si="1"/>
        <v>357.22919804906314</v>
      </c>
      <c r="J35" s="145">
        <f t="shared" si="1"/>
        <v>726.3924726438158</v>
      </c>
    </row>
    <row r="36" spans="1:10" ht="12.75">
      <c r="A36" s="149" t="s">
        <v>213</v>
      </c>
      <c r="B36" s="150">
        <f t="shared" si="0"/>
        <v>420.32689631983726</v>
      </c>
      <c r="C36" s="150">
        <f t="shared" si="0"/>
        <v>204.25557458129487</v>
      </c>
      <c r="D36" s="150">
        <f t="shared" si="0"/>
        <v>1030.8741567717698</v>
      </c>
      <c r="E36" s="150">
        <f t="shared" si="0"/>
        <v>610.9061995650256</v>
      </c>
      <c r="F36" s="150">
        <f t="shared" si="0"/>
        <v>541.5585987091699</v>
      </c>
      <c r="G36" s="158">
        <f>SUMPRODUCT(B$10:F$10,B36:F36)</f>
        <v>434.1241178180555</v>
      </c>
      <c r="H36" s="150">
        <f t="shared" si="1"/>
        <v>254.8510282004761</v>
      </c>
      <c r="I36" s="151">
        <f t="shared" si="1"/>
        <v>534.6744782669505</v>
      </c>
      <c r="J36" s="150">
        <f t="shared" si="1"/>
        <v>1030.8741567717698</v>
      </c>
    </row>
    <row r="37" spans="1:10" ht="13.5" thickBot="1">
      <c r="A37" s="152" t="s">
        <v>215</v>
      </c>
      <c r="B37" s="131">
        <f t="shared" si="0"/>
        <v>287.17624640984616</v>
      </c>
      <c r="C37" s="131">
        <f t="shared" si="0"/>
        <v>136.10490777888134</v>
      </c>
      <c r="D37" s="131">
        <f t="shared" si="0"/>
        <v>729.9545374250838</v>
      </c>
      <c r="E37" s="131">
        <f t="shared" si="0"/>
        <v>427.68435121615744</v>
      </c>
      <c r="F37" s="131">
        <f t="shared" si="0"/>
        <v>371.697591211768</v>
      </c>
      <c r="G37" s="159">
        <f>SUMPRODUCT(B$10:F$10,B37:F37)</f>
        <v>298.6467443611975</v>
      </c>
      <c r="H37" s="131">
        <f t="shared" si="1"/>
        <v>171.44381029381435</v>
      </c>
      <c r="I37" s="132">
        <f t="shared" si="1"/>
        <v>371.4811092936329</v>
      </c>
      <c r="J37" s="131">
        <f t="shared" si="1"/>
        <v>729.9545374250838</v>
      </c>
    </row>
    <row r="38" spans="1:8" ht="12.75">
      <c r="A38" s="16"/>
      <c r="B38" s="153"/>
      <c r="C38" s="153"/>
      <c r="D38" s="153"/>
      <c r="E38" s="153"/>
      <c r="F38" s="153"/>
      <c r="G38" s="153"/>
      <c r="H38" s="103"/>
    </row>
    <row r="39" spans="1:8" ht="13.5" thickBot="1">
      <c r="A39" s="160" t="s">
        <v>220</v>
      </c>
      <c r="B39" s="153"/>
      <c r="C39" s="153"/>
      <c r="D39" s="153"/>
      <c r="E39" s="153"/>
      <c r="F39" s="153"/>
      <c r="G39" s="153"/>
      <c r="H39" s="103"/>
    </row>
    <row r="40" spans="1:8" ht="13.5" thickBot="1">
      <c r="A40" s="503" t="s">
        <v>221</v>
      </c>
      <c r="B40" s="504"/>
      <c r="C40" s="505"/>
      <c r="D40" s="153"/>
      <c r="E40" s="153"/>
      <c r="F40" s="153"/>
      <c r="G40" s="153"/>
      <c r="H40" s="103"/>
    </row>
    <row r="41" spans="1:10" ht="13.5" thickBot="1">
      <c r="A41" s="114" t="s">
        <v>209</v>
      </c>
      <c r="B41" s="115" t="s">
        <v>188</v>
      </c>
      <c r="C41" s="115" t="s">
        <v>189</v>
      </c>
      <c r="D41" s="115" t="s">
        <v>190</v>
      </c>
      <c r="E41" s="115" t="s">
        <v>191</v>
      </c>
      <c r="F41" s="115" t="s">
        <v>192</v>
      </c>
      <c r="G41" s="116" t="s">
        <v>193</v>
      </c>
      <c r="H41" s="161" t="s">
        <v>196</v>
      </c>
      <c r="I41" s="161" t="s">
        <v>197</v>
      </c>
      <c r="J41" s="161" t="s">
        <v>198</v>
      </c>
    </row>
    <row r="42" spans="1:10" ht="12.75">
      <c r="A42" s="144" t="s">
        <v>222</v>
      </c>
      <c r="B42" s="145">
        <f>B93</f>
        <v>6676.048753208302</v>
      </c>
      <c r="C42" s="145">
        <f>E93</f>
        <v>7399.634044799308</v>
      </c>
      <c r="D42" s="145">
        <f>H93</f>
        <v>9490.853108686319</v>
      </c>
      <c r="E42" s="145">
        <f>K93</f>
        <v>11133.953801740427</v>
      </c>
      <c r="F42" s="145">
        <f>N93</f>
        <v>12714.3828501494</v>
      </c>
      <c r="G42" s="146">
        <f>SUMPRODUCT(B$3:F$3,B42:F42)</f>
        <v>8416.891168414477</v>
      </c>
      <c r="H42" s="146">
        <f>SUMPRODUCT(B$5:F$5,B42:F42)</f>
        <v>7669.1839587142085</v>
      </c>
      <c r="I42" s="146">
        <f>SUMPRODUCT(B$6:F$6,B42:F42)</f>
        <v>10887.48869778231</v>
      </c>
      <c r="J42" s="146">
        <f>SUMPRODUCT(B$7:F$7,B42:F42)</f>
        <v>12714.3828501494</v>
      </c>
    </row>
    <row r="43" spans="1:10" ht="12.75">
      <c r="A43" s="149" t="s">
        <v>223</v>
      </c>
      <c r="B43" s="150">
        <f>C93</f>
        <v>10735.024896363098</v>
      </c>
      <c r="C43" s="150">
        <f>F93</f>
        <v>12289.735283911758</v>
      </c>
      <c r="D43" s="150">
        <f>I93</f>
        <v>15298.060170790783</v>
      </c>
      <c r="E43" s="150">
        <f>L93</f>
        <v>17661.74401048133</v>
      </c>
      <c r="F43" s="150">
        <f>O93</f>
        <v>20838.435557151035</v>
      </c>
      <c r="G43" s="150">
        <f>SUMPRODUCT(B$3:F$3,B43:F43)</f>
        <v>13695.510314440704</v>
      </c>
      <c r="H43" s="150">
        <f>SUMPRODUCT(B$5:F$5,B43:F43)</f>
        <v>12497.667869989484</v>
      </c>
      <c r="I43" s="150">
        <f>SUMPRODUCT(B$6:F$6,B43:F43)</f>
        <v>17307.191434527747</v>
      </c>
      <c r="J43" s="150">
        <f>SUMPRODUCT(B$7:F$7,B43:F43)</f>
        <v>20838.435557151035</v>
      </c>
    </row>
    <row r="44" spans="1:12" ht="13.5" thickBot="1">
      <c r="A44" s="152" t="s">
        <v>224</v>
      </c>
      <c r="B44" s="131">
        <f>D93</f>
        <v>7116.937794016425</v>
      </c>
      <c r="C44" s="131">
        <f>G93</f>
        <v>8167.86430206662</v>
      </c>
      <c r="D44" s="131">
        <f>J93</f>
        <v>10438.97447861429</v>
      </c>
      <c r="E44" s="131">
        <f>M93</f>
        <v>12223.418188758948</v>
      </c>
      <c r="F44" s="131">
        <f>P93</f>
        <v>14553.22073348928</v>
      </c>
      <c r="G44" s="150">
        <f>SUMPRODUCT(B$3:F$3,B44:F44)</f>
        <v>9250.279754833866</v>
      </c>
      <c r="H44" s="150">
        <f>SUMPRODUCT(B$5:F$5,B44:F44)</f>
        <v>8367.81756838597</v>
      </c>
      <c r="I44" s="150">
        <f>SUMPRODUCT(B$6:F$6,B44:F44)</f>
        <v>11955.751632237248</v>
      </c>
      <c r="J44" s="150">
        <f>SUMPRODUCT(B$7:F$7,B44:F44)</f>
        <v>14553.22073348928</v>
      </c>
      <c r="L44" t="s">
        <v>225</v>
      </c>
    </row>
    <row r="45" spans="1:12" ht="12.75">
      <c r="A45" s="16"/>
      <c r="B45" s="162">
        <f>B44/2300</f>
        <v>3.0943207800071413</v>
      </c>
      <c r="C45" s="162">
        <f>C44/2300</f>
        <v>3.5512453487246174</v>
      </c>
      <c r="D45" s="162">
        <f>D44/2300</f>
        <v>4.538684555919256</v>
      </c>
      <c r="E45" s="162">
        <f>E44/2300</f>
        <v>5.314529647286499</v>
      </c>
      <c r="F45" s="162">
        <f>F44/2300</f>
        <v>6.327487275430121</v>
      </c>
      <c r="G45" s="163">
        <f>SUMPRODUCT(B$3:F$3,B45:F45)</f>
        <v>4.021860762971246</v>
      </c>
      <c r="H45" s="163">
        <f>SUMPRODUCT(B$5:F$5,B45:F45)</f>
        <v>3.6381815514721607</v>
      </c>
      <c r="I45" s="163">
        <f>SUMPRODUCT(B$6:F$6,B45:F45)</f>
        <v>5.198152883581413</v>
      </c>
      <c r="J45" s="163">
        <f>SUMPRODUCT(B$7:F$7,B45:F45)</f>
        <v>6.327487275430121</v>
      </c>
      <c r="L45" t="s">
        <v>226</v>
      </c>
    </row>
    <row r="46" ht="13.5" thickBot="1">
      <c r="A46" s="105" t="s">
        <v>227</v>
      </c>
    </row>
    <row r="47" spans="1:7" ht="13.5" thickBot="1">
      <c r="A47" s="503" t="s">
        <v>228</v>
      </c>
      <c r="B47" s="504"/>
      <c r="C47" s="143">
        <f>B97</f>
        <v>5.59125</v>
      </c>
      <c r="D47" s="153"/>
      <c r="E47" s="153"/>
      <c r="F47" s="153"/>
      <c r="G47" s="153"/>
    </row>
    <row r="48" spans="1:10" ht="13.5" thickBot="1">
      <c r="A48" s="114" t="s">
        <v>209</v>
      </c>
      <c r="B48" s="115" t="s">
        <v>188</v>
      </c>
      <c r="C48" s="115" t="s">
        <v>189</v>
      </c>
      <c r="D48" s="115" t="s">
        <v>190</v>
      </c>
      <c r="E48" s="115" t="s">
        <v>191</v>
      </c>
      <c r="F48" s="115" t="s">
        <v>192</v>
      </c>
      <c r="G48" s="116" t="s">
        <v>193</v>
      </c>
      <c r="H48" s="161" t="s">
        <v>196</v>
      </c>
      <c r="I48" s="161" t="s">
        <v>197</v>
      </c>
      <c r="J48" s="161" t="s">
        <v>198</v>
      </c>
    </row>
    <row r="49" spans="1:10" ht="12.75">
      <c r="A49" s="144" t="s">
        <v>222</v>
      </c>
      <c r="B49" s="145">
        <f>B111</f>
        <v>5821.686792424371</v>
      </c>
      <c r="C49" s="145">
        <f>E111</f>
        <v>6317.778527397863</v>
      </c>
      <c r="D49" s="145">
        <f>H111</f>
        <v>9286.279969916284</v>
      </c>
      <c r="E49" s="145">
        <f>K111</f>
        <v>10630.506595866758</v>
      </c>
      <c r="F49" s="145">
        <f>N111</f>
        <v>12170.012282873025</v>
      </c>
      <c r="G49" s="146">
        <f>SUMPRODUCT(B$3:F$3,B49:F49)</f>
        <v>7684.570035653418</v>
      </c>
      <c r="H49" s="146">
        <f>SUMPRODUCT(B$5:F$5,B49:F49)</f>
        <v>6886.271780786747</v>
      </c>
      <c r="I49" s="146">
        <f>SUMPRODUCT(B$6:F$6,B49:F49)</f>
        <v>10428.872601974188</v>
      </c>
      <c r="J49" s="146">
        <f>SUMPRODUCT(B$7:F$7,B49:F49)</f>
        <v>12170.012282873025</v>
      </c>
    </row>
    <row r="50" spans="1:10" ht="12.75">
      <c r="A50" s="149" t="s">
        <v>223</v>
      </c>
      <c r="B50" s="150">
        <f>C111</f>
        <v>8725.503480129126</v>
      </c>
      <c r="C50" s="150">
        <f>F111</f>
        <v>9780.35878970689</v>
      </c>
      <c r="D50" s="150">
        <f>I111</f>
        <v>13951.823995923809</v>
      </c>
      <c r="E50" s="150">
        <f>L111</f>
        <v>15717.962024116581</v>
      </c>
      <c r="F50" s="150">
        <f>O111</f>
        <v>18591.693293449585</v>
      </c>
      <c r="G50" s="150">
        <f>SUMPRODUCT(B$3:F$3,B50:F50)</f>
        <v>11646.581077973671</v>
      </c>
      <c r="H50" s="150">
        <f>SUMPRODUCT(B$5:F$5,B50:F50)</f>
        <v>10454.025732908904</v>
      </c>
      <c r="I50" s="150">
        <f>SUMPRODUCT(B$6:F$6,B50:F50)</f>
        <v>15453.041319887665</v>
      </c>
      <c r="J50" s="150">
        <f>SUMPRODUCT(B$7:F$7,B50:F50)</f>
        <v>18591.693293449585</v>
      </c>
    </row>
    <row r="51" spans="1:10" ht="13.5" thickBot="1">
      <c r="A51" s="152" t="s">
        <v>224</v>
      </c>
      <c r="B51" s="131">
        <f>D111</f>
        <v>5416.8421314204</v>
      </c>
      <c r="C51" s="131">
        <f>G111</f>
        <v>6086.7622889438335</v>
      </c>
      <c r="D51" s="131">
        <f>J111</f>
        <v>8914.931873371008</v>
      </c>
      <c r="E51" s="131">
        <f>M111</f>
        <v>10186.403802806351</v>
      </c>
      <c r="F51" s="131">
        <f>P111</f>
        <v>12158.458595671194</v>
      </c>
      <c r="G51" s="150">
        <f>SUMPRODUCT(B$3:F$3,B51:F51)</f>
        <v>7373.3696202685605</v>
      </c>
      <c r="H51" s="150">
        <f>SUMPRODUCT(B$5:F$5,B51:F51)</f>
        <v>6559.332629917426</v>
      </c>
      <c r="I51" s="150">
        <f>SUMPRODUCT(B$6:F$6,B51:F51)</f>
        <v>9995.68301339105</v>
      </c>
      <c r="J51" s="150">
        <f>SUMPRODUCT(B$7:F$7,B51:F51)</f>
        <v>12158.458595671194</v>
      </c>
    </row>
    <row r="52" spans="1:8" ht="12.75">
      <c r="A52" s="16" t="s">
        <v>229</v>
      </c>
      <c r="B52" s="153"/>
      <c r="C52" s="153"/>
      <c r="D52" s="153"/>
      <c r="E52" s="153"/>
      <c r="F52" s="153"/>
      <c r="G52" s="153"/>
      <c r="H52" s="103"/>
    </row>
    <row r="53" spans="1:8" ht="13.5" thickBot="1">
      <c r="A53" s="105" t="s">
        <v>230</v>
      </c>
      <c r="H53" s="103"/>
    </row>
    <row r="54" spans="1:8" ht="13.5" thickBot="1">
      <c r="A54" s="503" t="s">
        <v>228</v>
      </c>
      <c r="B54" s="504"/>
      <c r="C54" s="164">
        <f>B104</f>
        <v>8.4</v>
      </c>
      <c r="D54" s="153"/>
      <c r="E54" s="153"/>
      <c r="F54" s="153"/>
      <c r="G54" s="153"/>
      <c r="H54" s="103"/>
    </row>
    <row r="55" spans="1:10" ht="13.5" thickBot="1">
      <c r="A55" s="114" t="s">
        <v>209</v>
      </c>
      <c r="B55" s="115" t="s">
        <v>188</v>
      </c>
      <c r="C55" s="115" t="s">
        <v>189</v>
      </c>
      <c r="D55" s="115" t="s">
        <v>190</v>
      </c>
      <c r="E55" s="115" t="s">
        <v>191</v>
      </c>
      <c r="F55" s="115" t="s">
        <v>192</v>
      </c>
      <c r="G55" s="116" t="s">
        <v>193</v>
      </c>
      <c r="H55" s="161" t="s">
        <v>196</v>
      </c>
      <c r="I55" s="161" t="s">
        <v>197</v>
      </c>
      <c r="J55" s="161" t="s">
        <v>198</v>
      </c>
    </row>
    <row r="56" spans="1:10" ht="12.75">
      <c r="A56" s="165" t="s">
        <v>222</v>
      </c>
      <c r="B56" s="145">
        <f>B119</f>
        <v>3390.677737306538</v>
      </c>
      <c r="C56" s="145">
        <f>E119</f>
        <v>3693.569373794581</v>
      </c>
      <c r="D56" s="145">
        <f>H119</f>
        <v>5412.724602853315</v>
      </c>
      <c r="E56" s="145">
        <f>K119</f>
        <v>6214.924030676147</v>
      </c>
      <c r="F56" s="145">
        <f>N119</f>
        <v>7150.293906553673</v>
      </c>
      <c r="G56" s="146">
        <f>SUMPRODUCT(B$3:F$3,B56:F56)</f>
        <v>4487.751546087768</v>
      </c>
      <c r="H56" s="146">
        <f>SUMPRODUCT(B$5:F$5,B56:F56)</f>
        <v>4017.3461082884496</v>
      </c>
      <c r="I56" s="146">
        <f>SUMPRODUCT(B$6:F$6,B56:F56)</f>
        <v>6094.594116502722</v>
      </c>
      <c r="J56" s="146">
        <f>SUMPRODUCT(B$7:F$7,B56:F56)</f>
        <v>7150.293906553673</v>
      </c>
    </row>
    <row r="57" spans="1:10" ht="12.75">
      <c r="A57" s="166" t="s">
        <v>223</v>
      </c>
      <c r="B57" s="150">
        <f>C119</f>
        <v>5125.432260546032</v>
      </c>
      <c r="C57" s="150">
        <f>F119</f>
        <v>5765.543634395758</v>
      </c>
      <c r="D57" s="150">
        <f>I119</f>
        <v>8201.386865821532</v>
      </c>
      <c r="E57" s="150">
        <f>L119</f>
        <v>9265.774174787255</v>
      </c>
      <c r="F57" s="150">
        <f>O119</f>
        <v>11010.974732937988</v>
      </c>
      <c r="G57" s="150">
        <f>SUMPRODUCT(B$3:F$3,B57:F57)</f>
        <v>6858.776776448518</v>
      </c>
      <c r="H57" s="150">
        <f>SUMPRODUCT(B$5:F$5,B57:F57)</f>
        <v>6150.465461404798</v>
      </c>
      <c r="I57" s="150">
        <f>SUMPRODUCT(B$6:F$6,B57:F57)</f>
        <v>9106.116078442396</v>
      </c>
      <c r="J57" s="150">
        <f>SUMPRODUCT(B$7:F$7,B57:F57)</f>
        <v>11010.974732937988</v>
      </c>
    </row>
    <row r="58" spans="1:10" ht="13.5" thickBot="1">
      <c r="A58" s="167" t="s">
        <v>224</v>
      </c>
      <c r="B58" s="131">
        <f>D119</f>
        <v>3205.8532218057835</v>
      </c>
      <c r="C58" s="131">
        <f>G119</f>
        <v>3614.446008494286</v>
      </c>
      <c r="D58" s="131">
        <f>J119</f>
        <v>5279.756596766868</v>
      </c>
      <c r="E58" s="131">
        <f>M119</f>
        <v>6048.898382780952</v>
      </c>
      <c r="F58" s="131">
        <f>P119</f>
        <v>7251.708513892947</v>
      </c>
      <c r="G58" s="150">
        <f>SUMPRODUCT(B$3:F$3,B58:F58)</f>
        <v>4374.363460923331</v>
      </c>
      <c r="H58" s="150">
        <f>SUMPRODUCT(B$5:F$5,B58:F58)</f>
        <v>3887.766180221455</v>
      </c>
      <c r="I58" s="150">
        <f>SUMPRODUCT(B$6:F$6,B58:F58)</f>
        <v>5933.527114878839</v>
      </c>
      <c r="J58" s="150">
        <f>SUMPRODUCT(B$7:F$7,B58:F58)</f>
        <v>7251.708513892947</v>
      </c>
    </row>
    <row r="59" spans="1:8" ht="12.75">
      <c r="A59" s="16"/>
      <c r="B59" s="153"/>
      <c r="C59" s="153"/>
      <c r="D59" s="153"/>
      <c r="E59" s="153"/>
      <c r="F59" s="153"/>
      <c r="G59" s="153"/>
      <c r="H59" s="103"/>
    </row>
    <row r="60" spans="1:8" ht="13.5" thickBot="1">
      <c r="A60" s="105" t="s">
        <v>231</v>
      </c>
      <c r="B60" s="153"/>
      <c r="C60" s="153"/>
      <c r="D60" s="153"/>
      <c r="E60" s="153"/>
      <c r="F60" s="153"/>
      <c r="G60" s="153"/>
      <c r="H60" s="103"/>
    </row>
    <row r="61" spans="1:8" ht="13.5" thickBot="1">
      <c r="A61" s="503" t="s">
        <v>232</v>
      </c>
      <c r="B61" s="505"/>
      <c r="C61" s="164">
        <f>B104</f>
        <v>8.4</v>
      </c>
      <c r="G61" s="153"/>
      <c r="H61" s="103"/>
    </row>
    <row r="62" spans="1:10" ht="13.5" thickBot="1">
      <c r="A62" s="114" t="s">
        <v>209</v>
      </c>
      <c r="B62" s="115" t="s">
        <v>188</v>
      </c>
      <c r="C62" s="115" t="s">
        <v>189</v>
      </c>
      <c r="D62" s="115" t="s">
        <v>190</v>
      </c>
      <c r="E62" s="115" t="s">
        <v>191</v>
      </c>
      <c r="F62" s="115" t="s">
        <v>192</v>
      </c>
      <c r="G62" s="155" t="s">
        <v>193</v>
      </c>
      <c r="H62" s="161" t="s">
        <v>196</v>
      </c>
      <c r="I62" s="161" t="s">
        <v>197</v>
      </c>
      <c r="J62" s="161" t="s">
        <v>198</v>
      </c>
    </row>
    <row r="63" spans="1:10" ht="12.75">
      <c r="A63" s="165" t="s">
        <v>211</v>
      </c>
      <c r="B63" s="145">
        <f aca="true" t="shared" si="2" ref="B63:F65">B49-B56</f>
        <v>2431.0090551178328</v>
      </c>
      <c r="C63" s="145">
        <f t="shared" si="2"/>
        <v>2624.209153603282</v>
      </c>
      <c r="D63" s="145">
        <f t="shared" si="2"/>
        <v>3873.555367062969</v>
      </c>
      <c r="E63" s="145">
        <f t="shared" si="2"/>
        <v>4415.582565190612</v>
      </c>
      <c r="F63" s="145">
        <f t="shared" si="2"/>
        <v>5019.7183763193525</v>
      </c>
      <c r="G63" s="156">
        <f>SUMPRODUCT($B$3:$F$3,B63:F63)</f>
        <v>3196.8184895656505</v>
      </c>
      <c r="H63" s="145">
        <f aca="true" t="shared" si="3" ref="H63:J65">H49-H56</f>
        <v>2868.925672498297</v>
      </c>
      <c r="I63" s="145">
        <f t="shared" si="3"/>
        <v>4334.278485471466</v>
      </c>
      <c r="J63" s="157">
        <f t="shared" si="3"/>
        <v>5019.7183763193525</v>
      </c>
    </row>
    <row r="64" spans="1:10" ht="12.75">
      <c r="A64" s="166" t="s">
        <v>213</v>
      </c>
      <c r="B64" s="150">
        <f t="shared" si="2"/>
        <v>3600.071219583094</v>
      </c>
      <c r="C64" s="150">
        <f t="shared" si="2"/>
        <v>4014.815155311132</v>
      </c>
      <c r="D64" s="150">
        <f t="shared" si="2"/>
        <v>5750.437130102277</v>
      </c>
      <c r="E64" s="150">
        <f t="shared" si="2"/>
        <v>6452.187849329326</v>
      </c>
      <c r="F64" s="150">
        <f t="shared" si="2"/>
        <v>7580.718560511597</v>
      </c>
      <c r="G64" s="158">
        <f>SUMPRODUCT($B$3:$F$3,B64:F64)</f>
        <v>4787.804301525153</v>
      </c>
      <c r="H64" s="150">
        <f t="shared" si="3"/>
        <v>4303.560271504106</v>
      </c>
      <c r="I64" s="150">
        <f t="shared" si="3"/>
        <v>6346.925241445269</v>
      </c>
      <c r="J64" s="151">
        <f t="shared" si="3"/>
        <v>7580.718560511597</v>
      </c>
    </row>
    <row r="65" spans="1:10" ht="13.5" thickBot="1">
      <c r="A65" s="167" t="s">
        <v>215</v>
      </c>
      <c r="B65" s="131">
        <f t="shared" si="2"/>
        <v>2210.988909614616</v>
      </c>
      <c r="C65" s="131">
        <f t="shared" si="2"/>
        <v>2472.3162804495473</v>
      </c>
      <c r="D65" s="131">
        <f t="shared" si="2"/>
        <v>3635.17527660414</v>
      </c>
      <c r="E65" s="131">
        <f t="shared" si="2"/>
        <v>4137.5054200254</v>
      </c>
      <c r="F65" s="131">
        <f t="shared" si="2"/>
        <v>4906.7500817782475</v>
      </c>
      <c r="G65" s="159">
        <f>SUMPRODUCT($B$3:$F$3,B65:F65)</f>
        <v>2999.006159345229</v>
      </c>
      <c r="H65" s="131">
        <f t="shared" si="3"/>
        <v>2671.5664496959707</v>
      </c>
      <c r="I65" s="131">
        <f t="shared" si="3"/>
        <v>4062.155898512211</v>
      </c>
      <c r="J65" s="132">
        <f t="shared" si="3"/>
        <v>4906.7500817782475</v>
      </c>
    </row>
    <row r="66" spans="1:8" ht="12.75">
      <c r="A66" s="16"/>
      <c r="B66" s="153"/>
      <c r="C66" s="153"/>
      <c r="D66" s="153"/>
      <c r="E66" s="153"/>
      <c r="F66" s="153"/>
      <c r="G66" s="153"/>
      <c r="H66" s="103"/>
    </row>
    <row r="67" spans="1:8" ht="13.5" thickBot="1">
      <c r="A67" s="105" t="s">
        <v>233</v>
      </c>
      <c r="B67" s="153"/>
      <c r="C67" s="153"/>
      <c r="D67" s="153"/>
      <c r="E67" s="153"/>
      <c r="F67" s="153"/>
      <c r="G67" s="153"/>
      <c r="H67" s="103"/>
    </row>
    <row r="68" spans="1:14" ht="13.5" thickBot="1">
      <c r="A68" s="503" t="s">
        <v>234</v>
      </c>
      <c r="B68" s="504"/>
      <c r="C68" s="164">
        <f>B97</f>
        <v>5.59125</v>
      </c>
      <c r="D68" s="503" t="s">
        <v>235</v>
      </c>
      <c r="E68" s="504"/>
      <c r="F68" s="143">
        <f>B99</f>
        <v>6.4350000000000005</v>
      </c>
      <c r="G68" s="153"/>
      <c r="H68" s="103"/>
      <c r="K68" s="103"/>
      <c r="L68" s="103"/>
      <c r="M68" s="103"/>
      <c r="N68" s="103"/>
    </row>
    <row r="69" spans="1:14" ht="13.5" thickBot="1">
      <c r="A69" s="114" t="s">
        <v>209</v>
      </c>
      <c r="B69" s="115" t="s">
        <v>188</v>
      </c>
      <c r="C69" s="115" t="s">
        <v>189</v>
      </c>
      <c r="D69" s="115" t="s">
        <v>190</v>
      </c>
      <c r="E69" s="115" t="s">
        <v>191</v>
      </c>
      <c r="F69" s="115" t="s">
        <v>192</v>
      </c>
      <c r="G69" s="155" t="s">
        <v>193</v>
      </c>
      <c r="H69" s="161" t="s">
        <v>196</v>
      </c>
      <c r="I69" s="161" t="s">
        <v>197</v>
      </c>
      <c r="J69" s="161" t="s">
        <v>198</v>
      </c>
      <c r="L69" s="148"/>
      <c r="M69" s="148"/>
      <c r="N69" s="148"/>
    </row>
    <row r="70" spans="1:14" ht="12.75">
      <c r="A70" s="165" t="s">
        <v>222</v>
      </c>
      <c r="B70" s="145">
        <f aca="true" t="shared" si="4" ref="B70:H72">B21+B49</f>
        <v>6619.234570298465</v>
      </c>
      <c r="C70" s="145">
        <f t="shared" si="4"/>
        <v>6684.852135774427</v>
      </c>
      <c r="D70" s="145">
        <f t="shared" si="4"/>
        <v>11466.739200328317</v>
      </c>
      <c r="E70" s="145">
        <f t="shared" si="4"/>
        <v>11892.800360739344</v>
      </c>
      <c r="F70" s="145">
        <f t="shared" si="4"/>
        <v>13253.798256707392</v>
      </c>
      <c r="G70" s="145">
        <f t="shared" si="4"/>
        <v>8541.868873870115</v>
      </c>
      <c r="H70" s="145">
        <f t="shared" si="4"/>
        <v>7360.852243981981</v>
      </c>
      <c r="I70" s="145">
        <f>J21+I49</f>
        <v>12609.33183238622</v>
      </c>
      <c r="J70" s="157">
        <f>I21+J49</f>
        <v>13246.407652946215</v>
      </c>
      <c r="L70" s="148"/>
      <c r="M70" s="148"/>
      <c r="N70" s="148"/>
    </row>
    <row r="71" spans="1:10" ht="12.75">
      <c r="A71" s="166" t="s">
        <v>223</v>
      </c>
      <c r="B71" s="150">
        <f t="shared" si="4"/>
        <v>10007.187131072144</v>
      </c>
      <c r="C71" s="150">
        <f t="shared" si="4"/>
        <v>10407.769516041435</v>
      </c>
      <c r="D71" s="150">
        <f t="shared" si="4"/>
        <v>17099.92190491597</v>
      </c>
      <c r="E71" s="150">
        <f t="shared" si="4"/>
        <v>17594.47924122107</v>
      </c>
      <c r="F71" s="150">
        <f t="shared" si="4"/>
        <v>20271.430177218102</v>
      </c>
      <c r="G71" s="150">
        <f t="shared" si="4"/>
        <v>12981.328261336776</v>
      </c>
      <c r="H71" s="150">
        <f t="shared" si="4"/>
        <v>11239.285382858545</v>
      </c>
      <c r="I71" s="150">
        <f>J22+I50</f>
        <v>18601.139228879827</v>
      </c>
      <c r="J71" s="151">
        <f>I22+J50</f>
        <v>20230.277084089485</v>
      </c>
    </row>
    <row r="72" spans="1:10" ht="12.75">
      <c r="A72" s="166" t="s">
        <v>224</v>
      </c>
      <c r="B72" s="150">
        <f t="shared" si="4"/>
        <v>6306.237479104583</v>
      </c>
      <c r="C72" s="150">
        <f t="shared" si="4"/>
        <v>6511.277712926881</v>
      </c>
      <c r="D72" s="150">
        <f t="shared" si="4"/>
        <v>11178.89114179807</v>
      </c>
      <c r="E72" s="150">
        <f t="shared" si="4"/>
        <v>11520.36454419567</v>
      </c>
      <c r="F72" s="150">
        <f t="shared" si="4"/>
        <v>13328.70432239552</v>
      </c>
      <c r="G72" s="150">
        <f t="shared" si="4"/>
        <v>8305.682594510297</v>
      </c>
      <c r="H72" s="150">
        <f t="shared" si="4"/>
        <v>7095.707599311665</v>
      </c>
      <c r="I72" s="150">
        <f>J23+I51</f>
        <v>12259.642281818113</v>
      </c>
      <c r="J72" s="151">
        <f>I23+J51</f>
        <v>13314.59317957846</v>
      </c>
    </row>
    <row r="73" spans="1:10" ht="13.5" thickBot="1">
      <c r="A73" s="129" t="s">
        <v>236</v>
      </c>
      <c r="B73" s="168">
        <f aca="true" t="shared" si="5" ref="B73:J73">B72/2300</f>
        <v>2.741842382219384</v>
      </c>
      <c r="C73" s="168">
        <f t="shared" si="5"/>
        <v>2.8309903099682088</v>
      </c>
      <c r="D73" s="168">
        <f t="shared" si="5"/>
        <v>4.860387452955683</v>
      </c>
      <c r="E73" s="168">
        <f t="shared" si="5"/>
        <v>5.008854149650292</v>
      </c>
      <c r="F73" s="168">
        <f t="shared" si="5"/>
        <v>5.7950888358241395</v>
      </c>
      <c r="G73" s="168">
        <f t="shared" si="5"/>
        <v>3.6111663454392597</v>
      </c>
      <c r="H73" s="168">
        <f t="shared" si="5"/>
        <v>3.085090260570289</v>
      </c>
      <c r="I73" s="168">
        <f t="shared" si="5"/>
        <v>5.330279252964397</v>
      </c>
      <c r="J73" s="169">
        <f t="shared" si="5"/>
        <v>5.788953556338461</v>
      </c>
    </row>
    <row r="74" spans="1:8" ht="13.5" thickBot="1">
      <c r="A74" s="105" t="s">
        <v>237</v>
      </c>
      <c r="B74" s="153"/>
      <c r="C74" s="153"/>
      <c r="D74" s="153"/>
      <c r="E74" s="153"/>
      <c r="F74" s="153"/>
      <c r="G74" s="153"/>
      <c r="H74" s="103"/>
    </row>
    <row r="75" spans="1:14" ht="13.5" thickBot="1">
      <c r="A75" s="503" t="s">
        <v>234</v>
      </c>
      <c r="B75" s="504"/>
      <c r="C75" s="164">
        <f>B104</f>
        <v>8.4</v>
      </c>
      <c r="D75" s="503" t="s">
        <v>235</v>
      </c>
      <c r="E75" s="504"/>
      <c r="F75" s="143">
        <f>B106</f>
        <v>8.450000000000001</v>
      </c>
      <c r="G75" s="153"/>
      <c r="H75" s="103"/>
      <c r="K75" s="103"/>
      <c r="L75" s="103"/>
      <c r="M75" s="103"/>
      <c r="N75" s="103"/>
    </row>
    <row r="76" spans="1:14" ht="13.5" thickBot="1">
      <c r="A76" s="114" t="s">
        <v>209</v>
      </c>
      <c r="B76" s="115" t="s">
        <v>188</v>
      </c>
      <c r="C76" s="115" t="s">
        <v>189</v>
      </c>
      <c r="D76" s="115" t="s">
        <v>190</v>
      </c>
      <c r="E76" s="115" t="s">
        <v>191</v>
      </c>
      <c r="F76" s="115" t="s">
        <v>192</v>
      </c>
      <c r="G76" s="155" t="s">
        <v>193</v>
      </c>
      <c r="H76" s="161" t="s">
        <v>196</v>
      </c>
      <c r="I76" s="161" t="s">
        <v>197</v>
      </c>
      <c r="J76" s="161" t="s">
        <v>198</v>
      </c>
      <c r="L76" s="148"/>
      <c r="M76" s="148"/>
      <c r="N76" s="148"/>
    </row>
    <row r="77" spans="1:14" ht="12.75">
      <c r="A77" s="165" t="s">
        <v>222</v>
      </c>
      <c r="B77" s="145">
        <f aca="true" t="shared" si="6" ref="B77:H79">B28+B56</f>
        <v>3922.1206316014873</v>
      </c>
      <c r="C77" s="145">
        <f t="shared" si="6"/>
        <v>3939.095233965561</v>
      </c>
      <c r="D77" s="145">
        <f t="shared" si="6"/>
        <v>6866.7913606215325</v>
      </c>
      <c r="E77" s="145">
        <f t="shared" si="6"/>
        <v>7059.239054519725</v>
      </c>
      <c r="F77" s="145">
        <f t="shared" si="6"/>
        <v>7878.809111177992</v>
      </c>
      <c r="G77" s="145">
        <f t="shared" si="6"/>
        <v>5061.453568627628</v>
      </c>
      <c r="H77" s="145">
        <f t="shared" si="6"/>
        <v>4335.320370127431</v>
      </c>
      <c r="I77" s="145">
        <f>J28+I56</f>
        <v>7548.660874270939</v>
      </c>
      <c r="J77" s="157">
        <f>I28+J56</f>
        <v>7869.460078577799</v>
      </c>
      <c r="L77" s="148"/>
      <c r="M77" s="148"/>
      <c r="N77" s="148"/>
    </row>
    <row r="78" spans="1:10" ht="12.75">
      <c r="A78" s="166" t="s">
        <v>223</v>
      </c>
      <c r="B78" s="150">
        <f t="shared" si="6"/>
        <v>5986.789015169212</v>
      </c>
      <c r="C78" s="150">
        <f t="shared" si="6"/>
        <v>6188.698786149009</v>
      </c>
      <c r="D78" s="150">
        <f t="shared" si="6"/>
        <v>10318.610618041923</v>
      </c>
      <c r="E78" s="150">
        <f t="shared" si="6"/>
        <v>10531.385192326718</v>
      </c>
      <c r="F78" s="150">
        <f t="shared" si="6"/>
        <v>12149.153017997334</v>
      </c>
      <c r="G78" s="150">
        <f t="shared" si="6"/>
        <v>7759.399841993567</v>
      </c>
      <c r="H78" s="150">
        <f t="shared" si="6"/>
        <v>6680.8740831539635</v>
      </c>
      <c r="I78" s="150">
        <f>J29+I57</f>
        <v>11223.339830662786</v>
      </c>
      <c r="J78" s="151">
        <f>I29+J57</f>
        <v>12114.884045310937</v>
      </c>
    </row>
    <row r="79" spans="1:10" ht="12.75">
      <c r="A79" s="166" t="s">
        <v>224</v>
      </c>
      <c r="B79" s="150">
        <f t="shared" si="6"/>
        <v>3808.072323080121</v>
      </c>
      <c r="C79" s="150">
        <f t="shared" si="6"/>
        <v>3902.8565246984517</v>
      </c>
      <c r="D79" s="150">
        <f t="shared" si="6"/>
        <v>6813.761327768847</v>
      </c>
      <c r="E79" s="150">
        <f t="shared" si="6"/>
        <v>6955.174772954114</v>
      </c>
      <c r="F79" s="150">
        <f t="shared" si="6"/>
        <v>8050.256649405506</v>
      </c>
      <c r="G79" s="150">
        <f t="shared" si="6"/>
        <v>5008.02969080387</v>
      </c>
      <c r="H79" s="150">
        <f t="shared" si="6"/>
        <v>4252.69733932188</v>
      </c>
      <c r="I79" s="150">
        <f>J30+I58</f>
        <v>7467.531845880818</v>
      </c>
      <c r="J79" s="151">
        <f>I30+J58</f>
        <v>8036.361988506579</v>
      </c>
    </row>
    <row r="80" spans="1:10" ht="13.5" thickBot="1">
      <c r="A80" s="129" t="s">
        <v>236</v>
      </c>
      <c r="B80" s="168">
        <f aca="true" t="shared" si="7" ref="B80:J80">B79/2300</f>
        <v>1.6556836187304873</v>
      </c>
      <c r="C80" s="168">
        <f t="shared" si="7"/>
        <v>1.69689414117324</v>
      </c>
      <c r="D80" s="168">
        <f t="shared" si="7"/>
        <v>2.96250492511689</v>
      </c>
      <c r="E80" s="168">
        <f t="shared" si="7"/>
        <v>3.02398903171918</v>
      </c>
      <c r="F80" s="168">
        <f t="shared" si="7"/>
        <v>3.500111586698046</v>
      </c>
      <c r="G80" s="168">
        <f t="shared" si="7"/>
        <v>2.177404213392987</v>
      </c>
      <c r="H80" s="168">
        <f t="shared" si="7"/>
        <v>1.8489988431834259</v>
      </c>
      <c r="I80" s="168">
        <f t="shared" si="7"/>
        <v>3.246752976469921</v>
      </c>
      <c r="J80" s="169">
        <f t="shared" si="7"/>
        <v>3.4940704297854692</v>
      </c>
    </row>
    <row r="81" spans="1:8" ht="13.5" thickBot="1">
      <c r="A81" s="105" t="s">
        <v>238</v>
      </c>
      <c r="B81" s="153"/>
      <c r="C81" s="153"/>
      <c r="D81" s="153"/>
      <c r="E81" s="153"/>
      <c r="F81" s="153"/>
      <c r="G81" s="153"/>
      <c r="H81" s="103"/>
    </row>
    <row r="82" spans="1:14" ht="13.5" thickBot="1">
      <c r="A82" s="503" t="s">
        <v>234</v>
      </c>
      <c r="B82" s="504"/>
      <c r="C82" s="164">
        <f>B104</f>
        <v>8.4</v>
      </c>
      <c r="D82" s="503" t="s">
        <v>235</v>
      </c>
      <c r="E82" s="504"/>
      <c r="F82" s="143">
        <f>B106</f>
        <v>8.450000000000001</v>
      </c>
      <c r="G82" s="153"/>
      <c r="H82" s="103"/>
      <c r="K82" s="103"/>
      <c r="L82" s="103"/>
      <c r="M82" s="103"/>
      <c r="N82" s="103"/>
    </row>
    <row r="83" spans="1:14" ht="13.5" thickBot="1">
      <c r="A83" s="170" t="s">
        <v>209</v>
      </c>
      <c r="B83" s="171" t="s">
        <v>188</v>
      </c>
      <c r="C83" s="171" t="s">
        <v>189</v>
      </c>
      <c r="D83" s="171" t="s">
        <v>190</v>
      </c>
      <c r="E83" s="171" t="s">
        <v>191</v>
      </c>
      <c r="F83" s="171" t="s">
        <v>192</v>
      </c>
      <c r="G83" s="172" t="s">
        <v>193</v>
      </c>
      <c r="H83" s="161" t="s">
        <v>196</v>
      </c>
      <c r="I83" s="161" t="s">
        <v>197</v>
      </c>
      <c r="J83" s="161" t="s">
        <v>198</v>
      </c>
      <c r="L83" s="148"/>
      <c r="M83" s="148"/>
      <c r="N83" s="148"/>
    </row>
    <row r="84" spans="1:14" ht="12.75">
      <c r="A84" s="165" t="s">
        <v>222</v>
      </c>
      <c r="B84" s="145">
        <f aca="true" t="shared" si="8" ref="B84:J84">B70-B77</f>
        <v>2697.1139386969776</v>
      </c>
      <c r="C84" s="145">
        <f t="shared" si="8"/>
        <v>2745.7569018088657</v>
      </c>
      <c r="D84" s="145">
        <f t="shared" si="8"/>
        <v>4599.947839706784</v>
      </c>
      <c r="E84" s="145">
        <f t="shared" si="8"/>
        <v>4833.561306219619</v>
      </c>
      <c r="F84" s="145">
        <f t="shared" si="8"/>
        <v>5374.9891455294</v>
      </c>
      <c r="G84" s="145">
        <f t="shared" si="8"/>
        <v>3480.415305242487</v>
      </c>
      <c r="H84" s="145">
        <f t="shared" si="8"/>
        <v>3025.53187385455</v>
      </c>
      <c r="I84" s="145">
        <f t="shared" si="8"/>
        <v>5060.670958115282</v>
      </c>
      <c r="J84" s="157">
        <f t="shared" si="8"/>
        <v>5376.947574368415</v>
      </c>
      <c r="L84" s="148"/>
      <c r="M84" s="148"/>
      <c r="N84" s="148"/>
    </row>
    <row r="85" spans="1:10" ht="12.75">
      <c r="A85" s="166" t="s">
        <v>223</v>
      </c>
      <c r="B85" s="150">
        <f aca="true" t="shared" si="9" ref="B85:J85">B71-B78</f>
        <v>4020.3981159029317</v>
      </c>
      <c r="C85" s="150">
        <f t="shared" si="9"/>
        <v>4219.070729892426</v>
      </c>
      <c r="D85" s="150">
        <f t="shared" si="9"/>
        <v>6781.311286874046</v>
      </c>
      <c r="E85" s="150">
        <f t="shared" si="9"/>
        <v>7063.094048894352</v>
      </c>
      <c r="F85" s="150">
        <f t="shared" si="9"/>
        <v>8122.277159220768</v>
      </c>
      <c r="G85" s="150">
        <f t="shared" si="9"/>
        <v>5221.928419343209</v>
      </c>
      <c r="H85" s="150">
        <f t="shared" si="9"/>
        <v>4558.411299704581</v>
      </c>
      <c r="I85" s="150">
        <f t="shared" si="9"/>
        <v>7377.799398217041</v>
      </c>
      <c r="J85" s="151">
        <f t="shared" si="9"/>
        <v>8115.393038778548</v>
      </c>
    </row>
    <row r="86" spans="1:10" ht="12.75">
      <c r="A86" s="166" t="s">
        <v>224</v>
      </c>
      <c r="B86" s="150">
        <f aca="true" t="shared" si="10" ref="B86:J86">B72-B79</f>
        <v>2498.1651560244622</v>
      </c>
      <c r="C86" s="150">
        <f t="shared" si="10"/>
        <v>2608.421188228429</v>
      </c>
      <c r="D86" s="150">
        <f t="shared" si="10"/>
        <v>4365.129814029224</v>
      </c>
      <c r="E86" s="150">
        <f t="shared" si="10"/>
        <v>4565.189771241557</v>
      </c>
      <c r="F86" s="150">
        <f t="shared" si="10"/>
        <v>5278.447672990014</v>
      </c>
      <c r="G86" s="150">
        <f t="shared" si="10"/>
        <v>3297.6529037064274</v>
      </c>
      <c r="H86" s="150">
        <f t="shared" si="10"/>
        <v>2843.0102599897855</v>
      </c>
      <c r="I86" s="150">
        <f t="shared" si="10"/>
        <v>4792.110435937295</v>
      </c>
      <c r="J86" s="151">
        <f t="shared" si="10"/>
        <v>5278.231191071881</v>
      </c>
    </row>
    <row r="87" spans="1:10" ht="13.5" thickBot="1">
      <c r="A87" s="129" t="s">
        <v>236</v>
      </c>
      <c r="B87" s="168">
        <f aca="true" t="shared" si="11" ref="B87:J87">B86/2300</f>
        <v>1.0861587634888967</v>
      </c>
      <c r="C87" s="168">
        <f t="shared" si="11"/>
        <v>1.134096168794969</v>
      </c>
      <c r="D87" s="168">
        <f t="shared" si="11"/>
        <v>1.897882527838793</v>
      </c>
      <c r="E87" s="168">
        <f t="shared" si="11"/>
        <v>1.9848651179311116</v>
      </c>
      <c r="F87" s="168">
        <f t="shared" si="11"/>
        <v>2.2949772491260934</v>
      </c>
      <c r="G87" s="168">
        <f t="shared" si="11"/>
        <v>1.4337621320462728</v>
      </c>
      <c r="H87" s="168">
        <f t="shared" si="11"/>
        <v>1.2360914173868633</v>
      </c>
      <c r="I87" s="168">
        <f t="shared" si="11"/>
        <v>2.083526276494476</v>
      </c>
      <c r="J87" s="169">
        <f t="shared" si="11"/>
        <v>2.2948831265529916</v>
      </c>
    </row>
    <row r="88" ht="12.75">
      <c r="G88" s="103"/>
    </row>
    <row r="89" spans="1:16" s="174" customFormat="1" ht="12.75">
      <c r="A89" s="173" t="s">
        <v>118</v>
      </c>
      <c r="B89" s="497" t="s">
        <v>188</v>
      </c>
      <c r="C89" s="498"/>
      <c r="D89" s="499"/>
      <c r="E89" s="497" t="s">
        <v>189</v>
      </c>
      <c r="F89" s="498"/>
      <c r="G89" s="499"/>
      <c r="H89" s="497" t="s">
        <v>190</v>
      </c>
      <c r="I89" s="498"/>
      <c r="J89" s="499"/>
      <c r="K89" s="497" t="s">
        <v>191</v>
      </c>
      <c r="L89" s="498"/>
      <c r="M89" s="499"/>
      <c r="N89" s="497" t="s">
        <v>192</v>
      </c>
      <c r="O89" s="498"/>
      <c r="P89" s="499"/>
    </row>
    <row r="90" spans="1:16" s="174" customFormat="1" ht="12.75">
      <c r="A90" s="175" t="s">
        <v>209</v>
      </c>
      <c r="B90" s="175" t="s">
        <v>239</v>
      </c>
      <c r="C90" s="175" t="s">
        <v>240</v>
      </c>
      <c r="D90" s="175" t="s">
        <v>241</v>
      </c>
      <c r="E90" s="175" t="s">
        <v>239</v>
      </c>
      <c r="F90" s="175" t="s">
        <v>240</v>
      </c>
      <c r="G90" s="175" t="s">
        <v>241</v>
      </c>
      <c r="H90" s="175" t="s">
        <v>239</v>
      </c>
      <c r="I90" s="175" t="s">
        <v>240</v>
      </c>
      <c r="J90" s="175" t="s">
        <v>241</v>
      </c>
      <c r="K90" s="175" t="s">
        <v>239</v>
      </c>
      <c r="L90" s="175" t="s">
        <v>240</v>
      </c>
      <c r="M90" s="175" t="s">
        <v>241</v>
      </c>
      <c r="N90" s="175" t="s">
        <v>239</v>
      </c>
      <c r="O90" s="175" t="s">
        <v>240</v>
      </c>
      <c r="P90" s="175" t="s">
        <v>241</v>
      </c>
    </row>
    <row r="91" spans="1:16" ht="12.75">
      <c r="A91" s="176"/>
      <c r="B91" s="176"/>
      <c r="C91" s="176"/>
      <c r="D91" s="176"/>
      <c r="E91" s="176"/>
      <c r="F91" s="176"/>
      <c r="G91" s="176"/>
      <c r="H91" s="176"/>
      <c r="I91" s="176"/>
      <c r="J91" s="176"/>
      <c r="K91" s="176"/>
      <c r="L91" s="176"/>
      <c r="M91" s="176"/>
      <c r="N91" s="176"/>
      <c r="O91" s="176"/>
      <c r="P91" s="176"/>
    </row>
    <row r="92" spans="1:16" ht="12.75">
      <c r="A92" s="176" t="s">
        <v>242</v>
      </c>
      <c r="B92" s="176"/>
      <c r="C92" s="176"/>
      <c r="D92" s="176"/>
      <c r="E92" s="176"/>
      <c r="F92" s="176"/>
      <c r="G92" s="176"/>
      <c r="H92" s="176"/>
      <c r="I92" s="176"/>
      <c r="J92" s="176"/>
      <c r="K92" s="176"/>
      <c r="L92" s="177"/>
      <c r="M92" s="177"/>
      <c r="N92" s="177"/>
      <c r="O92" s="176"/>
      <c r="P92" s="176"/>
    </row>
    <row r="93" spans="1:16" ht="12.75">
      <c r="A93" s="178" t="s">
        <v>243</v>
      </c>
      <c r="B93" s="150">
        <f>'[2]Cost-Effectiveness Level'!$T$25</f>
        <v>6676.048753208302</v>
      </c>
      <c r="C93" s="150">
        <f>'[3]Cost-Effectiveness'!$B$42</f>
        <v>10735.024896363098</v>
      </c>
      <c r="D93" s="150">
        <f>'[3]Cost-Effectiveness'!$D$42</f>
        <v>7116.937794016425</v>
      </c>
      <c r="E93" s="150">
        <f>'[2]Cost-Effectiveness Level'!$T$26</f>
        <v>7399.634044799308</v>
      </c>
      <c r="F93" s="150">
        <f>'[3]Cost-Effectiveness'!$B$43</f>
        <v>12289.735283911758</v>
      </c>
      <c r="G93" s="150">
        <f>'[3]Cost-Effectiveness'!$D$43</f>
        <v>8167.86430206662</v>
      </c>
      <c r="H93" s="150">
        <f>'[2]Cost-Effectiveness Level'!$T$27</f>
        <v>9490.853108686319</v>
      </c>
      <c r="I93" s="150">
        <f>'[3]Cost-Effectiveness'!$B$44</f>
        <v>15298.060170790783</v>
      </c>
      <c r="J93" s="150">
        <f>'[3]Cost-Effectiveness'!$D$44</f>
        <v>10438.97447861429</v>
      </c>
      <c r="K93" s="150">
        <f>'[2]Cost-Effectiveness Level'!$T$28</f>
        <v>11133.953801740427</v>
      </c>
      <c r="L93" s="150">
        <f>'[3]Cost-Effectiveness'!$B$45</f>
        <v>17661.74401048133</v>
      </c>
      <c r="M93" s="150">
        <f>'[3]Cost-Effectiveness'!$D$45</f>
        <v>12223.418188758948</v>
      </c>
      <c r="N93" s="150">
        <f>'[2]Cost-Effectiveness Level'!$T$29</f>
        <v>12714.3828501494</v>
      </c>
      <c r="O93" s="150">
        <f>'[3]Cost-Effectiveness'!$B$46</f>
        <v>20838.435557151035</v>
      </c>
      <c r="P93" s="150">
        <f>'[3]Cost-Effectiveness'!$D$46</f>
        <v>14553.22073348928</v>
      </c>
    </row>
    <row r="94" spans="1:16" ht="12.75">
      <c r="A94" s="178" t="s">
        <v>244</v>
      </c>
      <c r="B94" s="150">
        <f>'[2]Cost-Effectiveness Level'!$CK$7</f>
        <v>1052.6088383925746</v>
      </c>
      <c r="C94" s="150">
        <f>'[3]Cost-Effectiveness'!$AF$109</f>
        <v>1814.8178595539273</v>
      </c>
      <c r="D94" s="150">
        <f>'[3]Cost-Effectiveness'!$AF$117</f>
        <v>1344.8736501619906</v>
      </c>
      <c r="E94" s="150">
        <f>'[2]Cost-Effectiveness Level'!$CL$7</f>
        <v>499.56799256143074</v>
      </c>
      <c r="F94" s="150">
        <f>'[3]Cost-Effectiveness'!$AG$109</f>
        <v>916.0839630190364</v>
      </c>
      <c r="G94" s="150">
        <f>'[3]Cost-Effectiveness'!$AG$117</f>
        <v>661.9287532975859</v>
      </c>
      <c r="H94" s="150">
        <f>'[2]Cost-Effectiveness Level'!$CM$7</f>
        <v>2895.7258307997</v>
      </c>
      <c r="I94" s="150">
        <f>'[3]Cost-Effectiveness'!$AH$109</f>
        <v>4485.383667062</v>
      </c>
      <c r="J94" s="150">
        <f>'[3]Cost-Effectiveness'!$AH$117</f>
        <v>3444.723808704605</v>
      </c>
      <c r="K94" s="150">
        <f>'[2]Cost-Effectiveness Level'!$CN$7</f>
        <v>1717.9158287329228</v>
      </c>
      <c r="L94" s="150">
        <f>'[3]Cost-Effectiveness'!$AI$109</f>
        <v>2739.907458964782</v>
      </c>
      <c r="M94" s="150">
        <f>'[3]Cost-Effectiveness'!$AI$117</f>
        <v>2079.987959474042</v>
      </c>
      <c r="N94" s="150">
        <f>'[2]Cost-Effectiveness Level'!$CO$7</f>
        <v>1537.3994687672894</v>
      </c>
      <c r="O94" s="150">
        <f>'[3]Cost-Effectiveness'!$AJ$109</f>
        <v>2556.3855621422003</v>
      </c>
      <c r="P94" s="150">
        <f>'[3]Cost-Effectiveness'!$AJ$117</f>
        <v>1901.9390386076884</v>
      </c>
    </row>
    <row r="95" spans="1:16" s="93" customFormat="1" ht="12.75">
      <c r="A95" s="179" t="s">
        <v>245</v>
      </c>
      <c r="B95" s="177"/>
      <c r="C95" s="177"/>
      <c r="D95" s="177"/>
      <c r="E95" s="177"/>
      <c r="F95" s="177"/>
      <c r="G95" s="177"/>
      <c r="H95" s="177"/>
      <c r="I95" s="177"/>
      <c r="J95" s="177"/>
      <c r="K95" s="177"/>
      <c r="L95" s="177"/>
      <c r="M95" s="177"/>
      <c r="N95" s="177"/>
      <c r="O95" s="177"/>
      <c r="P95" s="177"/>
    </row>
    <row r="96" spans="1:16" ht="12.75">
      <c r="A96" s="180" t="s">
        <v>246</v>
      </c>
      <c r="B96" s="176"/>
      <c r="C96" s="176"/>
      <c r="D96" s="176"/>
      <c r="E96" s="176"/>
      <c r="F96" s="176"/>
      <c r="G96" s="176"/>
      <c r="H96" s="176"/>
      <c r="I96" s="176"/>
      <c r="J96" s="176"/>
      <c r="K96" s="176"/>
      <c r="L96" s="176"/>
      <c r="M96" s="176"/>
      <c r="N96" s="176"/>
      <c r="O96" s="176"/>
      <c r="P96" s="176"/>
    </row>
    <row r="97" spans="1:16" ht="12.75">
      <c r="A97" s="178" t="s">
        <v>247</v>
      </c>
      <c r="B97" s="183">
        <f>B131</f>
        <v>5.59125</v>
      </c>
      <c r="C97" s="183">
        <f aca="true" t="shared" si="12" ref="C97:P97">C131</f>
        <v>5.59125</v>
      </c>
      <c r="D97" s="183">
        <f t="shared" si="12"/>
        <v>5.59125</v>
      </c>
      <c r="E97" s="183">
        <f t="shared" si="12"/>
        <v>5.538</v>
      </c>
      <c r="F97" s="183">
        <f t="shared" si="12"/>
        <v>5.538</v>
      </c>
      <c r="G97" s="183">
        <f t="shared" si="12"/>
        <v>5.538</v>
      </c>
      <c r="H97" s="183">
        <f t="shared" si="12"/>
        <v>4.952249999999999</v>
      </c>
      <c r="I97" s="183">
        <f t="shared" si="12"/>
        <v>4.952249999999999</v>
      </c>
      <c r="J97" s="183">
        <f t="shared" si="12"/>
        <v>4.952249999999999</v>
      </c>
      <c r="K97" s="183">
        <f t="shared" si="12"/>
        <v>4.952249999999999</v>
      </c>
      <c r="L97" s="183">
        <f t="shared" si="12"/>
        <v>4.952249999999999</v>
      </c>
      <c r="M97" s="183">
        <f t="shared" si="12"/>
        <v>4.952249999999999</v>
      </c>
      <c r="N97" s="183">
        <f t="shared" si="12"/>
        <v>4.739249999999999</v>
      </c>
      <c r="O97" s="183">
        <f t="shared" si="12"/>
        <v>4.739249999999999</v>
      </c>
      <c r="P97" s="183">
        <f t="shared" si="12"/>
        <v>4.739249999999999</v>
      </c>
    </row>
    <row r="98" spans="1:16" ht="12.75">
      <c r="A98" s="178" t="s">
        <v>248</v>
      </c>
      <c r="B98" s="181">
        <f aca="true" t="shared" si="13" ref="B98:P98">B97/3.413</f>
        <v>1.638221506006446</v>
      </c>
      <c r="C98" s="181">
        <f t="shared" si="13"/>
        <v>1.638221506006446</v>
      </c>
      <c r="D98" s="181">
        <f t="shared" si="13"/>
        <v>1.638221506006446</v>
      </c>
      <c r="E98" s="181">
        <f t="shared" si="13"/>
        <v>1.6226193964254323</v>
      </c>
      <c r="F98" s="181">
        <f t="shared" si="13"/>
        <v>1.6226193964254323</v>
      </c>
      <c r="G98" s="181">
        <f t="shared" si="13"/>
        <v>1.6226193964254323</v>
      </c>
      <c r="H98" s="181">
        <f t="shared" si="13"/>
        <v>1.4509961910342806</v>
      </c>
      <c r="I98" s="181">
        <f t="shared" si="13"/>
        <v>1.4509961910342806</v>
      </c>
      <c r="J98" s="181">
        <f t="shared" si="13"/>
        <v>1.4509961910342806</v>
      </c>
      <c r="K98" s="181">
        <f t="shared" si="13"/>
        <v>1.4509961910342806</v>
      </c>
      <c r="L98" s="181">
        <f t="shared" si="13"/>
        <v>1.4509961910342806</v>
      </c>
      <c r="M98" s="181">
        <f t="shared" si="13"/>
        <v>1.4509961910342806</v>
      </c>
      <c r="N98" s="181">
        <f t="shared" si="13"/>
        <v>1.3885877527102255</v>
      </c>
      <c r="O98" s="181">
        <f t="shared" si="13"/>
        <v>1.3885877527102255</v>
      </c>
      <c r="P98" s="181">
        <f t="shared" si="13"/>
        <v>1.3885877527102255</v>
      </c>
    </row>
    <row r="99" spans="1:16" ht="12.75">
      <c r="A99" s="178" t="s">
        <v>249</v>
      </c>
      <c r="B99" s="183">
        <f>B132</f>
        <v>6.4350000000000005</v>
      </c>
      <c r="C99" s="183">
        <f aca="true" t="shared" si="14" ref="C99:P99">C132</f>
        <v>6.4350000000000005</v>
      </c>
      <c r="D99" s="183">
        <f t="shared" si="14"/>
        <v>6.4350000000000005</v>
      </c>
      <c r="E99" s="183">
        <f t="shared" si="14"/>
        <v>6.4350000000000005</v>
      </c>
      <c r="F99" s="183">
        <f t="shared" si="14"/>
        <v>6.4350000000000005</v>
      </c>
      <c r="G99" s="183">
        <f t="shared" si="14"/>
        <v>6.4350000000000005</v>
      </c>
      <c r="H99" s="183">
        <f t="shared" si="14"/>
        <v>6.4350000000000005</v>
      </c>
      <c r="I99" s="183">
        <f t="shared" si="14"/>
        <v>6.4350000000000005</v>
      </c>
      <c r="J99" s="183">
        <f t="shared" si="14"/>
        <v>6.4350000000000005</v>
      </c>
      <c r="K99" s="183">
        <f t="shared" si="14"/>
        <v>6.4350000000000005</v>
      </c>
      <c r="L99" s="183">
        <f t="shared" si="14"/>
        <v>6.4350000000000005</v>
      </c>
      <c r="M99" s="183">
        <f t="shared" si="14"/>
        <v>6.4350000000000005</v>
      </c>
      <c r="N99" s="183">
        <f t="shared" si="14"/>
        <v>6.4350000000000005</v>
      </c>
      <c r="O99" s="183">
        <f t="shared" si="14"/>
        <v>6.4350000000000005</v>
      </c>
      <c r="P99" s="183">
        <f t="shared" si="14"/>
        <v>6.4350000000000005</v>
      </c>
    </row>
    <row r="100" spans="1:16" ht="12.75">
      <c r="A100" s="178" t="s">
        <v>250</v>
      </c>
      <c r="B100" s="182">
        <f>B155</f>
        <v>0.7</v>
      </c>
      <c r="C100" s="182">
        <f>C155</f>
        <v>0.751</v>
      </c>
      <c r="D100" s="182">
        <f>D155</f>
        <v>0.802</v>
      </c>
      <c r="E100" s="182">
        <f>B156</f>
        <v>0.7218204488778054</v>
      </c>
      <c r="F100" s="182">
        <f>C156</f>
        <v>0.7744102244389026</v>
      </c>
      <c r="G100" s="182">
        <f>D156</f>
        <v>0.827</v>
      </c>
      <c r="H100" s="182">
        <f>B157</f>
        <v>0.7043640897755611</v>
      </c>
      <c r="I100" s="182">
        <f>C157</f>
        <v>0.7556820448877806</v>
      </c>
      <c r="J100" s="182">
        <f>D157</f>
        <v>0.807</v>
      </c>
      <c r="K100" s="182">
        <f>B158</f>
        <v>0.7218204488778054</v>
      </c>
      <c r="L100" s="182">
        <f>C158</f>
        <v>0.7744102244389026</v>
      </c>
      <c r="M100" s="182">
        <f>D158</f>
        <v>0.827</v>
      </c>
      <c r="N100" s="182">
        <f>B159</f>
        <v>0.7523690773067331</v>
      </c>
      <c r="O100" s="182">
        <f>C159</f>
        <v>0.8071845386533665</v>
      </c>
      <c r="P100" s="182">
        <f>D159</f>
        <v>0.862</v>
      </c>
    </row>
    <row r="101" spans="1:16" ht="12.75">
      <c r="A101" s="178" t="s">
        <v>251</v>
      </c>
      <c r="B101" s="178"/>
      <c r="C101" s="176"/>
      <c r="D101" s="176"/>
      <c r="E101" s="176"/>
      <c r="F101" s="176"/>
      <c r="G101" s="176"/>
      <c r="H101" s="176"/>
      <c r="I101" s="176"/>
      <c r="J101" s="176"/>
      <c r="K101" s="176"/>
      <c r="L101" s="176"/>
      <c r="M101" s="176"/>
      <c r="N101" s="176"/>
      <c r="O101" s="176"/>
      <c r="P101" s="176"/>
    </row>
    <row r="102" spans="1:16" ht="12.75">
      <c r="A102" s="178"/>
      <c r="B102" s="178"/>
      <c r="C102" s="176"/>
      <c r="D102" s="176"/>
      <c r="E102" s="176"/>
      <c r="F102" s="176"/>
      <c r="G102" s="176"/>
      <c r="H102" s="176"/>
      <c r="I102" s="176"/>
      <c r="J102" s="176"/>
      <c r="K102" s="176"/>
      <c r="L102" s="176"/>
      <c r="M102" s="176"/>
      <c r="N102" s="176"/>
      <c r="O102" s="176"/>
      <c r="P102" s="176"/>
    </row>
    <row r="103" spans="1:16" ht="12.75">
      <c r="A103" s="180" t="s">
        <v>252</v>
      </c>
      <c r="B103" s="178"/>
      <c r="C103" s="176"/>
      <c r="D103" s="176"/>
      <c r="E103" s="176"/>
      <c r="F103" s="176"/>
      <c r="G103" s="176"/>
      <c r="H103" s="176"/>
      <c r="I103" s="176"/>
      <c r="J103" s="176"/>
      <c r="K103" s="176"/>
      <c r="L103" s="176"/>
      <c r="M103" s="176"/>
      <c r="N103" s="176"/>
      <c r="O103" s="176"/>
      <c r="P103" s="176"/>
    </row>
    <row r="104" spans="1:16" ht="12.75">
      <c r="A104" s="178" t="s">
        <v>247</v>
      </c>
      <c r="B104" s="183">
        <f>B140</f>
        <v>8.4</v>
      </c>
      <c r="C104" s="183">
        <f aca="true" t="shared" si="15" ref="C104:P104">C140</f>
        <v>8.4</v>
      </c>
      <c r="D104" s="183">
        <f t="shared" si="15"/>
        <v>8.4</v>
      </c>
      <c r="E104" s="183">
        <f t="shared" si="15"/>
        <v>8.32</v>
      </c>
      <c r="F104" s="183">
        <f t="shared" si="15"/>
        <v>8.32</v>
      </c>
      <c r="G104" s="183">
        <f t="shared" si="15"/>
        <v>8.32</v>
      </c>
      <c r="H104" s="183">
        <f t="shared" si="15"/>
        <v>7.44</v>
      </c>
      <c r="I104" s="183">
        <f t="shared" si="15"/>
        <v>7.44</v>
      </c>
      <c r="J104" s="183">
        <f t="shared" si="15"/>
        <v>7.44</v>
      </c>
      <c r="K104" s="183">
        <f t="shared" si="15"/>
        <v>7.44</v>
      </c>
      <c r="L104" s="183">
        <f t="shared" si="15"/>
        <v>7.44</v>
      </c>
      <c r="M104" s="183">
        <f t="shared" si="15"/>
        <v>7.44</v>
      </c>
      <c r="N104" s="183">
        <f t="shared" si="15"/>
        <v>7.12</v>
      </c>
      <c r="O104" s="183">
        <f t="shared" si="15"/>
        <v>7.12</v>
      </c>
      <c r="P104" s="183">
        <f t="shared" si="15"/>
        <v>7.12</v>
      </c>
    </row>
    <row r="105" spans="1:16" ht="12.75">
      <c r="A105" s="178" t="s">
        <v>248</v>
      </c>
      <c r="B105" s="181">
        <f aca="true" t="shared" si="16" ref="B105:P105">B104/3.413</f>
        <v>2.4611778493993555</v>
      </c>
      <c r="C105" s="181">
        <f t="shared" si="16"/>
        <v>2.4611778493993555</v>
      </c>
      <c r="D105" s="181">
        <f t="shared" si="16"/>
        <v>2.4611778493993555</v>
      </c>
      <c r="E105" s="181">
        <f t="shared" si="16"/>
        <v>2.437738060357457</v>
      </c>
      <c r="F105" s="181">
        <f t="shared" si="16"/>
        <v>2.437738060357457</v>
      </c>
      <c r="G105" s="181">
        <f t="shared" si="16"/>
        <v>2.437738060357457</v>
      </c>
      <c r="H105" s="181">
        <f t="shared" si="16"/>
        <v>2.179900380896572</v>
      </c>
      <c r="I105" s="181">
        <f t="shared" si="16"/>
        <v>2.179900380896572</v>
      </c>
      <c r="J105" s="181">
        <f t="shared" si="16"/>
        <v>2.179900380896572</v>
      </c>
      <c r="K105" s="181">
        <f t="shared" si="16"/>
        <v>2.179900380896572</v>
      </c>
      <c r="L105" s="181">
        <f t="shared" si="16"/>
        <v>2.179900380896572</v>
      </c>
      <c r="M105" s="181">
        <f t="shared" si="16"/>
        <v>2.179900380896572</v>
      </c>
      <c r="N105" s="181">
        <f t="shared" si="16"/>
        <v>2.0861412247289777</v>
      </c>
      <c r="O105" s="181">
        <f t="shared" si="16"/>
        <v>2.0861412247289777</v>
      </c>
      <c r="P105" s="181">
        <f t="shared" si="16"/>
        <v>2.0861412247289777</v>
      </c>
    </row>
    <row r="106" spans="1:16" ht="12.75">
      <c r="A106" s="178" t="s">
        <v>249</v>
      </c>
      <c r="B106" s="183">
        <f>B141</f>
        <v>8.450000000000001</v>
      </c>
      <c r="C106" s="183">
        <f aca="true" t="shared" si="17" ref="C106:P106">C141</f>
        <v>8.450000000000001</v>
      </c>
      <c r="D106" s="183">
        <f t="shared" si="17"/>
        <v>8.450000000000001</v>
      </c>
      <c r="E106" s="183">
        <f t="shared" si="17"/>
        <v>8.450000000000001</v>
      </c>
      <c r="F106" s="183">
        <f t="shared" si="17"/>
        <v>8.450000000000001</v>
      </c>
      <c r="G106" s="183">
        <f t="shared" si="17"/>
        <v>8.450000000000001</v>
      </c>
      <c r="H106" s="183">
        <f t="shared" si="17"/>
        <v>8.450000000000001</v>
      </c>
      <c r="I106" s="183">
        <f t="shared" si="17"/>
        <v>8.450000000000001</v>
      </c>
      <c r="J106" s="183">
        <f t="shared" si="17"/>
        <v>8.450000000000001</v>
      </c>
      <c r="K106" s="183">
        <f t="shared" si="17"/>
        <v>8.450000000000001</v>
      </c>
      <c r="L106" s="183">
        <f t="shared" si="17"/>
        <v>8.450000000000001</v>
      </c>
      <c r="M106" s="183">
        <f t="shared" si="17"/>
        <v>8.450000000000001</v>
      </c>
      <c r="N106" s="183">
        <f t="shared" si="17"/>
        <v>8.450000000000001</v>
      </c>
      <c r="O106" s="183">
        <f t="shared" si="17"/>
        <v>8.450000000000001</v>
      </c>
      <c r="P106" s="183">
        <f t="shared" si="17"/>
        <v>8.450000000000001</v>
      </c>
    </row>
    <row r="107" spans="1:16" ht="12.75">
      <c r="A107" s="178" t="s">
        <v>250</v>
      </c>
      <c r="B107" s="182">
        <f>B163</f>
        <v>0.7999999999999999</v>
      </c>
      <c r="C107" s="182">
        <f>C163</f>
        <v>0.851</v>
      </c>
      <c r="D107" s="182">
        <f>D163</f>
        <v>0.902</v>
      </c>
      <c r="E107" s="182">
        <f>B164</f>
        <v>0.8218204488778054</v>
      </c>
      <c r="F107" s="182">
        <f>C164</f>
        <v>0.8744102244389026</v>
      </c>
      <c r="G107" s="182">
        <f>D164</f>
        <v>0.9269999999999999</v>
      </c>
      <c r="H107" s="182">
        <f>B165</f>
        <v>0.8043640897755611</v>
      </c>
      <c r="I107" s="182">
        <f>C165</f>
        <v>0.8556820448877805</v>
      </c>
      <c r="J107" s="182">
        <f>D165</f>
        <v>0.907</v>
      </c>
      <c r="K107" s="182">
        <f>B166</f>
        <v>0.8218204488778054</v>
      </c>
      <c r="L107" s="182">
        <f>C166</f>
        <v>0.8744102244389026</v>
      </c>
      <c r="M107" s="182">
        <f>D166</f>
        <v>0.9269999999999999</v>
      </c>
      <c r="N107" s="182">
        <f>B167</f>
        <v>0.8523690773067331</v>
      </c>
      <c r="O107" s="182">
        <f>C167</f>
        <v>0.9071845386533665</v>
      </c>
      <c r="P107" s="182">
        <f>D167</f>
        <v>0.962</v>
      </c>
    </row>
    <row r="108" spans="1:16" ht="12.75">
      <c r="A108" s="178"/>
      <c r="B108" s="178"/>
      <c r="C108" s="176"/>
      <c r="D108" s="176"/>
      <c r="E108" s="176"/>
      <c r="F108" s="176"/>
      <c r="G108" s="176"/>
      <c r="H108" s="176"/>
      <c r="I108" s="176"/>
      <c r="J108" s="176"/>
      <c r="K108" s="176"/>
      <c r="L108" s="176"/>
      <c r="M108" s="176"/>
      <c r="N108" s="176"/>
      <c r="O108" s="176"/>
      <c r="P108" s="176"/>
    </row>
    <row r="109" spans="1:16" ht="12.75">
      <c r="A109" s="178"/>
      <c r="B109" s="178"/>
      <c r="C109" s="176"/>
      <c r="D109" s="176"/>
      <c r="E109" s="176"/>
      <c r="F109" s="176"/>
      <c r="G109" s="176"/>
      <c r="H109" s="176"/>
      <c r="I109" s="176"/>
      <c r="J109" s="176"/>
      <c r="K109" s="176"/>
      <c r="L109" s="176"/>
      <c r="M109" s="176"/>
      <c r="N109" s="176"/>
      <c r="O109" s="176"/>
      <c r="P109" s="176"/>
    </row>
    <row r="110" spans="1:16" ht="12.75">
      <c r="A110" s="180" t="s">
        <v>253</v>
      </c>
      <c r="B110" s="176"/>
      <c r="C110" s="176"/>
      <c r="D110" s="176"/>
      <c r="E110" s="176"/>
      <c r="F110" s="176"/>
      <c r="G110" s="176"/>
      <c r="H110" s="176"/>
      <c r="I110" s="176"/>
      <c r="J110" s="176"/>
      <c r="K110" s="176"/>
      <c r="L110" s="176"/>
      <c r="M110" s="176"/>
      <c r="N110" s="176"/>
      <c r="O110" s="176"/>
      <c r="P110" s="176"/>
    </row>
    <row r="111" spans="1:16" ht="12.75">
      <c r="A111" s="178" t="s">
        <v>254</v>
      </c>
      <c r="B111" s="184">
        <f aca="true" t="shared" si="18" ref="B111:P111">B93/B98/B100</f>
        <v>5821.686792424371</v>
      </c>
      <c r="C111" s="184">
        <f t="shared" si="18"/>
        <v>8725.503480129126</v>
      </c>
      <c r="D111" s="184">
        <f t="shared" si="18"/>
        <v>5416.8421314204</v>
      </c>
      <c r="E111" s="184">
        <f t="shared" si="18"/>
        <v>6317.778527397863</v>
      </c>
      <c r="F111" s="184">
        <f t="shared" si="18"/>
        <v>9780.35878970689</v>
      </c>
      <c r="G111" s="184">
        <f t="shared" si="18"/>
        <v>6086.7622889438335</v>
      </c>
      <c r="H111" s="184">
        <f t="shared" si="18"/>
        <v>9286.279969916284</v>
      </c>
      <c r="I111" s="184">
        <f t="shared" si="18"/>
        <v>13951.823995923809</v>
      </c>
      <c r="J111" s="184">
        <f t="shared" si="18"/>
        <v>8914.931873371008</v>
      </c>
      <c r="K111" s="184">
        <f t="shared" si="18"/>
        <v>10630.506595866758</v>
      </c>
      <c r="L111" s="184">
        <f t="shared" si="18"/>
        <v>15717.962024116581</v>
      </c>
      <c r="M111" s="184">
        <f t="shared" si="18"/>
        <v>10186.403802806351</v>
      </c>
      <c r="N111" s="184">
        <f t="shared" si="18"/>
        <v>12170.012282873025</v>
      </c>
      <c r="O111" s="184">
        <f t="shared" si="18"/>
        <v>18591.693293449585</v>
      </c>
      <c r="P111" s="184">
        <f t="shared" si="18"/>
        <v>12158.458595671194</v>
      </c>
    </row>
    <row r="112" spans="1:16" ht="12.75">
      <c r="A112" s="178" t="s">
        <v>255</v>
      </c>
      <c r="B112" s="185">
        <f aca="true" t="shared" si="19" ref="B112:P112">B94/(B99/3.413)/B100</f>
        <v>797.5477778740941</v>
      </c>
      <c r="C112" s="185">
        <f t="shared" si="19"/>
        <v>1281.6836509430168</v>
      </c>
      <c r="D112" s="185">
        <f t="shared" si="19"/>
        <v>889.3953476841837</v>
      </c>
      <c r="E112" s="185">
        <f t="shared" si="19"/>
        <v>367.0736083765636</v>
      </c>
      <c r="F112" s="185">
        <f t="shared" si="19"/>
        <v>627.4107263345458</v>
      </c>
      <c r="G112" s="185">
        <f t="shared" si="19"/>
        <v>424.515423983047</v>
      </c>
      <c r="H112" s="185">
        <f t="shared" si="19"/>
        <v>2180.459230412033</v>
      </c>
      <c r="I112" s="185">
        <f t="shared" si="19"/>
        <v>3148.0979089921607</v>
      </c>
      <c r="J112" s="185">
        <f t="shared" si="19"/>
        <v>2263.9592684270624</v>
      </c>
      <c r="K112" s="185">
        <f t="shared" si="19"/>
        <v>1262.2937648725863</v>
      </c>
      <c r="L112" s="185">
        <f t="shared" si="19"/>
        <v>1876.5172171044885</v>
      </c>
      <c r="M112" s="185">
        <f t="shared" si="19"/>
        <v>1333.9607413893195</v>
      </c>
      <c r="N112" s="185">
        <f t="shared" si="19"/>
        <v>1083.7859738343668</v>
      </c>
      <c r="O112" s="185">
        <f t="shared" si="19"/>
        <v>1679.7368837685171</v>
      </c>
      <c r="P112" s="185">
        <f t="shared" si="19"/>
        <v>1170.245726724327</v>
      </c>
    </row>
    <row r="113" spans="1:16" ht="12.75">
      <c r="A113" s="178" t="s">
        <v>256</v>
      </c>
      <c r="B113" s="186">
        <f aca="true" t="shared" si="20" ref="B113:P113">B111/1600</f>
        <v>3.6385542452652317</v>
      </c>
      <c r="C113" s="186">
        <f t="shared" si="20"/>
        <v>5.453439675080704</v>
      </c>
      <c r="D113" s="186">
        <f t="shared" si="20"/>
        <v>3.38552633213775</v>
      </c>
      <c r="E113" s="186">
        <f t="shared" si="20"/>
        <v>3.9486115796236647</v>
      </c>
      <c r="F113" s="186">
        <f t="shared" si="20"/>
        <v>6.112724243566806</v>
      </c>
      <c r="G113" s="186">
        <f t="shared" si="20"/>
        <v>3.804226430589896</v>
      </c>
      <c r="H113" s="186">
        <f t="shared" si="20"/>
        <v>5.803924981197678</v>
      </c>
      <c r="I113" s="186">
        <f t="shared" si="20"/>
        <v>8.71988999745238</v>
      </c>
      <c r="J113" s="186">
        <f t="shared" si="20"/>
        <v>5.57183242085688</v>
      </c>
      <c r="K113" s="186">
        <f t="shared" si="20"/>
        <v>6.644066622416724</v>
      </c>
      <c r="L113" s="186">
        <f t="shared" si="20"/>
        <v>9.823726265072864</v>
      </c>
      <c r="M113" s="186">
        <f t="shared" si="20"/>
        <v>6.36650237675397</v>
      </c>
      <c r="N113" s="186">
        <f t="shared" si="20"/>
        <v>7.606257676795641</v>
      </c>
      <c r="O113" s="186">
        <f t="shared" si="20"/>
        <v>11.619808308405991</v>
      </c>
      <c r="P113" s="186">
        <f t="shared" si="20"/>
        <v>7.599036622294497</v>
      </c>
    </row>
    <row r="114" spans="1:16" ht="12.75">
      <c r="A114" s="178" t="s">
        <v>257</v>
      </c>
      <c r="B114" s="186">
        <f aca="true" t="shared" si="21" ref="B114:P114">B112/1600</f>
        <v>0.4984673611713088</v>
      </c>
      <c r="C114" s="186">
        <f t="shared" si="21"/>
        <v>0.8010522818393855</v>
      </c>
      <c r="D114" s="186">
        <f t="shared" si="21"/>
        <v>0.5558720923026148</v>
      </c>
      <c r="E114" s="186">
        <f t="shared" si="21"/>
        <v>0.22942100523535225</v>
      </c>
      <c r="F114" s="186">
        <f t="shared" si="21"/>
        <v>0.3921317039590911</v>
      </c>
      <c r="G114" s="186">
        <f t="shared" si="21"/>
        <v>0.2653221399894044</v>
      </c>
      <c r="H114" s="186">
        <f t="shared" si="21"/>
        <v>1.3627870190075206</v>
      </c>
      <c r="I114" s="186">
        <f t="shared" si="21"/>
        <v>1.9675611931201005</v>
      </c>
      <c r="J114" s="186">
        <f t="shared" si="21"/>
        <v>1.414974542766914</v>
      </c>
      <c r="K114" s="186">
        <f t="shared" si="21"/>
        <v>0.7889336030453664</v>
      </c>
      <c r="L114" s="186">
        <f t="shared" si="21"/>
        <v>1.1728232606903053</v>
      </c>
      <c r="M114" s="186">
        <f t="shared" si="21"/>
        <v>0.8337254633683248</v>
      </c>
      <c r="N114" s="186">
        <f t="shared" si="21"/>
        <v>0.6773662336464793</v>
      </c>
      <c r="O114" s="186">
        <f t="shared" si="21"/>
        <v>1.049835552355323</v>
      </c>
      <c r="P114" s="186">
        <f t="shared" si="21"/>
        <v>0.7314035792027043</v>
      </c>
    </row>
    <row r="115" spans="1:16" ht="12.75">
      <c r="A115" s="178" t="s">
        <v>258</v>
      </c>
      <c r="B115" s="185">
        <f aca="true" t="shared" si="22" ref="B115:P115">B111+B112</f>
        <v>6619.234570298465</v>
      </c>
      <c r="C115" s="185">
        <f t="shared" si="22"/>
        <v>10007.187131072144</v>
      </c>
      <c r="D115" s="185">
        <f t="shared" si="22"/>
        <v>6306.237479104583</v>
      </c>
      <c r="E115" s="185">
        <f t="shared" si="22"/>
        <v>6684.852135774427</v>
      </c>
      <c r="F115" s="185">
        <f t="shared" si="22"/>
        <v>10407.769516041435</v>
      </c>
      <c r="G115" s="185">
        <f t="shared" si="22"/>
        <v>6511.277712926881</v>
      </c>
      <c r="H115" s="185">
        <f t="shared" si="22"/>
        <v>11466.739200328317</v>
      </c>
      <c r="I115" s="185">
        <f t="shared" si="22"/>
        <v>17099.92190491597</v>
      </c>
      <c r="J115" s="185">
        <f t="shared" si="22"/>
        <v>11178.89114179807</v>
      </c>
      <c r="K115" s="185">
        <f t="shared" si="22"/>
        <v>11892.800360739344</v>
      </c>
      <c r="L115" s="185">
        <f t="shared" si="22"/>
        <v>17594.47924122107</v>
      </c>
      <c r="M115" s="185">
        <f t="shared" si="22"/>
        <v>11520.36454419567</v>
      </c>
      <c r="N115" s="185">
        <f t="shared" si="22"/>
        <v>13253.798256707392</v>
      </c>
      <c r="O115" s="185">
        <f t="shared" si="22"/>
        <v>20271.430177218102</v>
      </c>
      <c r="P115" s="185">
        <f t="shared" si="22"/>
        <v>13328.70432239552</v>
      </c>
    </row>
    <row r="116" spans="1:16" ht="12.75">
      <c r="A116" s="178" t="s">
        <v>259</v>
      </c>
      <c r="B116" s="186">
        <f aca="true" t="shared" si="23" ref="B116:P116">B113+B114</f>
        <v>4.137021606436541</v>
      </c>
      <c r="C116" s="186">
        <f t="shared" si="23"/>
        <v>6.25449195692009</v>
      </c>
      <c r="D116" s="186">
        <f t="shared" si="23"/>
        <v>3.9413984244403646</v>
      </c>
      <c r="E116" s="186">
        <f t="shared" si="23"/>
        <v>4.178032584859017</v>
      </c>
      <c r="F116" s="186">
        <f t="shared" si="23"/>
        <v>6.504855947525897</v>
      </c>
      <c r="G116" s="186">
        <f t="shared" si="23"/>
        <v>4.0695485705793</v>
      </c>
      <c r="H116" s="186">
        <f t="shared" si="23"/>
        <v>7.166712000205199</v>
      </c>
      <c r="I116" s="186">
        <f t="shared" si="23"/>
        <v>10.687451190572482</v>
      </c>
      <c r="J116" s="186">
        <f t="shared" si="23"/>
        <v>6.986806963623794</v>
      </c>
      <c r="K116" s="186">
        <f t="shared" si="23"/>
        <v>7.433000225462091</v>
      </c>
      <c r="L116" s="186">
        <f t="shared" si="23"/>
        <v>10.99654952576317</v>
      </c>
      <c r="M116" s="186">
        <f t="shared" si="23"/>
        <v>7.200227840122294</v>
      </c>
      <c r="N116" s="186">
        <f t="shared" si="23"/>
        <v>8.28362391044212</v>
      </c>
      <c r="O116" s="186">
        <f t="shared" si="23"/>
        <v>12.669643860761315</v>
      </c>
      <c r="P116" s="186">
        <f t="shared" si="23"/>
        <v>8.3304402014972</v>
      </c>
    </row>
    <row r="117" spans="1:16" ht="12.75">
      <c r="A117" s="187"/>
      <c r="B117" s="188"/>
      <c r="C117" s="188"/>
      <c r="D117" s="153"/>
      <c r="E117" s="153"/>
      <c r="F117" s="153"/>
      <c r="G117" s="153"/>
      <c r="H117" s="153"/>
      <c r="I117" s="153"/>
      <c r="J117" s="153"/>
      <c r="K117" s="153"/>
      <c r="L117" s="153"/>
      <c r="M117" s="153"/>
      <c r="N117" s="189"/>
      <c r="O117" s="153"/>
      <c r="P117" s="153"/>
    </row>
    <row r="118" spans="1:16" ht="12.75">
      <c r="A118" s="180" t="s">
        <v>260</v>
      </c>
      <c r="B118" s="176"/>
      <c r="C118" s="176"/>
      <c r="D118" s="176"/>
      <c r="E118" s="176"/>
      <c r="F118" s="176"/>
      <c r="G118" s="176"/>
      <c r="H118" s="176"/>
      <c r="I118" s="176"/>
      <c r="J118" s="176"/>
      <c r="K118" s="176"/>
      <c r="L118" s="176"/>
      <c r="M118" s="176"/>
      <c r="N118" s="176"/>
      <c r="O118" s="176"/>
      <c r="P118" s="176"/>
    </row>
    <row r="119" spans="1:16" ht="12.75">
      <c r="A119" s="178" t="s">
        <v>254</v>
      </c>
      <c r="B119" s="184">
        <f aca="true" t="shared" si="24" ref="B119:P119">B93/B105/B107</f>
        <v>3390.677737306538</v>
      </c>
      <c r="C119" s="184">
        <f t="shared" si="24"/>
        <v>5125.432260546032</v>
      </c>
      <c r="D119" s="184">
        <f t="shared" si="24"/>
        <v>3205.8532218057835</v>
      </c>
      <c r="E119" s="184">
        <f t="shared" si="24"/>
        <v>3693.569373794581</v>
      </c>
      <c r="F119" s="184">
        <f t="shared" si="24"/>
        <v>5765.543634395758</v>
      </c>
      <c r="G119" s="184">
        <f t="shared" si="24"/>
        <v>3614.446008494286</v>
      </c>
      <c r="H119" s="184">
        <f t="shared" si="24"/>
        <v>5412.724602853315</v>
      </c>
      <c r="I119" s="184">
        <f t="shared" si="24"/>
        <v>8201.386865821532</v>
      </c>
      <c r="J119" s="184">
        <f t="shared" si="24"/>
        <v>5279.756596766868</v>
      </c>
      <c r="K119" s="184">
        <f t="shared" si="24"/>
        <v>6214.924030676147</v>
      </c>
      <c r="L119" s="184">
        <f t="shared" si="24"/>
        <v>9265.774174787255</v>
      </c>
      <c r="M119" s="184">
        <f t="shared" si="24"/>
        <v>6048.898382780952</v>
      </c>
      <c r="N119" s="184">
        <f t="shared" si="24"/>
        <v>7150.293906553673</v>
      </c>
      <c r="O119" s="184">
        <f t="shared" si="24"/>
        <v>11010.974732937988</v>
      </c>
      <c r="P119" s="184">
        <f t="shared" si="24"/>
        <v>7251.708513892947</v>
      </c>
    </row>
    <row r="120" spans="1:16" ht="12.75">
      <c r="A120" s="178" t="s">
        <v>255</v>
      </c>
      <c r="B120" s="185">
        <f aca="true" t="shared" si="25" ref="B120:P120">B94/(B106/3.413)/B107</f>
        <v>531.4428942949493</v>
      </c>
      <c r="C120" s="185">
        <f t="shared" si="25"/>
        <v>861.3567546231795</v>
      </c>
      <c r="D120" s="185">
        <f t="shared" si="25"/>
        <v>602.2191012743375</v>
      </c>
      <c r="E120" s="185">
        <f t="shared" si="25"/>
        <v>245.52586017097994</v>
      </c>
      <c r="F120" s="185">
        <f t="shared" si="25"/>
        <v>423.1551517532509</v>
      </c>
      <c r="G120" s="185">
        <f t="shared" si="25"/>
        <v>288.4105162041657</v>
      </c>
      <c r="H120" s="185">
        <f t="shared" si="25"/>
        <v>1454.066757768217</v>
      </c>
      <c r="I120" s="185">
        <f t="shared" si="25"/>
        <v>2117.223752220391</v>
      </c>
      <c r="J120" s="185">
        <f t="shared" si="25"/>
        <v>1534.0047310019786</v>
      </c>
      <c r="K120" s="185">
        <f t="shared" si="25"/>
        <v>844.3150238435778</v>
      </c>
      <c r="L120" s="185">
        <f t="shared" si="25"/>
        <v>1265.6110175394629</v>
      </c>
      <c r="M120" s="185">
        <f t="shared" si="25"/>
        <v>906.2763901731621</v>
      </c>
      <c r="N120" s="185">
        <f t="shared" si="25"/>
        <v>728.5152046243196</v>
      </c>
      <c r="O120" s="185">
        <f t="shared" si="25"/>
        <v>1138.1782850593472</v>
      </c>
      <c r="P120" s="185">
        <f t="shared" si="25"/>
        <v>798.5481355125589</v>
      </c>
    </row>
    <row r="121" spans="1:16" ht="12.75">
      <c r="A121" s="178" t="s">
        <v>256</v>
      </c>
      <c r="B121" s="186">
        <f aca="true" t="shared" si="26" ref="B121:P121">B119/1600</f>
        <v>2.1191735858165863</v>
      </c>
      <c r="C121" s="186">
        <f t="shared" si="26"/>
        <v>3.20339516284127</v>
      </c>
      <c r="D121" s="186">
        <f t="shared" si="26"/>
        <v>2.0036582636286147</v>
      </c>
      <c r="E121" s="186">
        <f t="shared" si="26"/>
        <v>2.3084808586216132</v>
      </c>
      <c r="F121" s="186">
        <f t="shared" si="26"/>
        <v>3.603464771497349</v>
      </c>
      <c r="G121" s="186">
        <f t="shared" si="26"/>
        <v>2.259028755308929</v>
      </c>
      <c r="H121" s="186">
        <f t="shared" si="26"/>
        <v>3.3829528767833223</v>
      </c>
      <c r="I121" s="186">
        <f t="shared" si="26"/>
        <v>5.125866791138458</v>
      </c>
      <c r="J121" s="186">
        <f t="shared" si="26"/>
        <v>3.2998478729792926</v>
      </c>
      <c r="K121" s="186">
        <f t="shared" si="26"/>
        <v>3.884327519172592</v>
      </c>
      <c r="L121" s="186">
        <f t="shared" si="26"/>
        <v>5.791108859242034</v>
      </c>
      <c r="M121" s="186">
        <f t="shared" si="26"/>
        <v>3.7805614892380945</v>
      </c>
      <c r="N121" s="186">
        <f t="shared" si="26"/>
        <v>4.468933691596046</v>
      </c>
      <c r="O121" s="186">
        <f t="shared" si="26"/>
        <v>6.881859208086243</v>
      </c>
      <c r="P121" s="186">
        <f t="shared" si="26"/>
        <v>4.532317821183092</v>
      </c>
    </row>
    <row r="122" spans="1:16" ht="12.75">
      <c r="A122" s="178" t="s">
        <v>257</v>
      </c>
      <c r="B122" s="186">
        <f aca="true" t="shared" si="27" ref="B122:P122">B120/1600</f>
        <v>0.3321518089343433</v>
      </c>
      <c r="C122" s="186">
        <f t="shared" si="27"/>
        <v>0.5383479716394872</v>
      </c>
      <c r="D122" s="186">
        <f t="shared" si="27"/>
        <v>0.3763869382964609</v>
      </c>
      <c r="E122" s="186">
        <f t="shared" si="27"/>
        <v>0.15345366260686247</v>
      </c>
      <c r="F122" s="186">
        <f t="shared" si="27"/>
        <v>0.2644719698457818</v>
      </c>
      <c r="G122" s="186">
        <f t="shared" si="27"/>
        <v>0.18025657262760356</v>
      </c>
      <c r="H122" s="186">
        <f t="shared" si="27"/>
        <v>0.9087917236051356</v>
      </c>
      <c r="I122" s="186">
        <f t="shared" si="27"/>
        <v>1.3232648451377442</v>
      </c>
      <c r="J122" s="186">
        <f t="shared" si="27"/>
        <v>0.9587529568762366</v>
      </c>
      <c r="K122" s="186">
        <f t="shared" si="27"/>
        <v>0.5276968899022362</v>
      </c>
      <c r="L122" s="186">
        <f t="shared" si="27"/>
        <v>0.7910068859621643</v>
      </c>
      <c r="M122" s="186">
        <f t="shared" si="27"/>
        <v>0.5664227438582263</v>
      </c>
      <c r="N122" s="186">
        <f t="shared" si="27"/>
        <v>0.45532200289019975</v>
      </c>
      <c r="O122" s="186">
        <f t="shared" si="27"/>
        <v>0.711361428162092</v>
      </c>
      <c r="P122" s="186">
        <f t="shared" si="27"/>
        <v>0.49909258469534934</v>
      </c>
    </row>
    <row r="123" spans="1:16" ht="12.75">
      <c r="A123" s="178" t="s">
        <v>258</v>
      </c>
      <c r="B123" s="185">
        <f aca="true" t="shared" si="28" ref="B123:P123">B119+B120</f>
        <v>3922.1206316014873</v>
      </c>
      <c r="C123" s="185">
        <f t="shared" si="28"/>
        <v>5986.789015169212</v>
      </c>
      <c r="D123" s="185">
        <f t="shared" si="28"/>
        <v>3808.072323080121</v>
      </c>
      <c r="E123" s="185">
        <f t="shared" si="28"/>
        <v>3939.095233965561</v>
      </c>
      <c r="F123" s="185">
        <f t="shared" si="28"/>
        <v>6188.698786149009</v>
      </c>
      <c r="G123" s="185">
        <f t="shared" si="28"/>
        <v>3902.8565246984517</v>
      </c>
      <c r="H123" s="185">
        <f t="shared" si="28"/>
        <v>6866.7913606215325</v>
      </c>
      <c r="I123" s="185">
        <f t="shared" si="28"/>
        <v>10318.610618041923</v>
      </c>
      <c r="J123" s="185">
        <f t="shared" si="28"/>
        <v>6813.761327768847</v>
      </c>
      <c r="K123" s="185">
        <f t="shared" si="28"/>
        <v>7059.239054519725</v>
      </c>
      <c r="L123" s="185">
        <f t="shared" si="28"/>
        <v>10531.385192326718</v>
      </c>
      <c r="M123" s="185">
        <f t="shared" si="28"/>
        <v>6955.174772954114</v>
      </c>
      <c r="N123" s="185">
        <f t="shared" si="28"/>
        <v>7878.809111177992</v>
      </c>
      <c r="O123" s="185">
        <f t="shared" si="28"/>
        <v>12149.153017997334</v>
      </c>
      <c r="P123" s="185">
        <f t="shared" si="28"/>
        <v>8050.256649405506</v>
      </c>
    </row>
    <row r="124" spans="1:16" ht="12.75">
      <c r="A124" s="178" t="s">
        <v>259</v>
      </c>
      <c r="B124" s="186">
        <f aca="true" t="shared" si="29" ref="B124:P124">B121+B122</f>
        <v>2.4513253947509295</v>
      </c>
      <c r="C124" s="186">
        <f t="shared" si="29"/>
        <v>3.741743134480757</v>
      </c>
      <c r="D124" s="186">
        <f t="shared" si="29"/>
        <v>2.3800452019250757</v>
      </c>
      <c r="E124" s="186">
        <f t="shared" si="29"/>
        <v>2.461934521228476</v>
      </c>
      <c r="F124" s="186">
        <f t="shared" si="29"/>
        <v>3.8679367413431307</v>
      </c>
      <c r="G124" s="186">
        <f t="shared" si="29"/>
        <v>2.4392853279365325</v>
      </c>
      <c r="H124" s="186">
        <f t="shared" si="29"/>
        <v>4.291744600388458</v>
      </c>
      <c r="I124" s="186">
        <f t="shared" si="29"/>
        <v>6.449131636276203</v>
      </c>
      <c r="J124" s="186">
        <f t="shared" si="29"/>
        <v>4.25860082985553</v>
      </c>
      <c r="K124" s="186">
        <f t="shared" si="29"/>
        <v>4.412024409074828</v>
      </c>
      <c r="L124" s="186">
        <f t="shared" si="29"/>
        <v>6.582115745204199</v>
      </c>
      <c r="M124" s="186">
        <f t="shared" si="29"/>
        <v>4.346984233096321</v>
      </c>
      <c r="N124" s="186">
        <f t="shared" si="29"/>
        <v>4.924255694486246</v>
      </c>
      <c r="O124" s="186">
        <f t="shared" si="29"/>
        <v>7.5932206362483345</v>
      </c>
      <c r="P124" s="186">
        <f t="shared" si="29"/>
        <v>5.031410405878441</v>
      </c>
    </row>
    <row r="125" spans="1:57" ht="12.75">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row>
    <row r="126" spans="1:57" ht="13.5" thickBo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c r="BC126" s="187"/>
      <c r="BD126" s="187"/>
      <c r="BE126" s="187"/>
    </row>
    <row r="127" spans="1:57" ht="13.5" thickBot="1">
      <c r="A127" s="187" t="s">
        <v>477</v>
      </c>
      <c r="B127" s="506" t="s">
        <v>188</v>
      </c>
      <c r="C127" s="491"/>
      <c r="D127" s="492"/>
      <c r="E127" s="490" t="s">
        <v>189</v>
      </c>
      <c r="F127" s="491"/>
      <c r="G127" s="492"/>
      <c r="H127" s="490" t="s">
        <v>190</v>
      </c>
      <c r="I127" s="491"/>
      <c r="J127" s="492"/>
      <c r="K127" s="490" t="s">
        <v>191</v>
      </c>
      <c r="L127" s="491"/>
      <c r="M127" s="492"/>
      <c r="N127" s="490" t="s">
        <v>192</v>
      </c>
      <c r="O127" s="491"/>
      <c r="P127" s="493"/>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87"/>
    </row>
    <row r="128" spans="1:57" ht="13.5" thickBot="1">
      <c r="A128" s="337" t="s">
        <v>467</v>
      </c>
      <c r="B128" s="474" t="s">
        <v>239</v>
      </c>
      <c r="C128" s="475" t="s">
        <v>240</v>
      </c>
      <c r="D128" s="475" t="s">
        <v>241</v>
      </c>
      <c r="E128" s="338" t="s">
        <v>239</v>
      </c>
      <c r="F128" s="338" t="s">
        <v>240</v>
      </c>
      <c r="G128" s="338" t="s">
        <v>241</v>
      </c>
      <c r="H128" s="338" t="s">
        <v>239</v>
      </c>
      <c r="I128" s="338" t="s">
        <v>240</v>
      </c>
      <c r="J128" s="338" t="s">
        <v>241</v>
      </c>
      <c r="K128" s="338" t="s">
        <v>239</v>
      </c>
      <c r="L128" s="338" t="s">
        <v>240</v>
      </c>
      <c r="M128" s="338" t="s">
        <v>241</v>
      </c>
      <c r="N128" s="338" t="s">
        <v>239</v>
      </c>
      <c r="O128" s="338" t="s">
        <v>240</v>
      </c>
      <c r="P128" s="339" t="s">
        <v>241</v>
      </c>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row>
    <row r="129" spans="1:57" ht="12.75">
      <c r="A129" s="340" t="s">
        <v>261</v>
      </c>
      <c r="B129" s="341">
        <v>7.1</v>
      </c>
      <c r="C129" s="342">
        <f>B129</f>
        <v>7.1</v>
      </c>
      <c r="D129" s="191">
        <f aca="true" t="shared" si="30" ref="D129:O130">C129</f>
        <v>7.1</v>
      </c>
      <c r="E129" s="341">
        <f t="shared" si="30"/>
        <v>7.1</v>
      </c>
      <c r="F129" s="342">
        <f t="shared" si="30"/>
        <v>7.1</v>
      </c>
      <c r="G129" s="191">
        <f t="shared" si="30"/>
        <v>7.1</v>
      </c>
      <c r="H129" s="341">
        <f t="shared" si="30"/>
        <v>7.1</v>
      </c>
      <c r="I129" s="342">
        <f t="shared" si="30"/>
        <v>7.1</v>
      </c>
      <c r="J129" s="191">
        <f t="shared" si="30"/>
        <v>7.1</v>
      </c>
      <c r="K129" s="341">
        <f t="shared" si="30"/>
        <v>7.1</v>
      </c>
      <c r="L129" s="342">
        <f t="shared" si="30"/>
        <v>7.1</v>
      </c>
      <c r="M129" s="191">
        <f t="shared" si="30"/>
        <v>7.1</v>
      </c>
      <c r="N129" s="341">
        <f t="shared" si="30"/>
        <v>7.1</v>
      </c>
      <c r="O129" s="342">
        <f t="shared" si="30"/>
        <v>7.1</v>
      </c>
      <c r="P129" s="191">
        <f>O129</f>
        <v>7.1</v>
      </c>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c r="BE129" s="187"/>
    </row>
    <row r="130" spans="1:57" ht="12.75">
      <c r="A130" s="343" t="s">
        <v>262</v>
      </c>
      <c r="B130" s="344">
        <v>11</v>
      </c>
      <c r="C130" s="183">
        <f>B130</f>
        <v>11</v>
      </c>
      <c r="D130" s="193">
        <f t="shared" si="30"/>
        <v>11</v>
      </c>
      <c r="E130" s="344">
        <f t="shared" si="30"/>
        <v>11</v>
      </c>
      <c r="F130" s="183">
        <f t="shared" si="30"/>
        <v>11</v>
      </c>
      <c r="G130" s="193">
        <f t="shared" si="30"/>
        <v>11</v>
      </c>
      <c r="H130" s="344">
        <f t="shared" si="30"/>
        <v>11</v>
      </c>
      <c r="I130" s="183">
        <f t="shared" si="30"/>
        <v>11</v>
      </c>
      <c r="J130" s="193">
        <f t="shared" si="30"/>
        <v>11</v>
      </c>
      <c r="K130" s="344">
        <f t="shared" si="30"/>
        <v>11</v>
      </c>
      <c r="L130" s="183">
        <f t="shared" si="30"/>
        <v>11</v>
      </c>
      <c r="M130" s="193">
        <f t="shared" si="30"/>
        <v>11</v>
      </c>
      <c r="N130" s="344">
        <f t="shared" si="30"/>
        <v>11</v>
      </c>
      <c r="O130" s="183">
        <f t="shared" si="30"/>
        <v>11</v>
      </c>
      <c r="P130" s="193">
        <f>O130</f>
        <v>11</v>
      </c>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7"/>
      <c r="AY130" s="187"/>
      <c r="AZ130" s="187"/>
      <c r="BA130" s="187"/>
      <c r="BB130" s="187"/>
      <c r="BC130" s="187"/>
      <c r="BD130" s="187"/>
      <c r="BE130" s="187"/>
    </row>
    <row r="131" spans="1:57" ht="12.75">
      <c r="A131" s="345" t="s">
        <v>468</v>
      </c>
      <c r="B131" s="346">
        <f>(B129*B133)</f>
        <v>5.59125</v>
      </c>
      <c r="C131" s="374">
        <f aca="true" t="shared" si="31" ref="C131:P131">(C129*C133)</f>
        <v>5.59125</v>
      </c>
      <c r="D131" s="381">
        <f t="shared" si="31"/>
        <v>5.59125</v>
      </c>
      <c r="E131" s="346">
        <f t="shared" si="31"/>
        <v>5.538</v>
      </c>
      <c r="F131" s="374">
        <f t="shared" si="31"/>
        <v>5.538</v>
      </c>
      <c r="G131" s="381">
        <f t="shared" si="31"/>
        <v>5.538</v>
      </c>
      <c r="H131" s="346">
        <f t="shared" si="31"/>
        <v>4.952249999999999</v>
      </c>
      <c r="I131" s="374">
        <f t="shared" si="31"/>
        <v>4.952249999999999</v>
      </c>
      <c r="J131" s="381">
        <f t="shared" si="31"/>
        <v>4.952249999999999</v>
      </c>
      <c r="K131" s="346">
        <f t="shared" si="31"/>
        <v>4.952249999999999</v>
      </c>
      <c r="L131" s="374">
        <f t="shared" si="31"/>
        <v>4.952249999999999</v>
      </c>
      <c r="M131" s="381">
        <f t="shared" si="31"/>
        <v>4.952249999999999</v>
      </c>
      <c r="N131" s="346">
        <f t="shared" si="31"/>
        <v>4.739249999999999</v>
      </c>
      <c r="O131" s="374">
        <f t="shared" si="31"/>
        <v>4.739249999999999</v>
      </c>
      <c r="P131" s="381">
        <f t="shared" si="31"/>
        <v>4.739249999999999</v>
      </c>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7"/>
      <c r="AY131" s="187"/>
      <c r="AZ131" s="187"/>
      <c r="BA131" s="187"/>
      <c r="BB131" s="187"/>
      <c r="BC131" s="187"/>
      <c r="BD131" s="187"/>
      <c r="BE131" s="187"/>
    </row>
    <row r="132" spans="1:57" ht="12.75">
      <c r="A132" s="343" t="s">
        <v>469</v>
      </c>
      <c r="B132" s="346">
        <f>(B130*B135)</f>
        <v>6.4350000000000005</v>
      </c>
      <c r="C132" s="374">
        <f aca="true" t="shared" si="32" ref="C132:P132">(C130*C135)</f>
        <v>6.4350000000000005</v>
      </c>
      <c r="D132" s="381">
        <f t="shared" si="32"/>
        <v>6.4350000000000005</v>
      </c>
      <c r="E132" s="346">
        <f t="shared" si="32"/>
        <v>6.4350000000000005</v>
      </c>
      <c r="F132" s="374">
        <f t="shared" si="32"/>
        <v>6.4350000000000005</v>
      </c>
      <c r="G132" s="381">
        <f t="shared" si="32"/>
        <v>6.4350000000000005</v>
      </c>
      <c r="H132" s="346">
        <f t="shared" si="32"/>
        <v>6.4350000000000005</v>
      </c>
      <c r="I132" s="374">
        <f t="shared" si="32"/>
        <v>6.4350000000000005</v>
      </c>
      <c r="J132" s="381">
        <f t="shared" si="32"/>
        <v>6.4350000000000005</v>
      </c>
      <c r="K132" s="346">
        <f t="shared" si="32"/>
        <v>6.4350000000000005</v>
      </c>
      <c r="L132" s="374">
        <f t="shared" si="32"/>
        <v>6.4350000000000005</v>
      </c>
      <c r="M132" s="381">
        <f t="shared" si="32"/>
        <v>6.4350000000000005</v>
      </c>
      <c r="N132" s="346">
        <f t="shared" si="32"/>
        <v>6.4350000000000005</v>
      </c>
      <c r="O132" s="374">
        <f t="shared" si="32"/>
        <v>6.4350000000000005</v>
      </c>
      <c r="P132" s="381">
        <f t="shared" si="32"/>
        <v>6.4350000000000005</v>
      </c>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c r="BD132" s="187"/>
      <c r="BE132" s="187"/>
    </row>
    <row r="133" spans="1:57" ht="12.75">
      <c r="A133" s="347" t="s">
        <v>470</v>
      </c>
      <c r="B133" s="348">
        <v>0.7875</v>
      </c>
      <c r="C133" s="349">
        <f aca="true" t="shared" si="33" ref="C133:D136">B133</f>
        <v>0.7875</v>
      </c>
      <c r="D133" s="350">
        <f t="shared" si="33"/>
        <v>0.7875</v>
      </c>
      <c r="E133" s="348">
        <v>0.78</v>
      </c>
      <c r="F133" s="349">
        <f aca="true" t="shared" si="34" ref="F133:G136">E133</f>
        <v>0.78</v>
      </c>
      <c r="G133" s="350">
        <f t="shared" si="34"/>
        <v>0.78</v>
      </c>
      <c r="H133" s="348">
        <v>0.6975</v>
      </c>
      <c r="I133" s="349">
        <f aca="true" t="shared" si="35" ref="I133:J136">H133</f>
        <v>0.6975</v>
      </c>
      <c r="J133" s="350">
        <f t="shared" si="35"/>
        <v>0.6975</v>
      </c>
      <c r="K133" s="348">
        <v>0.6975</v>
      </c>
      <c r="L133" s="349">
        <f aca="true" t="shared" si="36" ref="L133:M136">K133</f>
        <v>0.6975</v>
      </c>
      <c r="M133" s="350">
        <f t="shared" si="36"/>
        <v>0.6975</v>
      </c>
      <c r="N133" s="348">
        <v>0.6675</v>
      </c>
      <c r="O133" s="349">
        <f aca="true" t="shared" si="37" ref="O133:P136">N133</f>
        <v>0.6675</v>
      </c>
      <c r="P133" s="350">
        <f t="shared" si="37"/>
        <v>0.6675</v>
      </c>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c r="AS133" s="187"/>
      <c r="AT133" s="187"/>
      <c r="AU133" s="187"/>
      <c r="AV133" s="187"/>
      <c r="AW133" s="187"/>
      <c r="AX133" s="187"/>
      <c r="AY133" s="187"/>
      <c r="AZ133" s="187"/>
      <c r="BA133" s="187"/>
      <c r="BB133" s="187"/>
      <c r="BC133" s="187"/>
      <c r="BD133" s="187"/>
      <c r="BE133" s="187"/>
    </row>
    <row r="134" spans="1:57" ht="12.75">
      <c r="A134" s="347" t="s">
        <v>471</v>
      </c>
      <c r="B134" s="348">
        <v>1.05</v>
      </c>
      <c r="C134" s="349">
        <f t="shared" si="33"/>
        <v>1.05</v>
      </c>
      <c r="D134" s="350">
        <f t="shared" si="33"/>
        <v>1.05</v>
      </c>
      <c r="E134" s="348">
        <v>1.04</v>
      </c>
      <c r="F134" s="349">
        <f t="shared" si="34"/>
        <v>1.04</v>
      </c>
      <c r="G134" s="350">
        <f t="shared" si="34"/>
        <v>1.04</v>
      </c>
      <c r="H134" s="348">
        <v>0.93</v>
      </c>
      <c r="I134" s="349">
        <f t="shared" si="35"/>
        <v>0.93</v>
      </c>
      <c r="J134" s="350">
        <f t="shared" si="35"/>
        <v>0.93</v>
      </c>
      <c r="K134" s="348">
        <v>0.93</v>
      </c>
      <c r="L134" s="349">
        <f t="shared" si="36"/>
        <v>0.93</v>
      </c>
      <c r="M134" s="350">
        <f t="shared" si="36"/>
        <v>0.93</v>
      </c>
      <c r="N134" s="348">
        <v>0.89</v>
      </c>
      <c r="O134" s="349">
        <f t="shared" si="37"/>
        <v>0.89</v>
      </c>
      <c r="P134" s="350">
        <f t="shared" si="37"/>
        <v>0.89</v>
      </c>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c r="BD134" s="187"/>
      <c r="BE134" s="187"/>
    </row>
    <row r="135" spans="1:57" ht="12.75">
      <c r="A135" s="347" t="s">
        <v>472</v>
      </c>
      <c r="B135" s="351">
        <f>65%*0.9</f>
        <v>0.5850000000000001</v>
      </c>
      <c r="C135" s="352">
        <f t="shared" si="33"/>
        <v>0.5850000000000001</v>
      </c>
      <c r="D135" s="353">
        <f t="shared" si="33"/>
        <v>0.5850000000000001</v>
      </c>
      <c r="E135" s="351">
        <f>65%*0.9</f>
        <v>0.5850000000000001</v>
      </c>
      <c r="F135" s="352">
        <f t="shared" si="34"/>
        <v>0.5850000000000001</v>
      </c>
      <c r="G135" s="353">
        <f t="shared" si="34"/>
        <v>0.5850000000000001</v>
      </c>
      <c r="H135" s="351">
        <f>65%*0.9</f>
        <v>0.5850000000000001</v>
      </c>
      <c r="I135" s="352">
        <f t="shared" si="35"/>
        <v>0.5850000000000001</v>
      </c>
      <c r="J135" s="353">
        <f t="shared" si="35"/>
        <v>0.5850000000000001</v>
      </c>
      <c r="K135" s="351">
        <f>65%*0.9</f>
        <v>0.5850000000000001</v>
      </c>
      <c r="L135" s="352">
        <f t="shared" si="36"/>
        <v>0.5850000000000001</v>
      </c>
      <c r="M135" s="353">
        <f t="shared" si="36"/>
        <v>0.5850000000000001</v>
      </c>
      <c r="N135" s="351">
        <f>65%*0.9</f>
        <v>0.5850000000000001</v>
      </c>
      <c r="O135" s="352">
        <f t="shared" si="37"/>
        <v>0.5850000000000001</v>
      </c>
      <c r="P135" s="353">
        <f t="shared" si="37"/>
        <v>0.5850000000000001</v>
      </c>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c r="BC135" s="187"/>
      <c r="BD135" s="187"/>
      <c r="BE135" s="187"/>
    </row>
    <row r="136" spans="1:57" ht="13.5" thickBot="1">
      <c r="A136" s="354" t="s">
        <v>473</v>
      </c>
      <c r="B136" s="355">
        <v>0.65</v>
      </c>
      <c r="C136" s="356">
        <f t="shared" si="33"/>
        <v>0.65</v>
      </c>
      <c r="D136" s="357">
        <f t="shared" si="33"/>
        <v>0.65</v>
      </c>
      <c r="E136" s="355">
        <v>0.65</v>
      </c>
      <c r="F136" s="356">
        <f t="shared" si="34"/>
        <v>0.65</v>
      </c>
      <c r="G136" s="357">
        <f t="shared" si="34"/>
        <v>0.65</v>
      </c>
      <c r="H136" s="355">
        <v>0.65</v>
      </c>
      <c r="I136" s="356">
        <f t="shared" si="35"/>
        <v>0.65</v>
      </c>
      <c r="J136" s="357">
        <f t="shared" si="35"/>
        <v>0.65</v>
      </c>
      <c r="K136" s="355">
        <v>0.65</v>
      </c>
      <c r="L136" s="356">
        <f t="shared" si="36"/>
        <v>0.65</v>
      </c>
      <c r="M136" s="357">
        <f t="shared" si="36"/>
        <v>0.65</v>
      </c>
      <c r="N136" s="355">
        <v>0.65</v>
      </c>
      <c r="O136" s="356">
        <f t="shared" si="37"/>
        <v>0.65</v>
      </c>
      <c r="P136" s="357">
        <f t="shared" si="37"/>
        <v>0.65</v>
      </c>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c r="BC136" s="187"/>
      <c r="BD136" s="187"/>
      <c r="BE136" s="187"/>
    </row>
    <row r="137" spans="1:57" ht="13.5" thickBot="1">
      <c r="A137" s="337" t="s">
        <v>474</v>
      </c>
      <c r="B137" s="358"/>
      <c r="C137" s="359"/>
      <c r="D137" s="360"/>
      <c r="E137" s="380"/>
      <c r="F137" s="359"/>
      <c r="G137" s="360"/>
      <c r="H137" s="358"/>
      <c r="I137" s="359"/>
      <c r="J137" s="360"/>
      <c r="K137" s="358"/>
      <c r="L137" s="359"/>
      <c r="M137" s="360"/>
      <c r="N137" s="358"/>
      <c r="O137" s="359"/>
      <c r="P137" s="360"/>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7"/>
      <c r="AZ137" s="187"/>
      <c r="BA137" s="187"/>
      <c r="BB137" s="187"/>
      <c r="BC137" s="187"/>
      <c r="BD137" s="187"/>
      <c r="BE137" s="187"/>
    </row>
    <row r="138" spans="1:57" ht="12.75">
      <c r="A138" s="190" t="s">
        <v>261</v>
      </c>
      <c r="B138" s="341">
        <v>8</v>
      </c>
      <c r="C138" s="342">
        <v>8</v>
      </c>
      <c r="D138" s="191">
        <v>8</v>
      </c>
      <c r="E138" s="375">
        <v>8</v>
      </c>
      <c r="F138" s="342">
        <v>8</v>
      </c>
      <c r="G138" s="191">
        <v>8</v>
      </c>
      <c r="H138" s="341">
        <v>8</v>
      </c>
      <c r="I138" s="342">
        <v>8</v>
      </c>
      <c r="J138" s="191">
        <v>8</v>
      </c>
      <c r="K138" s="341">
        <v>8</v>
      </c>
      <c r="L138" s="342">
        <v>8</v>
      </c>
      <c r="M138" s="191">
        <v>8</v>
      </c>
      <c r="N138" s="341">
        <v>8</v>
      </c>
      <c r="O138" s="342">
        <v>8</v>
      </c>
      <c r="P138" s="191">
        <v>8</v>
      </c>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c r="BD138" s="187"/>
      <c r="BE138" s="187"/>
    </row>
    <row r="139" spans="1:57" ht="12.75">
      <c r="A139" s="192" t="s">
        <v>262</v>
      </c>
      <c r="B139" s="344">
        <v>13</v>
      </c>
      <c r="C139" s="183">
        <v>13</v>
      </c>
      <c r="D139" s="193">
        <v>13</v>
      </c>
      <c r="E139" s="376">
        <v>13</v>
      </c>
      <c r="F139" s="183">
        <v>13</v>
      </c>
      <c r="G139" s="193">
        <v>13</v>
      </c>
      <c r="H139" s="344">
        <v>13</v>
      </c>
      <c r="I139" s="183">
        <v>13</v>
      </c>
      <c r="J139" s="193">
        <v>13</v>
      </c>
      <c r="K139" s="344">
        <v>13</v>
      </c>
      <c r="L139" s="183">
        <v>13</v>
      </c>
      <c r="M139" s="193">
        <v>13</v>
      </c>
      <c r="N139" s="344">
        <v>13</v>
      </c>
      <c r="O139" s="183">
        <v>13</v>
      </c>
      <c r="P139" s="193">
        <v>13</v>
      </c>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c r="AS139" s="187"/>
      <c r="AT139" s="187"/>
      <c r="AU139" s="187"/>
      <c r="AV139" s="187"/>
      <c r="AW139" s="187"/>
      <c r="AX139" s="187"/>
      <c r="AY139" s="187"/>
      <c r="AZ139" s="187"/>
      <c r="BA139" s="187"/>
      <c r="BB139" s="187"/>
      <c r="BC139" s="187"/>
      <c r="BD139" s="187"/>
      <c r="BE139" s="187"/>
    </row>
    <row r="140" spans="1:57" ht="12.75">
      <c r="A140" s="345" t="s">
        <v>468</v>
      </c>
      <c r="B140" s="346">
        <f aca="true" t="shared" si="38" ref="B140:P140">IF($T$143=1,(B138*B143),(B138*B142))</f>
        <v>8.4</v>
      </c>
      <c r="C140" s="374">
        <f t="shared" si="38"/>
        <v>8.4</v>
      </c>
      <c r="D140" s="381">
        <f t="shared" si="38"/>
        <v>8.4</v>
      </c>
      <c r="E140" s="346">
        <f t="shared" si="38"/>
        <v>8.32</v>
      </c>
      <c r="F140" s="374">
        <f t="shared" si="38"/>
        <v>8.32</v>
      </c>
      <c r="G140" s="381">
        <f t="shared" si="38"/>
        <v>8.32</v>
      </c>
      <c r="H140" s="346">
        <f t="shared" si="38"/>
        <v>7.44</v>
      </c>
      <c r="I140" s="374">
        <f t="shared" si="38"/>
        <v>7.44</v>
      </c>
      <c r="J140" s="381">
        <f t="shared" si="38"/>
        <v>7.44</v>
      </c>
      <c r="K140" s="346">
        <f t="shared" si="38"/>
        <v>7.44</v>
      </c>
      <c r="L140" s="374">
        <f t="shared" si="38"/>
        <v>7.44</v>
      </c>
      <c r="M140" s="381">
        <f t="shared" si="38"/>
        <v>7.44</v>
      </c>
      <c r="N140" s="346">
        <f t="shared" si="38"/>
        <v>7.12</v>
      </c>
      <c r="O140" s="374">
        <f t="shared" si="38"/>
        <v>7.12</v>
      </c>
      <c r="P140" s="381">
        <f t="shared" si="38"/>
        <v>7.12</v>
      </c>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7"/>
      <c r="AZ140" s="187"/>
      <c r="BA140" s="187"/>
      <c r="BB140" s="187"/>
      <c r="BC140" s="187"/>
      <c r="BD140" s="187"/>
      <c r="BE140" s="187"/>
    </row>
    <row r="141" spans="1:57" ht="12.75">
      <c r="A141" s="343" t="s">
        <v>469</v>
      </c>
      <c r="B141" s="346">
        <f aca="true" t="shared" si="39" ref="B141:P141">IF($T$143=1,(B139*B145),(B139*B144))</f>
        <v>8.450000000000001</v>
      </c>
      <c r="C141" s="374">
        <f t="shared" si="39"/>
        <v>8.450000000000001</v>
      </c>
      <c r="D141" s="381">
        <f t="shared" si="39"/>
        <v>8.450000000000001</v>
      </c>
      <c r="E141" s="346">
        <f t="shared" si="39"/>
        <v>8.450000000000001</v>
      </c>
      <c r="F141" s="374">
        <f t="shared" si="39"/>
        <v>8.450000000000001</v>
      </c>
      <c r="G141" s="381">
        <f t="shared" si="39"/>
        <v>8.450000000000001</v>
      </c>
      <c r="H141" s="346">
        <f t="shared" si="39"/>
        <v>8.450000000000001</v>
      </c>
      <c r="I141" s="374">
        <f t="shared" si="39"/>
        <v>8.450000000000001</v>
      </c>
      <c r="J141" s="381">
        <f t="shared" si="39"/>
        <v>8.450000000000001</v>
      </c>
      <c r="K141" s="346">
        <f t="shared" si="39"/>
        <v>8.450000000000001</v>
      </c>
      <c r="L141" s="374">
        <f t="shared" si="39"/>
        <v>8.450000000000001</v>
      </c>
      <c r="M141" s="381">
        <f t="shared" si="39"/>
        <v>8.450000000000001</v>
      </c>
      <c r="N141" s="346">
        <f t="shared" si="39"/>
        <v>8.450000000000001</v>
      </c>
      <c r="O141" s="374">
        <f t="shared" si="39"/>
        <v>8.450000000000001</v>
      </c>
      <c r="P141" s="381">
        <f t="shared" si="39"/>
        <v>8.450000000000001</v>
      </c>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87"/>
      <c r="AX141" s="187"/>
      <c r="AY141" s="187"/>
      <c r="AZ141" s="187"/>
      <c r="BA141" s="187"/>
      <c r="BB141" s="187"/>
      <c r="BC141" s="187"/>
      <c r="BD141" s="187"/>
      <c r="BE141" s="187"/>
    </row>
    <row r="142" spans="1:57" ht="12.75">
      <c r="A142" s="347" t="s">
        <v>470</v>
      </c>
      <c r="B142" s="348">
        <v>0.7875</v>
      </c>
      <c r="C142" s="349">
        <f aca="true" t="shared" si="40" ref="C142:D145">B142</f>
        <v>0.7875</v>
      </c>
      <c r="D142" s="350">
        <f t="shared" si="40"/>
        <v>0.7875</v>
      </c>
      <c r="E142" s="377">
        <v>0.78</v>
      </c>
      <c r="F142" s="349">
        <f aca="true" t="shared" si="41" ref="F142:G145">E142</f>
        <v>0.78</v>
      </c>
      <c r="G142" s="350">
        <f t="shared" si="41"/>
        <v>0.78</v>
      </c>
      <c r="H142" s="348">
        <v>0.6975</v>
      </c>
      <c r="I142" s="349">
        <f aca="true" t="shared" si="42" ref="I142:J145">H142</f>
        <v>0.6975</v>
      </c>
      <c r="J142" s="350">
        <f t="shared" si="42"/>
        <v>0.6975</v>
      </c>
      <c r="K142" s="348">
        <v>0.6975</v>
      </c>
      <c r="L142" s="349">
        <f aca="true" t="shared" si="43" ref="L142:M145">K142</f>
        <v>0.6975</v>
      </c>
      <c r="M142" s="350">
        <f t="shared" si="43"/>
        <v>0.6975</v>
      </c>
      <c r="N142" s="348">
        <v>0.6675</v>
      </c>
      <c r="O142" s="349">
        <f aca="true" t="shared" si="44" ref="O142:P145">N142</f>
        <v>0.6675</v>
      </c>
      <c r="P142" s="350">
        <f t="shared" si="44"/>
        <v>0.6675</v>
      </c>
      <c r="R142" s="399" t="s">
        <v>500</v>
      </c>
      <c r="S142" s="187"/>
      <c r="T142" s="400" t="s">
        <v>501</v>
      </c>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87"/>
      <c r="AX142" s="187"/>
      <c r="AY142" s="187"/>
      <c r="AZ142" s="187"/>
      <c r="BA142" s="187"/>
      <c r="BB142" s="187"/>
      <c r="BC142" s="187"/>
      <c r="BD142" s="187"/>
      <c r="BE142" s="187"/>
    </row>
    <row r="143" spans="1:57" ht="12.75">
      <c r="A143" s="347" t="s">
        <v>471</v>
      </c>
      <c r="B143" s="348">
        <v>1.05</v>
      </c>
      <c r="C143" s="349">
        <f t="shared" si="40"/>
        <v>1.05</v>
      </c>
      <c r="D143" s="350">
        <f t="shared" si="40"/>
        <v>1.05</v>
      </c>
      <c r="E143" s="377">
        <v>1.04</v>
      </c>
      <c r="F143" s="349">
        <f t="shared" si="41"/>
        <v>1.04</v>
      </c>
      <c r="G143" s="350">
        <f t="shared" si="41"/>
        <v>1.04</v>
      </c>
      <c r="H143" s="348">
        <v>0.93</v>
      </c>
      <c r="I143" s="349">
        <f t="shared" si="42"/>
        <v>0.93</v>
      </c>
      <c r="J143" s="350">
        <f t="shared" si="42"/>
        <v>0.93</v>
      </c>
      <c r="K143" s="348">
        <v>0.93</v>
      </c>
      <c r="L143" s="349">
        <f t="shared" si="43"/>
        <v>0.93</v>
      </c>
      <c r="M143" s="350">
        <f t="shared" si="43"/>
        <v>0.93</v>
      </c>
      <c r="N143" s="348">
        <v>0.89</v>
      </c>
      <c r="O143" s="349">
        <f t="shared" si="44"/>
        <v>0.89</v>
      </c>
      <c r="P143" s="350">
        <f t="shared" si="44"/>
        <v>0.89</v>
      </c>
      <c r="R143" s="176">
        <v>1</v>
      </c>
      <c r="S143" s="187"/>
      <c r="T143" s="176">
        <v>1</v>
      </c>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87"/>
      <c r="AX143" s="187"/>
      <c r="AY143" s="187"/>
      <c r="AZ143" s="187"/>
      <c r="BA143" s="187"/>
      <c r="BB143" s="187"/>
      <c r="BC143" s="187"/>
      <c r="BD143" s="187"/>
      <c r="BE143" s="187"/>
    </row>
    <row r="144" spans="1:57" ht="12.75">
      <c r="A144" s="347" t="s">
        <v>472</v>
      </c>
      <c r="B144" s="351">
        <f>65%*0.9</f>
        <v>0.5850000000000001</v>
      </c>
      <c r="C144" s="352">
        <f t="shared" si="40"/>
        <v>0.5850000000000001</v>
      </c>
      <c r="D144" s="353">
        <f t="shared" si="40"/>
        <v>0.5850000000000001</v>
      </c>
      <c r="E144" s="378">
        <f>65%*0.9</f>
        <v>0.5850000000000001</v>
      </c>
      <c r="F144" s="352">
        <f t="shared" si="41"/>
        <v>0.5850000000000001</v>
      </c>
      <c r="G144" s="353">
        <f t="shared" si="41"/>
        <v>0.5850000000000001</v>
      </c>
      <c r="H144" s="351">
        <f>65%*0.9</f>
        <v>0.5850000000000001</v>
      </c>
      <c r="I144" s="352">
        <f t="shared" si="42"/>
        <v>0.5850000000000001</v>
      </c>
      <c r="J144" s="353">
        <f t="shared" si="42"/>
        <v>0.5850000000000001</v>
      </c>
      <c r="K144" s="351">
        <f>65%*0.9</f>
        <v>0.5850000000000001</v>
      </c>
      <c r="L144" s="352">
        <f t="shared" si="43"/>
        <v>0.5850000000000001</v>
      </c>
      <c r="M144" s="353">
        <f t="shared" si="43"/>
        <v>0.5850000000000001</v>
      </c>
      <c r="N144" s="351">
        <f>65%*0.9</f>
        <v>0.5850000000000001</v>
      </c>
      <c r="O144" s="352">
        <f t="shared" si="44"/>
        <v>0.5850000000000001</v>
      </c>
      <c r="P144" s="353">
        <f t="shared" si="44"/>
        <v>0.5850000000000001</v>
      </c>
      <c r="R144" s="180" t="s">
        <v>475</v>
      </c>
      <c r="S144" s="187"/>
      <c r="T144" s="180" t="s">
        <v>475</v>
      </c>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87"/>
      <c r="AX144" s="187"/>
      <c r="AY144" s="187"/>
      <c r="AZ144" s="187"/>
      <c r="BA144" s="187"/>
      <c r="BB144" s="187"/>
      <c r="BC144" s="187"/>
      <c r="BD144" s="187"/>
      <c r="BE144" s="187"/>
    </row>
    <row r="145" spans="1:57" ht="13.5" thickBot="1">
      <c r="A145" s="347" t="s">
        <v>473</v>
      </c>
      <c r="B145" s="355">
        <v>0.65</v>
      </c>
      <c r="C145" s="356">
        <f t="shared" si="40"/>
        <v>0.65</v>
      </c>
      <c r="D145" s="357">
        <f t="shared" si="40"/>
        <v>0.65</v>
      </c>
      <c r="E145" s="379">
        <v>0.65</v>
      </c>
      <c r="F145" s="356">
        <f t="shared" si="41"/>
        <v>0.65</v>
      </c>
      <c r="G145" s="357">
        <f t="shared" si="41"/>
        <v>0.65</v>
      </c>
      <c r="H145" s="355">
        <v>0.65</v>
      </c>
      <c r="I145" s="356">
        <f t="shared" si="42"/>
        <v>0.65</v>
      </c>
      <c r="J145" s="357">
        <f t="shared" si="42"/>
        <v>0.65</v>
      </c>
      <c r="K145" s="355">
        <v>0.65</v>
      </c>
      <c r="L145" s="356">
        <f t="shared" si="43"/>
        <v>0.65</v>
      </c>
      <c r="M145" s="357">
        <f t="shared" si="43"/>
        <v>0.65</v>
      </c>
      <c r="N145" s="355">
        <v>0.65</v>
      </c>
      <c r="O145" s="356">
        <f t="shared" si="44"/>
        <v>0.65</v>
      </c>
      <c r="P145" s="357">
        <f t="shared" si="44"/>
        <v>0.65</v>
      </c>
      <c r="R145" s="180" t="s">
        <v>476</v>
      </c>
      <c r="S145" s="187"/>
      <c r="T145" s="180" t="s">
        <v>476</v>
      </c>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c r="AS145" s="187"/>
      <c r="AT145" s="187"/>
      <c r="AU145" s="187"/>
      <c r="AV145" s="187"/>
      <c r="AW145" s="187"/>
      <c r="AX145" s="187"/>
      <c r="AY145" s="187"/>
      <c r="AZ145" s="187"/>
      <c r="BA145" s="187"/>
      <c r="BB145" s="187"/>
      <c r="BC145" s="187"/>
      <c r="BD145" s="187"/>
      <c r="BE145" s="187"/>
    </row>
    <row r="146" spans="1:57" ht="13.5" thickBot="1">
      <c r="A146" s="192"/>
      <c r="B146" s="361"/>
      <c r="C146" s="361"/>
      <c r="D146" s="361"/>
      <c r="E146" s="361"/>
      <c r="F146" s="361"/>
      <c r="G146" s="361"/>
      <c r="H146" s="361"/>
      <c r="I146" s="361"/>
      <c r="J146" s="361"/>
      <c r="K146" s="361"/>
      <c r="L146" s="361"/>
      <c r="M146" s="361"/>
      <c r="N146" s="361"/>
      <c r="O146" s="361"/>
      <c r="P146" s="361"/>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7"/>
      <c r="AZ146" s="187"/>
      <c r="BA146" s="187"/>
      <c r="BB146" s="187"/>
      <c r="BC146" s="187"/>
      <c r="BD146" s="187"/>
      <c r="BE146" s="187"/>
    </row>
    <row r="147" spans="1:57" ht="21" customHeight="1" thickBot="1">
      <c r="A147" s="362" t="s">
        <v>498</v>
      </c>
      <c r="B147" s="363"/>
      <c r="C147" s="188"/>
      <c r="D147" s="153"/>
      <c r="E147" s="153"/>
      <c r="F147" s="153"/>
      <c r="G147" s="153"/>
      <c r="H147" s="153"/>
      <c r="I147" s="153"/>
      <c r="J147" s="153"/>
      <c r="K147" s="153"/>
      <c r="L147" s="153"/>
      <c r="M147" s="153"/>
      <c r="N147" s="189"/>
      <c r="O147" s="153"/>
      <c r="P147" s="153"/>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7"/>
      <c r="BD147" s="187"/>
      <c r="BE147" s="187"/>
    </row>
    <row r="148" spans="1:57" ht="19.5" customHeight="1" thickBot="1">
      <c r="A148" s="362" t="s">
        <v>499</v>
      </c>
      <c r="B148" s="363"/>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87"/>
      <c r="AY148" s="187"/>
      <c r="AZ148" s="187"/>
      <c r="BA148" s="187"/>
      <c r="BB148" s="187"/>
      <c r="BC148" s="187"/>
      <c r="BD148" s="187"/>
      <c r="BE148" s="187"/>
    </row>
    <row r="149" spans="1:57" ht="12.75">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c r="BC149" s="187"/>
      <c r="BD149" s="187"/>
      <c r="BE149" s="187"/>
    </row>
    <row r="150" spans="1:57" ht="12.75">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c r="AS150" s="187"/>
      <c r="AT150" s="187"/>
      <c r="AU150" s="187"/>
      <c r="AV150" s="187"/>
      <c r="AW150" s="187"/>
      <c r="AX150" s="187"/>
      <c r="AY150" s="187"/>
      <c r="AZ150" s="187"/>
      <c r="BA150" s="187"/>
      <c r="BB150" s="187"/>
      <c r="BC150" s="187"/>
      <c r="BD150" s="187"/>
      <c r="BE150" s="187"/>
    </row>
    <row r="151" spans="1:57" ht="12.75">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c r="BC151" s="187"/>
      <c r="BD151" s="187"/>
      <c r="BE151" s="187"/>
    </row>
    <row r="152" spans="1:57" ht="13.5" thickBot="1">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c r="BC152" s="187"/>
      <c r="BD152" s="187"/>
      <c r="BE152" s="187"/>
    </row>
    <row r="153" spans="1:7" ht="13.5" thickBot="1">
      <c r="A153" s="194" t="s">
        <v>263</v>
      </c>
      <c r="B153" s="195"/>
      <c r="C153" s="195"/>
      <c r="D153" s="195"/>
      <c r="E153" s="195"/>
      <c r="F153" s="195"/>
      <c r="G153" s="196"/>
    </row>
    <row r="154" spans="1:12" ht="12.75">
      <c r="A154" s="170" t="s">
        <v>118</v>
      </c>
      <c r="B154" s="171" t="s">
        <v>264</v>
      </c>
      <c r="C154" s="171" t="s">
        <v>265</v>
      </c>
      <c r="D154" s="171" t="s">
        <v>266</v>
      </c>
      <c r="E154" s="171" t="s">
        <v>267</v>
      </c>
      <c r="F154" s="171" t="s">
        <v>268</v>
      </c>
      <c r="G154" s="172" t="s">
        <v>269</v>
      </c>
      <c r="H154" s="127" t="s">
        <v>480</v>
      </c>
      <c r="I154" s="127" t="s">
        <v>481</v>
      </c>
      <c r="J154" s="127" t="s">
        <v>482</v>
      </c>
      <c r="K154" s="127" t="s">
        <v>483</v>
      </c>
      <c r="L154" t="s">
        <v>270</v>
      </c>
    </row>
    <row r="155" spans="1:12" ht="12.75">
      <c r="A155" s="176" t="s">
        <v>188</v>
      </c>
      <c r="B155" s="369">
        <v>0.7</v>
      </c>
      <c r="C155" s="369">
        <f>(B155+D155)/2</f>
        <v>0.751</v>
      </c>
      <c r="D155" s="369">
        <v>0.802</v>
      </c>
      <c r="E155" s="369">
        <v>0.75</v>
      </c>
      <c r="F155" s="369">
        <v>0.8</v>
      </c>
      <c r="G155" s="370">
        <v>0.83</v>
      </c>
      <c r="H155" s="371">
        <f>B5</f>
        <v>0.35</v>
      </c>
      <c r="I155" s="371">
        <f>B6</f>
        <v>0</v>
      </c>
      <c r="J155" s="371">
        <f>B7</f>
        <v>0</v>
      </c>
      <c r="K155" s="371">
        <f>B3</f>
        <v>0.2</v>
      </c>
      <c r="L155" t="s">
        <v>273</v>
      </c>
    </row>
    <row r="156" spans="1:12" ht="12.75">
      <c r="A156" s="176" t="s">
        <v>189</v>
      </c>
      <c r="B156" s="369">
        <f>B$155*(D156/D$155)</f>
        <v>0.7218204488778054</v>
      </c>
      <c r="C156" s="369">
        <f>(B156+D156)/2</f>
        <v>0.7744102244389026</v>
      </c>
      <c r="D156" s="369">
        <v>0.827</v>
      </c>
      <c r="E156" s="369">
        <v>0.75</v>
      </c>
      <c r="F156" s="369">
        <v>0.8</v>
      </c>
      <c r="G156" s="370">
        <v>0.83</v>
      </c>
      <c r="H156" s="371">
        <f>C5</f>
        <v>0.4</v>
      </c>
      <c r="I156" s="371">
        <f>C6</f>
        <v>0</v>
      </c>
      <c r="J156" s="371">
        <f>C7</f>
        <v>0</v>
      </c>
      <c r="K156" s="371">
        <f>C3</f>
        <v>0.4</v>
      </c>
      <c r="L156" t="s">
        <v>274</v>
      </c>
    </row>
    <row r="157" spans="1:12" ht="12.75">
      <c r="A157" s="176" t="s">
        <v>190</v>
      </c>
      <c r="B157" s="369">
        <f>B$155*(D157/D$155)</f>
        <v>0.7043640897755611</v>
      </c>
      <c r="C157" s="369">
        <f>(B157+D157)/2</f>
        <v>0.7556820448877806</v>
      </c>
      <c r="D157" s="369">
        <v>0.807</v>
      </c>
      <c r="E157" s="369">
        <v>0.75</v>
      </c>
      <c r="F157" s="369">
        <v>0.8</v>
      </c>
      <c r="G157" s="370">
        <v>0.83</v>
      </c>
      <c r="H157" s="371">
        <f>D5</f>
        <v>0.25</v>
      </c>
      <c r="I157" s="371">
        <f>D6</f>
        <v>0.15</v>
      </c>
      <c r="J157" s="371">
        <f>D7</f>
        <v>0</v>
      </c>
      <c r="K157" s="371">
        <f>D3</f>
        <v>0.25</v>
      </c>
      <c r="L157" t="s">
        <v>271</v>
      </c>
    </row>
    <row r="158" spans="1:11" ht="12.75">
      <c r="A158" s="176" t="s">
        <v>191</v>
      </c>
      <c r="B158" s="369">
        <f>B156</f>
        <v>0.7218204488778054</v>
      </c>
      <c r="C158" s="369">
        <f>C156</f>
        <v>0.7744102244389026</v>
      </c>
      <c r="D158" s="369">
        <f>D156</f>
        <v>0.827</v>
      </c>
      <c r="E158" s="369">
        <v>0.75</v>
      </c>
      <c r="F158" s="369">
        <v>0.8</v>
      </c>
      <c r="G158" s="370">
        <v>0.83</v>
      </c>
      <c r="H158" s="371">
        <f>E5</f>
        <v>0</v>
      </c>
      <c r="I158" s="371">
        <f>E6</f>
        <v>0.85</v>
      </c>
      <c r="J158" s="371">
        <f>E7</f>
        <v>0</v>
      </c>
      <c r="K158" s="371">
        <f>E3</f>
        <v>0.1</v>
      </c>
    </row>
    <row r="159" spans="1:12" ht="12.75">
      <c r="A159" s="176" t="s">
        <v>192</v>
      </c>
      <c r="B159" s="369">
        <f>B$155*(D159/D$155)</f>
        <v>0.7523690773067331</v>
      </c>
      <c r="C159" s="369">
        <f>(B159+D159)/2</f>
        <v>0.8071845386533665</v>
      </c>
      <c r="D159" s="369">
        <v>0.862</v>
      </c>
      <c r="E159" s="369">
        <v>0.75</v>
      </c>
      <c r="F159" s="369">
        <v>0.8</v>
      </c>
      <c r="G159" s="370">
        <v>0.83</v>
      </c>
      <c r="H159" s="371">
        <f>F5</f>
        <v>0</v>
      </c>
      <c r="I159" s="371">
        <f>F6</f>
        <v>0</v>
      </c>
      <c r="J159" s="371">
        <f>F7</f>
        <v>1</v>
      </c>
      <c r="K159" s="371">
        <f>F3</f>
        <v>0.05</v>
      </c>
      <c r="L159" t="s">
        <v>272</v>
      </c>
    </row>
    <row r="160" spans="1:7" ht="13.5" thickBot="1">
      <c r="A160" s="366" t="s">
        <v>275</v>
      </c>
      <c r="B160" s="367"/>
      <c r="C160" s="367"/>
      <c r="D160" s="367"/>
      <c r="E160" s="367"/>
      <c r="F160" s="367"/>
      <c r="G160" s="368"/>
    </row>
    <row r="161" spans="1:7" ht="12.75">
      <c r="A161" s="200" t="s">
        <v>118</v>
      </c>
      <c r="B161" s="201" t="s">
        <v>264</v>
      </c>
      <c r="C161" s="201" t="s">
        <v>265</v>
      </c>
      <c r="D161" s="202" t="s">
        <v>266</v>
      </c>
      <c r="E161" s="202" t="s">
        <v>267</v>
      </c>
      <c r="F161" s="203" t="s">
        <v>268</v>
      </c>
      <c r="G161" s="203" t="s">
        <v>269</v>
      </c>
    </row>
    <row r="162" spans="1:12" ht="12.75">
      <c r="A162" s="176" t="s">
        <v>276</v>
      </c>
      <c r="B162" s="204">
        <f aca="true" t="shared" si="45" ref="B162:G162">IF($R$143=1,10%,0%)</f>
        <v>0.1</v>
      </c>
      <c r="C162" s="204">
        <f t="shared" si="45"/>
        <v>0.1</v>
      </c>
      <c r="D162" s="204">
        <f t="shared" si="45"/>
        <v>0.1</v>
      </c>
      <c r="E162" s="204">
        <f t="shared" si="45"/>
        <v>0.1</v>
      </c>
      <c r="F162" s="204">
        <f t="shared" si="45"/>
        <v>0.1</v>
      </c>
      <c r="G162" s="204">
        <f t="shared" si="45"/>
        <v>0.1</v>
      </c>
      <c r="H162" s="127" t="s">
        <v>480</v>
      </c>
      <c r="I162" s="127" t="s">
        <v>481</v>
      </c>
      <c r="J162" s="127" t="s">
        <v>482</v>
      </c>
      <c r="K162" s="127" t="s">
        <v>483</v>
      </c>
      <c r="L162" t="s">
        <v>277</v>
      </c>
    </row>
    <row r="163" spans="1:11" ht="12.75">
      <c r="A163" s="176" t="s">
        <v>188</v>
      </c>
      <c r="B163" s="182">
        <f aca="true" t="shared" si="46" ref="B163:G167">B155+B$162</f>
        <v>0.7999999999999999</v>
      </c>
      <c r="C163" s="182">
        <f t="shared" si="46"/>
        <v>0.851</v>
      </c>
      <c r="D163" s="182">
        <f t="shared" si="46"/>
        <v>0.902</v>
      </c>
      <c r="E163" s="182">
        <f t="shared" si="46"/>
        <v>0.85</v>
      </c>
      <c r="F163" s="182">
        <f t="shared" si="46"/>
        <v>0.9</v>
      </c>
      <c r="G163" s="182">
        <f t="shared" si="46"/>
        <v>0.9299999999999999</v>
      </c>
      <c r="H163" s="371">
        <f>H155</f>
        <v>0.35</v>
      </c>
      <c r="I163" s="371">
        <f>I155</f>
        <v>0</v>
      </c>
      <c r="J163" s="371">
        <f>J155</f>
        <v>0</v>
      </c>
      <c r="K163" s="371">
        <f>K155</f>
        <v>0.2</v>
      </c>
    </row>
    <row r="164" spans="1:11" ht="12.75">
      <c r="A164" s="176" t="s">
        <v>189</v>
      </c>
      <c r="B164" s="182">
        <f t="shared" si="46"/>
        <v>0.8218204488778054</v>
      </c>
      <c r="C164" s="182">
        <f t="shared" si="46"/>
        <v>0.8744102244389026</v>
      </c>
      <c r="D164" s="182">
        <f t="shared" si="46"/>
        <v>0.9269999999999999</v>
      </c>
      <c r="E164" s="182">
        <f t="shared" si="46"/>
        <v>0.85</v>
      </c>
      <c r="F164" s="182">
        <f t="shared" si="46"/>
        <v>0.9</v>
      </c>
      <c r="G164" s="182">
        <f t="shared" si="46"/>
        <v>0.9299999999999999</v>
      </c>
      <c r="H164" s="371">
        <f aca="true" t="shared" si="47" ref="H164:K167">H156</f>
        <v>0.4</v>
      </c>
      <c r="I164" s="371">
        <f t="shared" si="47"/>
        <v>0</v>
      </c>
      <c r="J164" s="371">
        <f t="shared" si="47"/>
        <v>0</v>
      </c>
      <c r="K164" s="371">
        <f t="shared" si="47"/>
        <v>0.4</v>
      </c>
    </row>
    <row r="165" spans="1:12" ht="12.75">
      <c r="A165" s="176" t="s">
        <v>190</v>
      </c>
      <c r="B165" s="182">
        <f t="shared" si="46"/>
        <v>0.8043640897755611</v>
      </c>
      <c r="C165" s="182">
        <f t="shared" si="46"/>
        <v>0.8556820448877805</v>
      </c>
      <c r="D165" s="182">
        <f t="shared" si="46"/>
        <v>0.907</v>
      </c>
      <c r="E165" s="182">
        <f t="shared" si="46"/>
        <v>0.85</v>
      </c>
      <c r="F165" s="182">
        <f t="shared" si="46"/>
        <v>0.9</v>
      </c>
      <c r="G165" s="182">
        <f t="shared" si="46"/>
        <v>0.9299999999999999</v>
      </c>
      <c r="H165" s="371">
        <f t="shared" si="47"/>
        <v>0.25</v>
      </c>
      <c r="I165" s="371">
        <f t="shared" si="47"/>
        <v>0.15</v>
      </c>
      <c r="J165" s="371">
        <f t="shared" si="47"/>
        <v>0</v>
      </c>
      <c r="K165" s="371">
        <f t="shared" si="47"/>
        <v>0.25</v>
      </c>
      <c r="L165" t="s">
        <v>278</v>
      </c>
    </row>
    <row r="166" spans="1:11" ht="12.75">
      <c r="A166" s="176" t="s">
        <v>191</v>
      </c>
      <c r="B166" s="182">
        <f t="shared" si="46"/>
        <v>0.8218204488778054</v>
      </c>
      <c r="C166" s="182">
        <f t="shared" si="46"/>
        <v>0.8744102244389026</v>
      </c>
      <c r="D166" s="182">
        <f t="shared" si="46"/>
        <v>0.9269999999999999</v>
      </c>
      <c r="E166" s="182">
        <f t="shared" si="46"/>
        <v>0.85</v>
      </c>
      <c r="F166" s="182">
        <f t="shared" si="46"/>
        <v>0.9</v>
      </c>
      <c r="G166" s="182">
        <f t="shared" si="46"/>
        <v>0.9299999999999999</v>
      </c>
      <c r="H166" s="371">
        <f t="shared" si="47"/>
        <v>0</v>
      </c>
      <c r="I166" s="371">
        <f t="shared" si="47"/>
        <v>0.85</v>
      </c>
      <c r="J166" s="371">
        <f t="shared" si="47"/>
        <v>0</v>
      </c>
      <c r="K166" s="371">
        <f t="shared" si="47"/>
        <v>0.1</v>
      </c>
    </row>
    <row r="167" spans="1:11" ht="12.75">
      <c r="A167" s="176" t="s">
        <v>192</v>
      </c>
      <c r="B167" s="182">
        <f t="shared" si="46"/>
        <v>0.8523690773067331</v>
      </c>
      <c r="C167" s="182">
        <f t="shared" si="46"/>
        <v>0.9071845386533665</v>
      </c>
      <c r="D167" s="182">
        <f t="shared" si="46"/>
        <v>0.962</v>
      </c>
      <c r="E167" s="182">
        <f t="shared" si="46"/>
        <v>0.85</v>
      </c>
      <c r="F167" s="182">
        <f t="shared" si="46"/>
        <v>0.9</v>
      </c>
      <c r="G167" s="182">
        <f t="shared" si="46"/>
        <v>0.9299999999999999</v>
      </c>
      <c r="H167" s="371">
        <f t="shared" si="47"/>
        <v>0</v>
      </c>
      <c r="I167" s="371">
        <f t="shared" si="47"/>
        <v>0</v>
      </c>
      <c r="J167" s="371">
        <f t="shared" si="47"/>
        <v>1</v>
      </c>
      <c r="K167" s="371">
        <f t="shared" si="47"/>
        <v>0.05</v>
      </c>
    </row>
    <row r="169" spans="2:12" ht="12.75">
      <c r="B169" s="496" t="s">
        <v>485</v>
      </c>
      <c r="C169" s="496"/>
      <c r="D169" s="496"/>
      <c r="E169" s="496" t="s">
        <v>488</v>
      </c>
      <c r="F169" s="496"/>
      <c r="G169" s="496" t="s">
        <v>491</v>
      </c>
      <c r="H169" s="496"/>
      <c r="I169" s="496"/>
      <c r="J169" s="496" t="s">
        <v>492</v>
      </c>
      <c r="K169" s="496"/>
      <c r="L169" s="496"/>
    </row>
    <row r="170" spans="1:12" ht="12.75">
      <c r="A170" s="373" t="s">
        <v>484</v>
      </c>
      <c r="B170" s="202" t="s">
        <v>264</v>
      </c>
      <c r="C170" s="202" t="s">
        <v>265</v>
      </c>
      <c r="D170" s="202" t="s">
        <v>266</v>
      </c>
      <c r="E170" s="127" t="s">
        <v>489</v>
      </c>
      <c r="F170" s="127" t="s">
        <v>490</v>
      </c>
      <c r="G170" s="382" t="s">
        <v>264</v>
      </c>
      <c r="H170" s="127" t="s">
        <v>265</v>
      </c>
      <c r="I170" s="127" t="s">
        <v>266</v>
      </c>
      <c r="J170" s="127" t="s">
        <v>264</v>
      </c>
      <c r="K170" s="127" t="s">
        <v>265</v>
      </c>
      <c r="L170" s="127" t="s">
        <v>266</v>
      </c>
    </row>
    <row r="171" spans="1:12" ht="12.75">
      <c r="A171" s="178" t="s">
        <v>200</v>
      </c>
      <c r="B171" s="372">
        <f>SUMPRODUCT(B155:B159,$H155:$H159)</f>
        <v>0.7098192019950125</v>
      </c>
      <c r="C171" s="372">
        <f>SUMPRODUCT(C155:C159,$H155:$H159)</f>
        <v>0.7615346009975061</v>
      </c>
      <c r="D171" s="372">
        <f>SUMPRODUCT(D155:D159,$H155:$H159)</f>
        <v>0.8132499999999999</v>
      </c>
      <c r="E171" s="384">
        <f>($D$129*$D$133*$H$155)+($G$129*$G$133*$H$156)+($J$129*$J$133*$H$157)+($M$129*$M$133*$H$158)+($P$129*$P$133*$H$159)</f>
        <v>5.4102</v>
      </c>
      <c r="F171" s="384">
        <f>($D$129*$D$134*$H$155)+($G$129*$G$134*$H$156)+($J$129*$J$134*$H$157)+($M$129*$M$134*$H$158)+($P$129*$P$134*$H$159)</f>
        <v>7.2136</v>
      </c>
      <c r="G171" s="383">
        <f>B171*($E171/3.413)</f>
        <v>1.1251871803789677</v>
      </c>
      <c r="H171" s="372">
        <f aca="true" t="shared" si="48" ref="H171:I174">C171*($E171/3.413)</f>
        <v>1.2071651035208637</v>
      </c>
      <c r="I171" s="372">
        <f t="shared" si="48"/>
        <v>1.28914302666276</v>
      </c>
      <c r="J171" s="372">
        <f>B171*($F171/3.413)</f>
        <v>1.5002495738386235</v>
      </c>
      <c r="K171" s="372">
        <f aca="true" t="shared" si="49" ref="K171:L174">C171*($F171/3.413)</f>
        <v>1.6095534713611515</v>
      </c>
      <c r="L171" s="372">
        <f t="shared" si="49"/>
        <v>1.71885736888368</v>
      </c>
    </row>
    <row r="172" spans="1:12" ht="12.75">
      <c r="A172" s="178" t="s">
        <v>201</v>
      </c>
      <c r="B172" s="372">
        <f>SUMPRODUCT(B155:B159,$I155:$I159)</f>
        <v>0.7192019950124687</v>
      </c>
      <c r="C172" s="372">
        <f>SUMPRODUCT(C155:C159,$I155:$I159)</f>
        <v>0.7716009975062343</v>
      </c>
      <c r="D172" s="372">
        <f>SUMPRODUCT(D155:D159,$I155:$I159)</f>
        <v>0.824</v>
      </c>
      <c r="E172" s="384">
        <f>($D$129*$D$133*$I$155)+($G$129*$G$133*$I$156)+($J$129*$J$133*$I$157)+($M$129*$M$133*$I$158)+($P$129*$P$133*$I$159)</f>
        <v>4.952249999999999</v>
      </c>
      <c r="F172" s="384">
        <f>($D$129*$D$134*$I$155)+($G$129*$G$134*$I$156)+($J$129*$J$134*$I$157)+($M$129*$M$134*$I$158)+($P$129*$P$134*$I$159)</f>
        <v>6.603</v>
      </c>
      <c r="G172" s="383">
        <f>B172*($E172/3.413)</f>
        <v>1.0435593553473477</v>
      </c>
      <c r="H172" s="372">
        <f t="shared" si="48"/>
        <v>1.1195901083797974</v>
      </c>
      <c r="I172" s="372">
        <f t="shared" si="48"/>
        <v>1.1956208614122472</v>
      </c>
      <c r="J172" s="372">
        <f>B172*($F172/3.413)</f>
        <v>1.391412473796464</v>
      </c>
      <c r="K172" s="372">
        <f t="shared" si="49"/>
        <v>1.4927868111730633</v>
      </c>
      <c r="L172" s="372">
        <f t="shared" si="49"/>
        <v>1.594161148549663</v>
      </c>
    </row>
    <row r="173" spans="1:12" ht="12.75">
      <c r="A173" s="178" t="s">
        <v>202</v>
      </c>
      <c r="B173" s="372">
        <f>SUMPRODUCT(B155:B159,$J155:$J159)</f>
        <v>0.7523690773067331</v>
      </c>
      <c r="C173" s="372">
        <f>SUMPRODUCT(C155:C159,$J155:$J159)</f>
        <v>0.8071845386533665</v>
      </c>
      <c r="D173" s="372">
        <f>SUMPRODUCT(D155:D159,$J155:$J159)</f>
        <v>0.862</v>
      </c>
      <c r="E173" s="384">
        <f>($D$129*$D$133*$J$155)+($G$129*$G$133*$J$156)+($J$129*$J$133*$J$157)+($M$129*$M$133*$J$158)+($P$129*$P$133*$J$159)</f>
        <v>4.739249999999999</v>
      </c>
      <c r="F173" s="384">
        <f>($D$129*$D$134*$J$155)+($G$129*$G$134*$J$156)+($J$129*$J$134*$J$157)+($M$129*$M$134*$J$158)+($P$129*$P$134*$J$159)</f>
        <v>6.319</v>
      </c>
      <c r="G173" s="383">
        <f>B173*($E173/3.413)</f>
        <v>1.0447304862660225</v>
      </c>
      <c r="H173" s="372">
        <f t="shared" si="48"/>
        <v>1.1208465645511183</v>
      </c>
      <c r="I173" s="372">
        <f t="shared" si="48"/>
        <v>1.1969626428362143</v>
      </c>
      <c r="J173" s="372">
        <f>B173*($F173/3.413)</f>
        <v>1.39297398168803</v>
      </c>
      <c r="K173" s="372">
        <f t="shared" si="49"/>
        <v>1.494462086068158</v>
      </c>
      <c r="L173" s="372">
        <f t="shared" si="49"/>
        <v>1.595950190448286</v>
      </c>
    </row>
    <row r="174" spans="1:12" ht="12.75">
      <c r="A174" s="178" t="s">
        <v>486</v>
      </c>
      <c r="B174" s="372">
        <f>SUMPRODUCT(B155:B159,$K155:$K159)</f>
        <v>0.7146197007481297</v>
      </c>
      <c r="C174" s="372">
        <f>SUMPRODUCT(C155:C159,$K155:$K159)</f>
        <v>0.7666848503740649</v>
      </c>
      <c r="D174" s="372">
        <f>SUMPRODUCT(D155:D159,$K155:$K159)</f>
        <v>0.81875</v>
      </c>
      <c r="E174" s="384">
        <f>($D$129*$D$133*$K$155)+($G$129*$G$133*$K$156)+($J$129*$J$133*$K$157)+($M$129*$M$133*$K$158)+($P$129*$P$133*$K$159)</f>
        <v>5.303699999999999</v>
      </c>
      <c r="F174" s="384">
        <f>($D$129*$D$134*$K$155)+($G$129*$G$134*$K$156)+($J$129*$J$134*$K$157)+($M$129*$M$134*$K$158)+($P$129*$P$134*$K$159)</f>
        <v>7.0716</v>
      </c>
      <c r="G174" s="383">
        <f>B174*($E174/3.413)</f>
        <v>1.1104976580304293</v>
      </c>
      <c r="H174" s="372">
        <f t="shared" si="48"/>
        <v>1.1914053445440749</v>
      </c>
      <c r="I174" s="372">
        <f t="shared" si="48"/>
        <v>1.2723130310577204</v>
      </c>
      <c r="J174" s="372">
        <f>B174*($F174/3.413)</f>
        <v>1.4806635440405729</v>
      </c>
      <c r="K174" s="372">
        <f t="shared" si="49"/>
        <v>1.5885404593921002</v>
      </c>
      <c r="L174" s="372">
        <f t="shared" si="49"/>
        <v>1.6964173747436275</v>
      </c>
    </row>
    <row r="175" ht="12.75">
      <c r="A175" s="187"/>
    </row>
    <row r="176" ht="12.75">
      <c r="A176" s="187"/>
    </row>
    <row r="177" spans="1:12" ht="13.5" thickBot="1">
      <c r="A177" s="187"/>
      <c r="B177" s="496" t="s">
        <v>485</v>
      </c>
      <c r="C177" s="496"/>
      <c r="D177" s="496"/>
      <c r="E177" s="496" t="s">
        <v>488</v>
      </c>
      <c r="F177" s="496"/>
      <c r="G177" s="496" t="s">
        <v>491</v>
      </c>
      <c r="H177" s="496"/>
      <c r="I177" s="496"/>
      <c r="J177" s="496" t="s">
        <v>492</v>
      </c>
      <c r="K177" s="496"/>
      <c r="L177" s="496"/>
    </row>
    <row r="178" spans="1:12" ht="12.75">
      <c r="A178" s="373" t="s">
        <v>487</v>
      </c>
      <c r="B178" s="171" t="s">
        <v>264</v>
      </c>
      <c r="C178" s="171" t="s">
        <v>265</v>
      </c>
      <c r="D178" s="171" t="s">
        <v>266</v>
      </c>
      <c r="E178" s="127" t="s">
        <v>489</v>
      </c>
      <c r="F178" s="127" t="s">
        <v>490</v>
      </c>
      <c r="G178" s="382" t="s">
        <v>264</v>
      </c>
      <c r="H178" s="127" t="s">
        <v>265</v>
      </c>
      <c r="I178" s="127" t="s">
        <v>266</v>
      </c>
      <c r="J178" s="127" t="s">
        <v>264</v>
      </c>
      <c r="K178" s="127" t="s">
        <v>265</v>
      </c>
      <c r="L178" s="127" t="s">
        <v>266</v>
      </c>
    </row>
    <row r="179" spans="1:12" ht="12.75">
      <c r="A179" s="178" t="s">
        <v>200</v>
      </c>
      <c r="B179" s="372">
        <f>SUMPRODUCT(B$163:B$167,$H$163:$H$167)</f>
        <v>0.8098192019950123</v>
      </c>
      <c r="C179" s="372">
        <f>SUMPRODUCT(C$163:C$167,$H$163:$H$167)</f>
        <v>0.8615346009975061</v>
      </c>
      <c r="D179" s="372">
        <f>SUMPRODUCT(D$163:D$167,$H$163:$H$167)</f>
        <v>0.91325</v>
      </c>
      <c r="E179" s="384">
        <f>($D$138*$D$142*$H$155)+($G$138*$G$142*$H$156)+($J$138*$J$142*$H$157)+($M$138*$M$142*$H$158)+($P$138*$P$142*$H$159)</f>
        <v>6.096</v>
      </c>
      <c r="F179" s="384">
        <f>($D$138*$D$143*$H$155)+($G$138*$G$143*$H$156)+($J$138*$J$143*$H$157)+($M$138*$M$143*$H$158)+($P$138*$P$143*$H$159)</f>
        <v>8.128</v>
      </c>
      <c r="G179" s="383">
        <f aca="true" t="shared" si="50" ref="G179:I182">B179*($E179/3.413)</f>
        <v>1.4464277337713436</v>
      </c>
      <c r="H179" s="372">
        <f t="shared" si="50"/>
        <v>1.538797224635452</v>
      </c>
      <c r="I179" s="372">
        <f t="shared" si="50"/>
        <v>1.6311667154995606</v>
      </c>
      <c r="J179" s="372">
        <f aca="true" t="shared" si="51" ref="J179:L182">B179*($F179/3.413)</f>
        <v>1.9285703116951247</v>
      </c>
      <c r="K179" s="372">
        <f t="shared" si="51"/>
        <v>2.051729632847269</v>
      </c>
      <c r="L179" s="372">
        <f t="shared" si="51"/>
        <v>2.1748889539994143</v>
      </c>
    </row>
    <row r="180" spans="1:12" ht="12.75">
      <c r="A180" s="178" t="s">
        <v>201</v>
      </c>
      <c r="B180" s="372">
        <f>SUMPRODUCT(B$163:B$167,$I$163:$I$167)</f>
        <v>0.8192019950124687</v>
      </c>
      <c r="C180" s="372">
        <f>SUMPRODUCT(C$163:C$167,$I$163:$I$167)</f>
        <v>0.8716009975062343</v>
      </c>
      <c r="D180" s="372">
        <f>SUMPRODUCT(D$163:D$167,$I$163:$I$167)</f>
        <v>0.9239999999999999</v>
      </c>
      <c r="E180" s="384">
        <f>($D$138*$D$142*$I$155)+($G$138*$G$142*$I$156)+($J$138*$J$142*$I$157)+($M$138*$M$142*$I$158)+($P$138*$P$142*$I$159)</f>
        <v>5.58</v>
      </c>
      <c r="F180" s="384">
        <f>($D$138*$D$143*$I$155)+($G$138*$G$143*$I$156)+($J$138*$J$143*$I$157)+($M$138*$M$143*$I$158)+($P$138*$P$143*$I$159)</f>
        <v>7.4399999999999995</v>
      </c>
      <c r="G180" s="383">
        <f t="shared" si="50"/>
        <v>1.3393340557191842</v>
      </c>
      <c r="H180" s="372">
        <f t="shared" si="50"/>
        <v>1.4250025098402543</v>
      </c>
      <c r="I180" s="372">
        <f t="shared" si="50"/>
        <v>1.5106709639613243</v>
      </c>
      <c r="J180" s="372">
        <f t="shared" si="51"/>
        <v>1.7857787409589123</v>
      </c>
      <c r="K180" s="372">
        <f t="shared" si="51"/>
        <v>1.9000033464536723</v>
      </c>
      <c r="L180" s="372">
        <f t="shared" si="51"/>
        <v>2.0142279519484325</v>
      </c>
    </row>
    <row r="181" spans="1:12" ht="12.75">
      <c r="A181" s="178" t="s">
        <v>202</v>
      </c>
      <c r="B181" s="372">
        <f>SUMPRODUCT(B$163:B$167,$J$163:$J$167)</f>
        <v>0.8523690773067331</v>
      </c>
      <c r="C181" s="372">
        <f>SUMPRODUCT(C$163:C$167,$J$163:$J$167)</f>
        <v>0.9071845386533665</v>
      </c>
      <c r="D181" s="372">
        <f>SUMPRODUCT(D$163:D$167,$J$163:$J$167)</f>
        <v>0.962</v>
      </c>
      <c r="E181" s="384">
        <f>($D$138*$D$142*$J$155)+($G$138*$G$142*$J$156)+($J$138*$J$142*$J$157)+($M$138*$M$142*$J$158)+($P$138*$P$142*$J$159)</f>
        <v>5.34</v>
      </c>
      <c r="F181" s="384">
        <f>($D$138*$D$143*$J$155)+($G$138*$G$143*$J$156)+($J$138*$J$143*$J$157)+($M$138*$M$143*$J$158)+($P$138*$P$143*$J$159)</f>
        <v>7.12</v>
      </c>
      <c r="G181" s="383">
        <f t="shared" si="50"/>
        <v>1.3336217031403326</v>
      </c>
      <c r="H181" s="372">
        <f t="shared" si="50"/>
        <v>1.4193862983911447</v>
      </c>
      <c r="I181" s="372">
        <f t="shared" si="50"/>
        <v>1.5051508936419573</v>
      </c>
      <c r="J181" s="372">
        <f t="shared" si="51"/>
        <v>1.7781622708537768</v>
      </c>
      <c r="K181" s="372">
        <f t="shared" si="51"/>
        <v>1.8925150645215265</v>
      </c>
      <c r="L181" s="372">
        <f t="shared" si="51"/>
        <v>2.0068678581892763</v>
      </c>
    </row>
    <row r="182" spans="1:12" ht="12.75">
      <c r="A182" s="178" t="s">
        <v>486</v>
      </c>
      <c r="B182" s="372">
        <f>SUMPRODUCT(B$163:B$167,$K$163:$K$167)</f>
        <v>0.8146197007481297</v>
      </c>
      <c r="C182" s="372">
        <f>SUMPRODUCT(C$163:C$167,$K$163:$K$167)</f>
        <v>0.8666848503740648</v>
      </c>
      <c r="D182" s="372">
        <f>SUMPRODUCT(D$163:D$167,$K$163:$K$167)</f>
        <v>0.9187500000000001</v>
      </c>
      <c r="E182" s="384">
        <f>($D$138*$D$142*$K$155)+($G$138*$G$142*$K$156)+($J$138*$J$142*$K$157)+($M$138*$M$142*$K$158)+($P$138*$P$142*$K$159)</f>
        <v>5.976</v>
      </c>
      <c r="F182" s="384">
        <f>($D$138*$D$143*$K$155)+($G$138*$G$143*$K$156)+($J$138*$J$143*$K$157)+($M$138*$M$143*$K$158)+($P$138*$P$143*$K$159)</f>
        <v>7.968000000000001</v>
      </c>
      <c r="G182" s="383">
        <f t="shared" si="50"/>
        <v>1.426360190937833</v>
      </c>
      <c r="H182" s="372">
        <f t="shared" si="50"/>
        <v>1.5175237813757434</v>
      </c>
      <c r="I182" s="372">
        <f t="shared" si="50"/>
        <v>1.6086873718136538</v>
      </c>
      <c r="J182" s="372">
        <f t="shared" si="51"/>
        <v>1.9018135879171107</v>
      </c>
      <c r="K182" s="372">
        <f t="shared" si="51"/>
        <v>2.0233650418343245</v>
      </c>
      <c r="L182" s="372">
        <f t="shared" si="51"/>
        <v>2.1449164957515388</v>
      </c>
    </row>
    <row r="183" ht="12.75">
      <c r="A183" s="187"/>
    </row>
    <row r="184" ht="12.75">
      <c r="A184" s="187"/>
    </row>
    <row r="185" ht="12.75">
      <c r="A185" s="187"/>
    </row>
    <row r="186" ht="12.75">
      <c r="A186" s="187"/>
    </row>
    <row r="187" ht="12.75">
      <c r="A187" s="187"/>
    </row>
    <row r="188" ht="12.75">
      <c r="A188" s="187"/>
    </row>
    <row r="189" ht="12.75">
      <c r="A189" s="187"/>
    </row>
    <row r="190" ht="13.5" thickBot="1"/>
    <row r="191" spans="1:2" ht="13.5" thickBot="1">
      <c r="A191" s="205" t="s">
        <v>279</v>
      </c>
      <c r="B191" s="206" t="s">
        <v>280</v>
      </c>
    </row>
    <row r="192" spans="1:3" ht="12.75">
      <c r="A192" s="197" t="s">
        <v>281</v>
      </c>
      <c r="B192" s="207">
        <v>6444</v>
      </c>
      <c r="C192" s="208"/>
    </row>
    <row r="193" spans="1:3" ht="12.75">
      <c r="A193" s="198" t="s">
        <v>282</v>
      </c>
      <c r="B193" s="209">
        <v>6001</v>
      </c>
      <c r="C193" s="210">
        <f>B193/B192</f>
        <v>0.931253879577902</v>
      </c>
    </row>
    <row r="194" spans="1:3" ht="12.75">
      <c r="A194" s="198" t="s">
        <v>283</v>
      </c>
      <c r="B194" s="209">
        <v>7119</v>
      </c>
      <c r="C194" s="210">
        <f>B194/B192</f>
        <v>1.1047486033519553</v>
      </c>
    </row>
    <row r="195" spans="1:3" ht="12.75">
      <c r="A195" s="198" t="s">
        <v>284</v>
      </c>
      <c r="B195" s="209">
        <v>7935</v>
      </c>
      <c r="C195" s="210"/>
    </row>
    <row r="196" spans="1:3" ht="12.75">
      <c r="A196" s="198" t="s">
        <v>285</v>
      </c>
      <c r="B196" s="209">
        <v>4950</v>
      </c>
      <c r="C196" s="210"/>
    </row>
    <row r="197" spans="1:3" ht="12.75">
      <c r="A197" s="198" t="s">
        <v>286</v>
      </c>
      <c r="B197" s="209">
        <v>5114</v>
      </c>
      <c r="C197" s="210"/>
    </row>
    <row r="198" spans="1:3" ht="12.75">
      <c r="A198" s="198" t="s">
        <v>287</v>
      </c>
      <c r="B198" s="209">
        <v>4928</v>
      </c>
      <c r="C198" s="210">
        <f>B198/B197</f>
        <v>0.9636292530308955</v>
      </c>
    </row>
    <row r="199" spans="1:3" ht="13.5" thickBot="1">
      <c r="A199" s="129" t="s">
        <v>288</v>
      </c>
      <c r="B199" s="211">
        <v>6874</v>
      </c>
      <c r="C199" s="210">
        <f>B199/B198</f>
        <v>1.3948863636363635</v>
      </c>
    </row>
    <row r="200" ht="13.5" thickBot="1"/>
    <row r="201" spans="1:9" ht="13.5" thickBot="1">
      <c r="A201" s="494" t="s">
        <v>289</v>
      </c>
      <c r="B201" s="502"/>
      <c r="C201" s="502"/>
      <c r="D201" s="502"/>
      <c r="E201" s="502"/>
      <c r="F201" s="502"/>
      <c r="G201" s="502"/>
      <c r="H201" s="502"/>
      <c r="I201" s="501"/>
    </row>
    <row r="202" spans="1:9" ht="13.5" thickBot="1">
      <c r="A202" s="212"/>
      <c r="B202" s="500" t="s">
        <v>290</v>
      </c>
      <c r="C202" s="495"/>
      <c r="D202" s="500" t="s">
        <v>291</v>
      </c>
      <c r="E202" s="501"/>
      <c r="F202" s="494" t="s">
        <v>290</v>
      </c>
      <c r="G202" s="495"/>
      <c r="H202" s="500" t="s">
        <v>291</v>
      </c>
      <c r="I202" s="501"/>
    </row>
    <row r="203" spans="1:9" ht="25.5">
      <c r="A203" s="213" t="s">
        <v>279</v>
      </c>
      <c r="B203" s="214" t="s">
        <v>292</v>
      </c>
      <c r="C203" s="214" t="s">
        <v>293</v>
      </c>
      <c r="D203" s="214" t="s">
        <v>292</v>
      </c>
      <c r="E203" s="215" t="s">
        <v>293</v>
      </c>
      <c r="F203" s="214" t="s">
        <v>294</v>
      </c>
      <c r="G203" s="214" t="s">
        <v>295</v>
      </c>
      <c r="H203" s="214" t="s">
        <v>294</v>
      </c>
      <c r="I203" s="216" t="s">
        <v>295</v>
      </c>
    </row>
    <row r="204" spans="1:9" ht="12.75">
      <c r="A204" s="198" t="s">
        <v>281</v>
      </c>
      <c r="B204" s="177">
        <f aca="true" t="shared" si="52" ref="B204:C207">F204*D220</f>
        <v>16447.87576911808</v>
      </c>
      <c r="C204" s="177">
        <f t="shared" si="52"/>
        <v>14382.068561382946</v>
      </c>
      <c r="D204" s="177">
        <f aca="true" t="shared" si="53" ref="D204:E207">H204*D220</f>
        <v>18626.86785818928</v>
      </c>
      <c r="E204" s="217">
        <f t="shared" si="53"/>
        <v>13902.666276003518</v>
      </c>
      <c r="F204" s="218">
        <v>6.856138294755348</v>
      </c>
      <c r="G204" s="218">
        <v>7.910928801640785</v>
      </c>
      <c r="H204" s="218">
        <v>7.764430120128919</v>
      </c>
      <c r="I204" s="219">
        <v>7.647231174919427</v>
      </c>
    </row>
    <row r="205" spans="1:9" ht="12.75">
      <c r="A205" s="198" t="s">
        <v>284</v>
      </c>
      <c r="B205" s="177">
        <f t="shared" si="52"/>
        <v>18717.96073835335</v>
      </c>
      <c r="C205" s="177">
        <f t="shared" si="52"/>
        <v>19259.771462056844</v>
      </c>
      <c r="D205" s="177">
        <f t="shared" si="53"/>
        <v>18962.320539115146</v>
      </c>
      <c r="E205" s="217">
        <f t="shared" si="53"/>
        <v>21469.909170817464</v>
      </c>
      <c r="F205" s="218">
        <v>11.221799003808965</v>
      </c>
      <c r="G205" s="218">
        <v>7.14913565777908</v>
      </c>
      <c r="H205" s="218">
        <v>11.368297685320831</v>
      </c>
      <c r="I205" s="219">
        <v>7.969528274245532</v>
      </c>
    </row>
    <row r="206" spans="1:9" ht="12.75">
      <c r="A206" s="198" t="s">
        <v>285</v>
      </c>
      <c r="B206" s="177">
        <f t="shared" si="52"/>
        <v>6457.661881043071</v>
      </c>
      <c r="C206" s="177">
        <f t="shared" si="52"/>
        <v>8015.001464986816</v>
      </c>
      <c r="D206" s="177">
        <f t="shared" si="53"/>
        <v>7259.302666276005</v>
      </c>
      <c r="E206" s="217">
        <f t="shared" si="53"/>
        <v>8927.27805449751</v>
      </c>
      <c r="F206" s="218">
        <v>4.2484617638441255</v>
      </c>
      <c r="G206" s="218">
        <v>3.603867565191914</v>
      </c>
      <c r="H206" s="218">
        <v>4.775857017286845</v>
      </c>
      <c r="I206" s="219">
        <v>4.0140638734251395</v>
      </c>
    </row>
    <row r="207" spans="1:9" ht="13.5" thickBot="1">
      <c r="A207" s="129" t="s">
        <v>286</v>
      </c>
      <c r="B207" s="220">
        <f t="shared" si="52"/>
        <v>5176.003515968357</v>
      </c>
      <c r="C207" s="220">
        <f t="shared" si="52"/>
        <v>10356.460591854675</v>
      </c>
      <c r="D207" s="220">
        <f t="shared" si="53"/>
        <v>5659.742162320539</v>
      </c>
      <c r="E207" s="221">
        <f t="shared" si="53"/>
        <v>12555.435101084091</v>
      </c>
      <c r="F207" s="222">
        <v>3.135071784353941</v>
      </c>
      <c r="G207" s="222">
        <v>4.277761500146499</v>
      </c>
      <c r="H207" s="222">
        <v>3.428069147377674</v>
      </c>
      <c r="I207" s="223">
        <v>5.186053325520071</v>
      </c>
    </row>
    <row r="208" spans="1:7" ht="13.5" thickBot="1">
      <c r="A208" s="16"/>
      <c r="B208" s="224"/>
      <c r="C208" s="224"/>
      <c r="D208" s="224"/>
      <c r="E208" s="224"/>
      <c r="F208" s="224"/>
      <c r="G208" s="224"/>
    </row>
    <row r="209" spans="1:5" ht="13.5" thickBot="1">
      <c r="A209" s="494" t="s">
        <v>296</v>
      </c>
      <c r="B209" s="502"/>
      <c r="C209" s="502"/>
      <c r="D209" s="502"/>
      <c r="E209" s="501"/>
    </row>
    <row r="210" spans="1:5" ht="12.75">
      <c r="A210" s="225"/>
      <c r="B210" s="226" t="s">
        <v>297</v>
      </c>
      <c r="C210" s="226"/>
      <c r="D210" s="226" t="s">
        <v>298</v>
      </c>
      <c r="E210" s="227"/>
    </row>
    <row r="211" spans="1:5" ht="12.75">
      <c r="A211" s="225" t="s">
        <v>279</v>
      </c>
      <c r="B211" s="228" t="s">
        <v>299</v>
      </c>
      <c r="C211" s="228" t="s">
        <v>300</v>
      </c>
      <c r="D211" s="228" t="s">
        <v>299</v>
      </c>
      <c r="E211" s="229" t="s">
        <v>300</v>
      </c>
    </row>
    <row r="212" spans="1:9" ht="12.75">
      <c r="A212" s="198" t="s">
        <v>281</v>
      </c>
      <c r="B212" s="230">
        <v>15675</v>
      </c>
      <c r="C212" s="176">
        <v>6.9</v>
      </c>
      <c r="D212" s="230">
        <v>9271</v>
      </c>
      <c r="E212" s="231">
        <v>5.1</v>
      </c>
      <c r="F212" s="148"/>
      <c r="G212" s="148"/>
      <c r="H212" s="60"/>
      <c r="I212" s="49"/>
    </row>
    <row r="213" spans="1:9" ht="12.75">
      <c r="A213" s="198" t="s">
        <v>284</v>
      </c>
      <c r="B213" s="230">
        <v>17005</v>
      </c>
      <c r="C213" s="176">
        <v>11.7</v>
      </c>
      <c r="D213" s="230">
        <v>6337</v>
      </c>
      <c r="E213" s="231">
        <v>2.3</v>
      </c>
      <c r="F213" s="148"/>
      <c r="G213" s="148"/>
      <c r="H213" s="60"/>
      <c r="I213" s="49"/>
    </row>
    <row r="214" spans="1:9" ht="12.75">
      <c r="A214" s="198" t="s">
        <v>285</v>
      </c>
      <c r="B214" s="230">
        <v>8436</v>
      </c>
      <c r="C214" s="176">
        <v>5.5</v>
      </c>
      <c r="D214" s="230">
        <v>4670</v>
      </c>
      <c r="E214" s="231">
        <v>2.2</v>
      </c>
      <c r="F214" s="148"/>
      <c r="G214" s="148"/>
      <c r="H214" s="60"/>
      <c r="I214" s="49"/>
    </row>
    <row r="215" spans="1:9" ht="13.5" thickBot="1">
      <c r="A215" s="129" t="s">
        <v>286</v>
      </c>
      <c r="B215" s="232">
        <v>6006</v>
      </c>
      <c r="C215" s="130">
        <v>3.5</v>
      </c>
      <c r="D215" s="232">
        <v>6446</v>
      </c>
      <c r="E215" s="233">
        <v>2.6</v>
      </c>
      <c r="F215" s="148"/>
      <c r="G215" s="148"/>
      <c r="H215" s="60"/>
      <c r="I215" s="49"/>
    </row>
    <row r="216" ht="12.75">
      <c r="A216" t="s">
        <v>301</v>
      </c>
    </row>
    <row r="217" ht="13.5" thickBot="1"/>
    <row r="218" spans="1:5" ht="12.75">
      <c r="A218" s="487" t="s">
        <v>302</v>
      </c>
      <c r="B218" s="488"/>
      <c r="C218" s="488"/>
      <c r="D218" s="488"/>
      <c r="E218" s="489"/>
    </row>
    <row r="219" spans="1:5" ht="25.5">
      <c r="A219" s="387" t="s">
        <v>279</v>
      </c>
      <c r="B219" s="388" t="s">
        <v>23</v>
      </c>
      <c r="C219" s="389" t="s">
        <v>494</v>
      </c>
      <c r="D219" s="389" t="s">
        <v>495</v>
      </c>
      <c r="E219" s="390" t="s">
        <v>496</v>
      </c>
    </row>
    <row r="220" spans="1:5" ht="12.75">
      <c r="A220" s="198" t="s">
        <v>281</v>
      </c>
      <c r="B220" s="371">
        <f>'[1]Total Housing Units'!$AE$56</f>
        <v>0.16753742329322738</v>
      </c>
      <c r="C220" s="230">
        <v>1925</v>
      </c>
      <c r="D220" s="230">
        <v>2399</v>
      </c>
      <c r="E220" s="209">
        <v>1818</v>
      </c>
    </row>
    <row r="221" spans="1:5" ht="12.75">
      <c r="A221" s="198" t="s">
        <v>284</v>
      </c>
      <c r="B221" s="371">
        <f>'[1]Total Housing Units'!$AE$60</f>
        <v>0.01536160391415204</v>
      </c>
      <c r="C221" s="230">
        <v>2636</v>
      </c>
      <c r="D221" s="230">
        <v>1668</v>
      </c>
      <c r="E221" s="209">
        <v>2694</v>
      </c>
    </row>
    <row r="222" spans="1:5" ht="12.75">
      <c r="A222" s="198" t="s">
        <v>285</v>
      </c>
      <c r="B222" s="371">
        <f>'[1]Total Housing Units'!$AE$64</f>
        <v>0.2575726819289561</v>
      </c>
      <c r="C222" s="230">
        <v>2394</v>
      </c>
      <c r="D222" s="230">
        <v>1520</v>
      </c>
      <c r="E222" s="209">
        <v>2224</v>
      </c>
    </row>
    <row r="223" spans="1:5" ht="12.75">
      <c r="A223" s="199" t="s">
        <v>286</v>
      </c>
      <c r="B223" s="371">
        <f>'[1]Total Housing Units'!$AE$68</f>
        <v>0.566366175238462</v>
      </c>
      <c r="C223" s="385">
        <v>2281</v>
      </c>
      <c r="D223" s="385">
        <v>1651</v>
      </c>
      <c r="E223" s="386">
        <v>2421</v>
      </c>
    </row>
    <row r="224" spans="1:5" ht="13.5" thickBot="1">
      <c r="A224" s="391" t="s">
        <v>493</v>
      </c>
      <c r="B224" s="392"/>
      <c r="C224" s="393">
        <f>SUMPRODUCT($B220:$B223,C220:C223)</f>
        <v>2271.51297401402</v>
      </c>
      <c r="D224" s="393">
        <f>SUMPRODUCT($B220:$B223,D220:D223)</f>
        <v>1754.126465659972</v>
      </c>
      <c r="E224" s="394">
        <f>SUMPRODUCT($B220:$B223,E220:E223)</f>
        <v>2289.9813513541276</v>
      </c>
    </row>
    <row r="225" spans="1:6" ht="13.5" thickBot="1">
      <c r="A225" s="395" t="s">
        <v>497</v>
      </c>
      <c r="B225" s="395"/>
      <c r="C225" s="395"/>
      <c r="D225" s="396">
        <f>'[1]Summary of Residential Units'!$H$41</f>
        <v>0.33643427270212883</v>
      </c>
      <c r="E225" s="397">
        <f>'[1]Summary of Residential Units'!$H$40</f>
        <v>0.6635657272978711</v>
      </c>
      <c r="F225" s="398">
        <f>SUMPRODUCT(D224:E224,D225:E225)</f>
        <v>2109.701402611732</v>
      </c>
    </row>
    <row r="226" ht="12.75">
      <c r="A226" t="s">
        <v>304</v>
      </c>
    </row>
    <row r="227" ht="12.75">
      <c r="A227" t="s">
        <v>305</v>
      </c>
    </row>
    <row r="228" ht="12.75">
      <c r="A228" t="s">
        <v>306</v>
      </c>
    </row>
    <row r="232" ht="12.75">
      <c r="A232" t="s">
        <v>307</v>
      </c>
    </row>
    <row r="233" spans="1:2" ht="12.75">
      <c r="A233" t="s">
        <v>308</v>
      </c>
      <c r="B233">
        <v>1712</v>
      </c>
    </row>
    <row r="234" spans="3:4" ht="12.75">
      <c r="C234" t="s">
        <v>309</v>
      </c>
      <c r="D234" t="s">
        <v>310</v>
      </c>
    </row>
    <row r="235" spans="1:6" ht="12.75">
      <c r="A235" t="s">
        <v>311</v>
      </c>
      <c r="C235">
        <v>6479</v>
      </c>
      <c r="D235" s="60">
        <f>C235/B$233</f>
        <v>3.78446261682243</v>
      </c>
      <c r="F235" s="234"/>
    </row>
    <row r="236" spans="1:6" ht="12.75">
      <c r="A236" t="s">
        <v>312</v>
      </c>
      <c r="C236">
        <v>8827</v>
      </c>
      <c r="D236" s="60">
        <f>C236/B$233</f>
        <v>5.155957943925234</v>
      </c>
      <c r="F236" s="234"/>
    </row>
    <row r="237" spans="1:6" ht="12.75">
      <c r="A237" t="s">
        <v>313</v>
      </c>
      <c r="C237">
        <v>3965</v>
      </c>
      <c r="D237" s="60">
        <f>C237/B$233</f>
        <v>2.316004672897196</v>
      </c>
      <c r="F237" s="234"/>
    </row>
    <row r="238" ht="12.75">
      <c r="E238" s="103"/>
    </row>
    <row r="243" ht="12.75">
      <c r="A243" t="s">
        <v>314</v>
      </c>
    </row>
  </sheetData>
  <mergeCells count="38">
    <mergeCell ref="A54:B54"/>
    <mergeCell ref="A68:B68"/>
    <mergeCell ref="A75:B75"/>
    <mergeCell ref="A19:B19"/>
    <mergeCell ref="A26:B26"/>
    <mergeCell ref="A33:B33"/>
    <mergeCell ref="A47:B47"/>
    <mergeCell ref="A40:C40"/>
    <mergeCell ref="D75:E75"/>
    <mergeCell ref="A61:B61"/>
    <mergeCell ref="D68:E68"/>
    <mergeCell ref="A209:E209"/>
    <mergeCell ref="A82:B82"/>
    <mergeCell ref="D82:E82"/>
    <mergeCell ref="B127:D127"/>
    <mergeCell ref="E127:G127"/>
    <mergeCell ref="E177:F177"/>
    <mergeCell ref="B177:D177"/>
    <mergeCell ref="K89:M89"/>
    <mergeCell ref="N89:P89"/>
    <mergeCell ref="H202:I202"/>
    <mergeCell ref="A201:I201"/>
    <mergeCell ref="B89:D89"/>
    <mergeCell ref="E89:G89"/>
    <mergeCell ref="H89:J89"/>
    <mergeCell ref="B202:C202"/>
    <mergeCell ref="D202:E202"/>
    <mergeCell ref="H127:J127"/>
    <mergeCell ref="A218:E218"/>
    <mergeCell ref="K127:M127"/>
    <mergeCell ref="N127:P127"/>
    <mergeCell ref="F202:G202"/>
    <mergeCell ref="B169:D169"/>
    <mergeCell ref="E169:F169"/>
    <mergeCell ref="G169:I169"/>
    <mergeCell ref="J169:L169"/>
    <mergeCell ref="G177:I177"/>
    <mergeCell ref="J177:L177"/>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5"/>
  <dimension ref="A1:AW93"/>
  <sheetViews>
    <sheetView zoomScale="75" zoomScaleNormal="75" workbookViewId="0" topLeftCell="A34">
      <selection activeCell="L51" sqref="L51"/>
    </sheetView>
  </sheetViews>
  <sheetFormatPr defaultColWidth="9.140625" defaultRowHeight="12.75"/>
  <cols>
    <col min="1" max="1" width="24.28125" style="0" customWidth="1"/>
    <col min="2" max="2" width="22.7109375" style="0" customWidth="1"/>
    <col min="3" max="3" width="10.7109375" style="0" customWidth="1"/>
    <col min="4" max="4" width="12.8515625" style="0" customWidth="1"/>
    <col min="5" max="5" width="9.7109375" style="0" customWidth="1"/>
    <col min="6" max="6" width="13.00390625" style="0" customWidth="1"/>
    <col min="7" max="7" width="11.57421875" style="0" customWidth="1"/>
    <col min="8" max="8" width="9.57421875" style="0" customWidth="1"/>
    <col min="9" max="9" width="13.421875" style="0" customWidth="1"/>
    <col min="10" max="10" width="14.8515625" style="0" customWidth="1"/>
    <col min="11" max="11" width="24.00390625" style="0" customWidth="1"/>
    <col min="12" max="12" width="16.421875" style="0" customWidth="1"/>
    <col min="13" max="13" width="12.8515625" style="0" customWidth="1"/>
    <col min="15" max="15" width="10.28125" style="0" bestFit="1" customWidth="1"/>
    <col min="16" max="16" width="81.140625" style="0" customWidth="1"/>
    <col min="17" max="17" width="12.00390625" style="0" customWidth="1"/>
    <col min="18" max="18" width="14.28125" style="0" customWidth="1"/>
    <col min="19" max="19" width="13.7109375" style="0" customWidth="1"/>
    <col min="20" max="20" width="9.28125" style="0" bestFit="1" customWidth="1"/>
    <col min="21" max="21" width="11.421875" style="0" customWidth="1"/>
    <col min="22" max="23" width="9.28125" style="0" bestFit="1" customWidth="1"/>
    <col min="24" max="25" width="10.28125" style="0" bestFit="1" customWidth="1"/>
    <col min="26" max="27" width="9.28125" style="0" bestFit="1" customWidth="1"/>
  </cols>
  <sheetData>
    <row r="1" spans="1:8" ht="12.75">
      <c r="A1" s="5" t="s">
        <v>315</v>
      </c>
      <c r="B1" s="5"/>
      <c r="C1" s="5"/>
      <c r="D1" s="5"/>
      <c r="E1" s="5"/>
      <c r="F1" s="5"/>
      <c r="G1" s="5"/>
      <c r="H1" s="5"/>
    </row>
    <row r="2" spans="1:8" ht="12.75">
      <c r="A2" s="5"/>
      <c r="B2" s="5"/>
      <c r="C2" s="5"/>
      <c r="D2" s="5"/>
      <c r="E2" s="5"/>
      <c r="F2" s="5"/>
      <c r="G2" s="5"/>
      <c r="H2" s="5"/>
    </row>
    <row r="3" spans="1:8" ht="12.75">
      <c r="A3" s="5"/>
      <c r="B3" s="5"/>
      <c r="C3" s="5"/>
      <c r="D3" s="5"/>
      <c r="E3" s="5"/>
      <c r="F3" s="5"/>
      <c r="G3" s="5"/>
      <c r="H3" s="5"/>
    </row>
    <row r="4" spans="1:8" ht="13.5" thickBot="1">
      <c r="A4" s="105" t="s">
        <v>316</v>
      </c>
      <c r="B4" s="5"/>
      <c r="C4" s="5"/>
      <c r="D4" s="5"/>
      <c r="E4" s="5"/>
      <c r="F4" s="5"/>
      <c r="G4" s="5"/>
      <c r="H4" s="5"/>
    </row>
    <row r="5" spans="1:8" ht="13.5" thickBot="1">
      <c r="A5" s="476" t="s">
        <v>317</v>
      </c>
      <c r="B5" s="509"/>
      <c r="C5" s="509"/>
      <c r="D5" s="509"/>
      <c r="E5" s="509"/>
      <c r="F5" s="509"/>
      <c r="G5" s="509"/>
      <c r="H5" s="510"/>
    </row>
    <row r="6" spans="1:8" ht="13.5" thickBot="1">
      <c r="A6" s="401"/>
      <c r="B6" s="402"/>
      <c r="C6" s="402"/>
      <c r="D6" s="402"/>
      <c r="E6" s="507" t="s">
        <v>318</v>
      </c>
      <c r="F6" s="507"/>
      <c r="G6" s="507" t="s">
        <v>319</v>
      </c>
      <c r="H6" s="514"/>
    </row>
    <row r="7" spans="1:8" ht="25.5">
      <c r="A7" s="403" t="s">
        <v>320</v>
      </c>
      <c r="B7" s="403" t="s">
        <v>321</v>
      </c>
      <c r="C7" s="403" t="s">
        <v>322</v>
      </c>
      <c r="D7" s="403" t="s">
        <v>323</v>
      </c>
      <c r="E7" s="403" t="s">
        <v>324</v>
      </c>
      <c r="F7" s="403" t="s">
        <v>325</v>
      </c>
      <c r="G7" s="404" t="s">
        <v>324</v>
      </c>
      <c r="H7" s="404" t="s">
        <v>325</v>
      </c>
    </row>
    <row r="8" spans="1:8" ht="12.75">
      <c r="A8" s="294" t="s">
        <v>326</v>
      </c>
      <c r="B8" s="405">
        <v>2.5</v>
      </c>
      <c r="C8" s="294">
        <v>7.5</v>
      </c>
      <c r="D8" s="294">
        <v>10</v>
      </c>
      <c r="E8" s="406">
        <v>3400</v>
      </c>
      <c r="F8" s="406">
        <v>3700</v>
      </c>
      <c r="G8" s="294"/>
      <c r="H8" s="294"/>
    </row>
    <row r="9" spans="1:8" ht="12.75">
      <c r="A9" s="294" t="s">
        <v>327</v>
      </c>
      <c r="B9" s="405">
        <v>3</v>
      </c>
      <c r="C9" s="294">
        <v>7.5</v>
      </c>
      <c r="D9" s="294">
        <v>10</v>
      </c>
      <c r="E9" s="406">
        <v>3600</v>
      </c>
      <c r="F9" s="406">
        <v>3900</v>
      </c>
      <c r="G9" s="294"/>
      <c r="H9" s="294"/>
    </row>
    <row r="10" spans="1:8" ht="12.75">
      <c r="A10" s="294" t="s">
        <v>328</v>
      </c>
      <c r="B10" s="405">
        <v>3.5</v>
      </c>
      <c r="C10" s="294">
        <v>7.5</v>
      </c>
      <c r="D10" s="294">
        <v>10</v>
      </c>
      <c r="E10" s="406">
        <v>3750</v>
      </c>
      <c r="F10" s="406">
        <v>4150</v>
      </c>
      <c r="G10" s="294"/>
      <c r="H10" s="294"/>
    </row>
    <row r="11" spans="1:8" ht="12.75">
      <c r="A11" s="294" t="s">
        <v>329</v>
      </c>
      <c r="B11" s="405">
        <v>4</v>
      </c>
      <c r="C11" s="294">
        <v>7.5</v>
      </c>
      <c r="D11" s="294">
        <v>10</v>
      </c>
      <c r="E11" s="406">
        <v>4000</v>
      </c>
      <c r="F11" s="406">
        <v>4450</v>
      </c>
      <c r="G11" s="294"/>
      <c r="H11" s="294"/>
    </row>
    <row r="12" spans="1:14" ht="12.75">
      <c r="A12" s="294"/>
      <c r="B12" s="405"/>
      <c r="C12" s="294"/>
      <c r="D12" s="294"/>
      <c r="E12" s="406"/>
      <c r="F12" s="406"/>
      <c r="G12" s="294"/>
      <c r="H12" s="294"/>
      <c r="K12" s="236"/>
      <c r="L12" s="237"/>
      <c r="M12" s="5"/>
      <c r="N12" s="236"/>
    </row>
    <row r="13" spans="1:8" ht="12.75">
      <c r="A13" s="294" t="s">
        <v>330</v>
      </c>
      <c r="B13" s="405">
        <v>2.5</v>
      </c>
      <c r="C13" s="294">
        <v>8</v>
      </c>
      <c r="D13" s="294">
        <v>12</v>
      </c>
      <c r="E13" s="406">
        <v>3600</v>
      </c>
      <c r="F13" s="406">
        <v>3800</v>
      </c>
      <c r="G13" s="407">
        <f aca="true" t="shared" si="0" ref="G13:H16">E13-E8</f>
        <v>200</v>
      </c>
      <c r="H13" s="407">
        <f t="shared" si="0"/>
        <v>100</v>
      </c>
    </row>
    <row r="14" spans="1:8" ht="12.75">
      <c r="A14" s="294" t="s">
        <v>331</v>
      </c>
      <c r="B14" s="405">
        <v>3</v>
      </c>
      <c r="C14" s="294">
        <v>8</v>
      </c>
      <c r="D14" s="294">
        <v>12</v>
      </c>
      <c r="E14" s="406">
        <v>3800</v>
      </c>
      <c r="F14" s="406">
        <v>4100</v>
      </c>
      <c r="G14" s="407">
        <f t="shared" si="0"/>
        <v>200</v>
      </c>
      <c r="H14" s="407">
        <f t="shared" si="0"/>
        <v>200</v>
      </c>
    </row>
    <row r="15" spans="1:8" ht="12.75">
      <c r="A15" s="294" t="s">
        <v>332</v>
      </c>
      <c r="B15" s="405">
        <v>3.5</v>
      </c>
      <c r="C15" s="294">
        <v>8</v>
      </c>
      <c r="D15" s="294">
        <v>12</v>
      </c>
      <c r="E15" s="406">
        <v>4100</v>
      </c>
      <c r="F15" s="406">
        <v>4400</v>
      </c>
      <c r="G15" s="407">
        <f t="shared" si="0"/>
        <v>350</v>
      </c>
      <c r="H15" s="407">
        <f t="shared" si="0"/>
        <v>250</v>
      </c>
    </row>
    <row r="16" spans="1:8" ht="12.75">
      <c r="A16" s="294" t="s">
        <v>333</v>
      </c>
      <c r="B16" s="405">
        <v>4</v>
      </c>
      <c r="C16" s="294">
        <v>8</v>
      </c>
      <c r="D16" s="294">
        <v>12</v>
      </c>
      <c r="E16" s="406">
        <v>4400</v>
      </c>
      <c r="F16" s="406">
        <v>4800</v>
      </c>
      <c r="G16" s="407">
        <f t="shared" si="0"/>
        <v>400</v>
      </c>
      <c r="H16" s="407">
        <f t="shared" si="0"/>
        <v>350</v>
      </c>
    </row>
    <row r="17" spans="1:8" ht="12.75">
      <c r="A17" s="105" t="s">
        <v>334</v>
      </c>
      <c r="B17" s="5"/>
      <c r="C17" s="5"/>
      <c r="D17" s="5"/>
      <c r="E17" s="5"/>
      <c r="F17" s="5"/>
      <c r="G17" s="5"/>
      <c r="H17" s="5"/>
    </row>
    <row r="18" spans="1:8" ht="12.75">
      <c r="A18" s="5"/>
      <c r="B18" s="5"/>
      <c r="C18" s="5"/>
      <c r="D18" s="5"/>
      <c r="E18" s="5"/>
      <c r="F18" s="5"/>
      <c r="G18" s="5"/>
      <c r="H18" s="5"/>
    </row>
    <row r="19" spans="1:8" ht="13.5" thickBot="1">
      <c r="A19" s="5"/>
      <c r="B19" s="5"/>
      <c r="C19" s="5"/>
      <c r="D19" s="5"/>
      <c r="E19" s="5"/>
      <c r="F19" s="5"/>
      <c r="G19" s="5"/>
      <c r="H19" s="5"/>
    </row>
    <row r="20" spans="1:8" ht="13.5" thickBot="1">
      <c r="A20" s="511" t="s">
        <v>335</v>
      </c>
      <c r="B20" s="512"/>
      <c r="C20" s="512"/>
      <c r="D20" s="512"/>
      <c r="E20" s="512"/>
      <c r="F20" s="512"/>
      <c r="G20" s="512"/>
      <c r="H20" s="513"/>
    </row>
    <row r="21" spans="1:8" ht="13.5" thickBot="1">
      <c r="A21" s="401"/>
      <c r="B21" s="402"/>
      <c r="C21" s="402"/>
      <c r="D21" s="402"/>
      <c r="E21" s="507" t="s">
        <v>318</v>
      </c>
      <c r="F21" s="507"/>
      <c r="G21" s="507" t="s">
        <v>319</v>
      </c>
      <c r="H21" s="514"/>
    </row>
    <row r="22" spans="1:8" ht="25.5">
      <c r="A22" s="403" t="s">
        <v>320</v>
      </c>
      <c r="B22" s="403" t="s">
        <v>321</v>
      </c>
      <c r="C22" s="403"/>
      <c r="D22" s="403" t="s">
        <v>323</v>
      </c>
      <c r="E22" s="403" t="s">
        <v>324</v>
      </c>
      <c r="F22" s="403" t="s">
        <v>325</v>
      </c>
      <c r="G22" s="404" t="s">
        <v>324</v>
      </c>
      <c r="H22" s="404" t="s">
        <v>325</v>
      </c>
    </row>
    <row r="23" spans="1:8" ht="12.75">
      <c r="A23" s="294" t="s">
        <v>336</v>
      </c>
      <c r="B23" s="405">
        <v>2.5</v>
      </c>
      <c r="C23" s="294"/>
      <c r="D23" s="294">
        <v>10</v>
      </c>
      <c r="E23" s="406">
        <v>3200</v>
      </c>
      <c r="F23" s="406">
        <v>3500</v>
      </c>
      <c r="G23" s="294"/>
      <c r="H23" s="294"/>
    </row>
    <row r="24" spans="1:13" ht="12.75">
      <c r="A24" s="294" t="s">
        <v>337</v>
      </c>
      <c r="B24" s="405">
        <v>3</v>
      </c>
      <c r="C24" s="294"/>
      <c r="D24" s="294">
        <v>10</v>
      </c>
      <c r="E24" s="406">
        <v>3400</v>
      </c>
      <c r="F24" s="406">
        <v>3700</v>
      </c>
      <c r="G24" s="294"/>
      <c r="H24" s="294"/>
      <c r="K24" s="5"/>
      <c r="L24" s="5"/>
      <c r="M24" s="5"/>
    </row>
    <row r="25" spans="1:8" ht="12.75">
      <c r="A25" s="294" t="s">
        <v>338</v>
      </c>
      <c r="B25" s="405">
        <v>3.5</v>
      </c>
      <c r="C25" s="294"/>
      <c r="D25" s="294">
        <v>10</v>
      </c>
      <c r="E25" s="406">
        <v>3600</v>
      </c>
      <c r="F25" s="406">
        <v>3900</v>
      </c>
      <c r="G25" s="294"/>
      <c r="H25" s="294"/>
    </row>
    <row r="26" spans="1:8" ht="12.75">
      <c r="A26" s="294" t="s">
        <v>339</v>
      </c>
      <c r="B26" s="405">
        <v>4</v>
      </c>
      <c r="C26" s="294"/>
      <c r="D26" s="294">
        <v>10</v>
      </c>
      <c r="E26" s="406">
        <v>3800</v>
      </c>
      <c r="F26" s="406">
        <v>4100</v>
      </c>
      <c r="G26" s="294"/>
      <c r="H26" s="294"/>
    </row>
    <row r="27" spans="1:8" ht="12.75">
      <c r="A27" s="294"/>
      <c r="B27" s="405"/>
      <c r="C27" s="294"/>
      <c r="D27" s="294"/>
      <c r="E27" s="406"/>
      <c r="F27" s="406"/>
      <c r="G27" s="294"/>
      <c r="H27" s="294"/>
    </row>
    <row r="28" spans="1:8" ht="12.75">
      <c r="A28" s="294" t="s">
        <v>340</v>
      </c>
      <c r="B28" s="405">
        <v>2.5</v>
      </c>
      <c r="C28" s="294"/>
      <c r="D28" s="294">
        <v>11</v>
      </c>
      <c r="E28" s="406">
        <v>3400</v>
      </c>
      <c r="F28" s="406">
        <v>3700</v>
      </c>
      <c r="G28" s="407">
        <f aca="true" t="shared" si="1" ref="G28:H31">E28-E23</f>
        <v>200</v>
      </c>
      <c r="H28" s="407">
        <f t="shared" si="1"/>
        <v>200</v>
      </c>
    </row>
    <row r="29" spans="1:8" ht="12.75">
      <c r="A29" s="294" t="s">
        <v>341</v>
      </c>
      <c r="B29" s="405">
        <v>3</v>
      </c>
      <c r="C29" s="294"/>
      <c r="D29" s="294">
        <v>11</v>
      </c>
      <c r="E29" s="406">
        <v>3600</v>
      </c>
      <c r="F29" s="406">
        <v>3900</v>
      </c>
      <c r="G29" s="407">
        <f t="shared" si="1"/>
        <v>200</v>
      </c>
      <c r="H29" s="407">
        <f t="shared" si="1"/>
        <v>200</v>
      </c>
    </row>
    <row r="30" spans="1:8" ht="12.75">
      <c r="A30" s="294" t="s">
        <v>342</v>
      </c>
      <c r="B30" s="405">
        <v>3.5</v>
      </c>
      <c r="C30" s="294"/>
      <c r="D30" s="294">
        <v>11</v>
      </c>
      <c r="E30" s="406">
        <v>3800</v>
      </c>
      <c r="F30" s="406">
        <v>4100</v>
      </c>
      <c r="G30" s="407">
        <f t="shared" si="1"/>
        <v>200</v>
      </c>
      <c r="H30" s="407">
        <f t="shared" si="1"/>
        <v>200</v>
      </c>
    </row>
    <row r="31" spans="1:8" ht="12.75">
      <c r="A31" s="294" t="s">
        <v>343</v>
      </c>
      <c r="B31" s="405">
        <v>4</v>
      </c>
      <c r="C31" s="294"/>
      <c r="D31" s="294">
        <v>11</v>
      </c>
      <c r="E31" s="406">
        <v>4000</v>
      </c>
      <c r="F31" s="406">
        <v>4300</v>
      </c>
      <c r="G31" s="407">
        <f t="shared" si="1"/>
        <v>200</v>
      </c>
      <c r="H31" s="407">
        <f t="shared" si="1"/>
        <v>200</v>
      </c>
    </row>
    <row r="32" spans="1:8" ht="12.75">
      <c r="A32" s="294"/>
      <c r="B32" s="405"/>
      <c r="C32" s="294"/>
      <c r="D32" s="294"/>
      <c r="E32" s="406"/>
      <c r="F32" s="406"/>
      <c r="G32" s="294"/>
      <c r="H32" s="294"/>
    </row>
    <row r="33" spans="1:8" ht="12.75">
      <c r="A33" s="294" t="s">
        <v>344</v>
      </c>
      <c r="B33" s="405">
        <v>2.5</v>
      </c>
      <c r="C33" s="294"/>
      <c r="D33" s="294">
        <v>13</v>
      </c>
      <c r="E33" s="406">
        <v>4000</v>
      </c>
      <c r="F33" s="406">
        <v>4300</v>
      </c>
      <c r="G33" s="407">
        <f aca="true" t="shared" si="2" ref="G33:H36">E33-E28</f>
        <v>600</v>
      </c>
      <c r="H33" s="407">
        <f t="shared" si="2"/>
        <v>600</v>
      </c>
    </row>
    <row r="34" spans="1:8" ht="12.75">
      <c r="A34" s="294" t="s">
        <v>345</v>
      </c>
      <c r="B34" s="405">
        <v>3</v>
      </c>
      <c r="C34" s="294"/>
      <c r="D34" s="294">
        <v>13</v>
      </c>
      <c r="E34" s="406">
        <v>4200</v>
      </c>
      <c r="F34" s="406">
        <v>4500</v>
      </c>
      <c r="G34" s="407">
        <f t="shared" si="2"/>
        <v>600</v>
      </c>
      <c r="H34" s="407">
        <f t="shared" si="2"/>
        <v>600</v>
      </c>
    </row>
    <row r="35" spans="1:18" ht="12.75">
      <c r="A35" s="294" t="s">
        <v>346</v>
      </c>
      <c r="B35" s="405">
        <v>3.5</v>
      </c>
      <c r="C35" s="294"/>
      <c r="D35" s="294">
        <v>13</v>
      </c>
      <c r="E35" s="406">
        <v>4400</v>
      </c>
      <c r="F35" s="406">
        <v>4700</v>
      </c>
      <c r="G35" s="407">
        <f t="shared" si="2"/>
        <v>600</v>
      </c>
      <c r="H35" s="407">
        <f t="shared" si="2"/>
        <v>600</v>
      </c>
      <c r="Q35" t="s">
        <v>502</v>
      </c>
      <c r="R35" s="234">
        <v>1.0361059885470252</v>
      </c>
    </row>
    <row r="36" spans="1:19" ht="51">
      <c r="A36" s="294" t="s">
        <v>347</v>
      </c>
      <c r="B36" s="405">
        <v>4</v>
      </c>
      <c r="C36" s="294"/>
      <c r="D36" s="294">
        <v>13</v>
      </c>
      <c r="E36" s="406">
        <v>4600</v>
      </c>
      <c r="F36" s="406">
        <v>4900</v>
      </c>
      <c r="G36" s="407">
        <f t="shared" si="2"/>
        <v>600</v>
      </c>
      <c r="H36" s="407">
        <f t="shared" si="2"/>
        <v>600</v>
      </c>
      <c r="P36" s="176" t="s">
        <v>503</v>
      </c>
      <c r="Q36" s="408" t="s">
        <v>352</v>
      </c>
      <c r="R36" s="408" t="s">
        <v>504</v>
      </c>
      <c r="S36" s="408" t="s">
        <v>505</v>
      </c>
    </row>
    <row r="37" spans="1:19" ht="12.75">
      <c r="A37" s="105" t="s">
        <v>334</v>
      </c>
      <c r="B37" s="5"/>
      <c r="C37" s="5"/>
      <c r="D37" s="5"/>
      <c r="E37" s="5"/>
      <c r="F37" s="5"/>
      <c r="G37" s="5"/>
      <c r="H37" s="5"/>
      <c r="P37" s="409" t="s">
        <v>506</v>
      </c>
      <c r="Q37" s="235">
        <f>$F$41</f>
        <v>3345.21</v>
      </c>
      <c r="R37" s="235">
        <f>$J$61*$R$35</f>
        <v>80.98178841980899</v>
      </c>
      <c r="S37" s="235">
        <f>$R$35*$L$61</f>
        <v>391.7007074493652</v>
      </c>
    </row>
    <row r="38" spans="1:19" ht="37.5" customHeight="1">
      <c r="A38" s="508" t="s">
        <v>348</v>
      </c>
      <c r="B38" s="508"/>
      <c r="C38" s="508"/>
      <c r="D38" s="508"/>
      <c r="E38" s="508"/>
      <c r="F38" s="508"/>
      <c r="G38" s="5"/>
      <c r="H38" s="5"/>
      <c r="P38" s="409" t="s">
        <v>507</v>
      </c>
      <c r="Q38" s="235">
        <v>0</v>
      </c>
      <c r="R38" s="176"/>
      <c r="S38" s="176"/>
    </row>
    <row r="39" spans="1:19" ht="12.75">
      <c r="A39" s="5"/>
      <c r="B39" s="5"/>
      <c r="C39" s="5"/>
      <c r="D39" s="5"/>
      <c r="E39" s="5"/>
      <c r="F39" s="5"/>
      <c r="G39" s="5"/>
      <c r="H39" s="5"/>
      <c r="P39" s="409" t="s">
        <v>508</v>
      </c>
      <c r="Q39" s="235">
        <f>$E$51</f>
        <v>3235</v>
      </c>
      <c r="R39" s="235">
        <f>$J$61*$R$35</f>
        <v>80.98178841980899</v>
      </c>
      <c r="S39" s="235">
        <f>$R$35*$L$61</f>
        <v>391.7007074493652</v>
      </c>
    </row>
    <row r="40" spans="1:19" ht="12.75">
      <c r="A40" s="239" t="s">
        <v>349</v>
      </c>
      <c r="B40" s="240"/>
      <c r="C40" s="5"/>
      <c r="D40" s="5"/>
      <c r="E40" s="5"/>
      <c r="F40" s="5"/>
      <c r="G40" s="5"/>
      <c r="H40" s="5"/>
      <c r="P40" s="409" t="s">
        <v>509</v>
      </c>
      <c r="Q40" s="235">
        <v>0</v>
      </c>
      <c r="R40" s="176"/>
      <c r="S40" s="176"/>
    </row>
    <row r="41" spans="1:19" ht="12.75">
      <c r="A41" s="241" t="s">
        <v>350</v>
      </c>
      <c r="B41" s="242"/>
      <c r="C41" s="5"/>
      <c r="D41" s="5" t="s">
        <v>510</v>
      </c>
      <c r="E41" s="5"/>
      <c r="F41" s="410">
        <v>3345.21</v>
      </c>
      <c r="G41" s="5"/>
      <c r="H41" s="5"/>
      <c r="L41" s="5"/>
      <c r="P41" s="409" t="s">
        <v>511</v>
      </c>
      <c r="Q41" s="235">
        <f>$E$50</f>
        <v>2850</v>
      </c>
      <c r="R41" s="235">
        <f>$J$61*$R$35</f>
        <v>80.98178841980899</v>
      </c>
      <c r="S41" s="235">
        <f>$R$35*$L$61</f>
        <v>391.7007074493652</v>
      </c>
    </row>
    <row r="42" spans="1:19" ht="12.75">
      <c r="A42" s="243" t="s">
        <v>351</v>
      </c>
      <c r="B42" s="244" t="s">
        <v>352</v>
      </c>
      <c r="C42" s="245"/>
      <c r="D42" s="5" t="s">
        <v>512</v>
      </c>
      <c r="E42" s="5"/>
      <c r="F42" s="5"/>
      <c r="G42" s="5"/>
      <c r="H42" s="5"/>
      <c r="L42" s="245"/>
      <c r="P42" s="409" t="s">
        <v>513</v>
      </c>
      <c r="Q42" s="235">
        <v>0</v>
      </c>
      <c r="R42" s="411"/>
      <c r="S42" s="176"/>
    </row>
    <row r="43" spans="1:19" ht="12.75">
      <c r="A43" s="246" t="s">
        <v>353</v>
      </c>
      <c r="B43" s="247">
        <v>1755</v>
      </c>
      <c r="C43" s="5"/>
      <c r="D43" s="5"/>
      <c r="E43" s="5"/>
      <c r="F43" s="5"/>
      <c r="G43" s="5"/>
      <c r="H43" s="5"/>
      <c r="L43" s="5"/>
      <c r="P43" s="409" t="s">
        <v>514</v>
      </c>
      <c r="Q43" s="235">
        <f>$F$41</f>
        <v>3345.21</v>
      </c>
      <c r="R43" s="238">
        <f>$K$61*$R$35</f>
        <v>0.8232209896770697</v>
      </c>
      <c r="S43" s="235">
        <f>$R$35*$M$61</f>
        <v>31.225151497824463</v>
      </c>
    </row>
    <row r="44" spans="1:19" ht="12.75">
      <c r="A44" s="246" t="s">
        <v>354</v>
      </c>
      <c r="B44" s="248">
        <v>1920</v>
      </c>
      <c r="C44" s="5"/>
      <c r="D44" s="5"/>
      <c r="E44" s="5"/>
      <c r="F44" s="5"/>
      <c r="G44" s="5"/>
      <c r="H44" s="5"/>
      <c r="L44" s="5"/>
      <c r="P44" s="409" t="s">
        <v>515</v>
      </c>
      <c r="Q44" s="235">
        <v>0</v>
      </c>
      <c r="R44" s="294"/>
      <c r="S44" s="176"/>
    </row>
    <row r="45" spans="1:19" ht="12.75">
      <c r="A45" s="246" t="s">
        <v>355</v>
      </c>
      <c r="B45" s="248">
        <v>2035</v>
      </c>
      <c r="C45" s="5"/>
      <c r="D45" s="5"/>
      <c r="E45" s="5"/>
      <c r="F45" s="5"/>
      <c r="G45" s="5"/>
      <c r="H45" s="5"/>
      <c r="P45" s="409" t="s">
        <v>516</v>
      </c>
      <c r="Q45" s="235">
        <f>$E$51</f>
        <v>3235</v>
      </c>
      <c r="R45" s="238">
        <f>$K$61*$R$35</f>
        <v>0.8232209896770697</v>
      </c>
      <c r="S45" s="235">
        <f>$R$35*$M$61</f>
        <v>31.225151497824463</v>
      </c>
    </row>
    <row r="46" spans="1:19" ht="12.75">
      <c r="A46" s="5"/>
      <c r="B46" s="5"/>
      <c r="C46" s="5"/>
      <c r="D46" s="5"/>
      <c r="E46" s="5"/>
      <c r="F46" s="5"/>
      <c r="G46" s="5"/>
      <c r="H46" s="5"/>
      <c r="P46" s="409" t="s">
        <v>517</v>
      </c>
      <c r="Q46" s="235">
        <v>0</v>
      </c>
      <c r="R46" s="176"/>
      <c r="S46" s="176"/>
    </row>
    <row r="47" spans="1:19" ht="12.75">
      <c r="A47" s="249" t="s">
        <v>356</v>
      </c>
      <c r="B47" s="242"/>
      <c r="C47" s="250"/>
      <c r="D47" s="249" t="s">
        <v>357</v>
      </c>
      <c r="E47" s="242"/>
      <c r="F47" s="250"/>
      <c r="G47" s="250"/>
      <c r="H47" s="5"/>
      <c r="P47" s="409" t="s">
        <v>518</v>
      </c>
      <c r="Q47" s="235">
        <f>$E$50</f>
        <v>2850</v>
      </c>
      <c r="R47" s="238">
        <f>$K$61*$R$35</f>
        <v>0.8232209896770697</v>
      </c>
      <c r="S47" s="235">
        <f>$R$35*$M$61</f>
        <v>31.225151497824463</v>
      </c>
    </row>
    <row r="48" spans="1:19" ht="25.5">
      <c r="A48" s="251" t="s">
        <v>351</v>
      </c>
      <c r="B48" s="252" t="s">
        <v>352</v>
      </c>
      <c r="C48" s="253"/>
      <c r="D48" s="251" t="s">
        <v>351</v>
      </c>
      <c r="E48" s="252" t="s">
        <v>352</v>
      </c>
      <c r="F48" s="253" t="s">
        <v>319</v>
      </c>
      <c r="G48" s="256"/>
      <c r="H48" s="5"/>
      <c r="K48" s="412" t="s">
        <v>519</v>
      </c>
      <c r="L48" s="412"/>
      <c r="P48" s="409" t="s">
        <v>520</v>
      </c>
      <c r="Q48" s="235">
        <v>0</v>
      </c>
      <c r="R48" s="176"/>
      <c r="S48" s="176"/>
    </row>
    <row r="49" spans="1:19" ht="12.75">
      <c r="A49" s="254" t="s">
        <v>353</v>
      </c>
      <c r="B49" s="255">
        <v>2275</v>
      </c>
      <c r="C49" s="256"/>
      <c r="D49" s="254" t="s">
        <v>353</v>
      </c>
      <c r="E49" s="255">
        <v>2700</v>
      </c>
      <c r="F49" s="257">
        <f>E49-B49</f>
        <v>425</v>
      </c>
      <c r="G49" s="256"/>
      <c r="H49" s="5"/>
      <c r="K49" s="176" t="s">
        <v>466</v>
      </c>
      <c r="L49" s="336">
        <f>IF('CAC &amp; HP Use &amp; Savings'!R$143=1,425,0)</f>
        <v>425</v>
      </c>
      <c r="P49" s="409" t="s">
        <v>521</v>
      </c>
      <c r="Q49" s="235">
        <f>$F$41+'[4]Zonal to Ducted System Cost'!$E$4</f>
        <v>5425.21</v>
      </c>
      <c r="R49" s="235">
        <f>$J$61*$R$35</f>
        <v>80.98178841980899</v>
      </c>
      <c r="S49" s="235">
        <f>$R$35*$L$61</f>
        <v>391.7007074493652</v>
      </c>
    </row>
    <row r="50" spans="1:19" ht="12.75">
      <c r="A50" s="254" t="s">
        <v>354</v>
      </c>
      <c r="B50" s="258">
        <v>2400</v>
      </c>
      <c r="C50" s="256"/>
      <c r="D50" s="254" t="s">
        <v>354</v>
      </c>
      <c r="E50" s="258">
        <v>2850</v>
      </c>
      <c r="F50" s="257">
        <f>E50-B50</f>
        <v>450</v>
      </c>
      <c r="G50" s="256"/>
      <c r="H50" s="5"/>
      <c r="K50" s="176" t="s">
        <v>522</v>
      </c>
      <c r="L50" s="336">
        <f>IF('CAC &amp; HP Use &amp; Savings'!T$143=1,225,0)</f>
        <v>225</v>
      </c>
      <c r="P50" s="409" t="s">
        <v>523</v>
      </c>
      <c r="Q50" s="235">
        <v>0</v>
      </c>
      <c r="R50" s="176"/>
      <c r="S50" s="176"/>
    </row>
    <row r="51" spans="1:19" ht="12.75">
      <c r="A51" s="254" t="s">
        <v>355</v>
      </c>
      <c r="B51" s="258">
        <v>2600</v>
      </c>
      <c r="C51" s="256"/>
      <c r="D51" s="254" t="s">
        <v>355</v>
      </c>
      <c r="E51" s="258">
        <v>3235</v>
      </c>
      <c r="F51" s="257">
        <f>E51-B51</f>
        <v>635</v>
      </c>
      <c r="G51" s="256"/>
      <c r="H51" s="5"/>
      <c r="K51" s="176" t="s">
        <v>57</v>
      </c>
      <c r="L51" s="336">
        <f>SUM(L49:L50)</f>
        <v>650</v>
      </c>
      <c r="P51" s="409" t="s">
        <v>524</v>
      </c>
      <c r="Q51" s="235">
        <f>$E$51+'[4]Zonal to Ducted System Cost'!E4</f>
        <v>5315</v>
      </c>
      <c r="R51" s="235">
        <f>$J$61*$R$35</f>
        <v>80.98178841980899</v>
      </c>
      <c r="S51" s="235">
        <f>$R$35*$L$61</f>
        <v>391.7007074493652</v>
      </c>
    </row>
    <row r="52" spans="1:19" ht="12.75">
      <c r="A52" s="5" t="s">
        <v>358</v>
      </c>
      <c r="B52" s="5"/>
      <c r="C52" s="5"/>
      <c r="D52" s="5"/>
      <c r="E52" s="5"/>
      <c r="F52" s="5"/>
      <c r="G52" s="5"/>
      <c r="H52" s="5"/>
      <c r="P52" s="409" t="s">
        <v>525</v>
      </c>
      <c r="Q52" s="235">
        <v>0</v>
      </c>
      <c r="R52" s="176"/>
      <c r="S52" s="176"/>
    </row>
    <row r="53" spans="1:19" ht="12.75">
      <c r="A53" s="413" t="s">
        <v>526</v>
      </c>
      <c r="B53" s="60">
        <v>1.03802980452874</v>
      </c>
      <c r="M53" s="414"/>
      <c r="N53" s="415"/>
      <c r="P53" s="409" t="s">
        <v>527</v>
      </c>
      <c r="Q53" s="235">
        <f>$E$50+'[4]Zonal to Ducted System Cost'!$E$4</f>
        <v>4930</v>
      </c>
      <c r="R53" s="235">
        <f>$J$61*$R$35</f>
        <v>80.98178841980899</v>
      </c>
      <c r="S53" s="235">
        <f>$R$35*$L$61</f>
        <v>391.7007074493652</v>
      </c>
    </row>
    <row r="54" spans="13:28" ht="15">
      <c r="M54" s="414"/>
      <c r="N54" s="416"/>
      <c r="P54" s="409" t="s">
        <v>528</v>
      </c>
      <c r="Q54" s="417">
        <v>0</v>
      </c>
      <c r="R54" s="418"/>
      <c r="S54" s="418"/>
      <c r="W54" s="259"/>
      <c r="X54" s="259"/>
      <c r="Y54" s="259"/>
      <c r="Z54" s="259"/>
      <c r="AA54" s="259"/>
      <c r="AB54" s="259"/>
    </row>
    <row r="55" spans="1:28" s="260" customFormat="1" ht="15.75">
      <c r="A55" s="419" t="s">
        <v>529</v>
      </c>
      <c r="B55" s="420"/>
      <c r="C55" s="420"/>
      <c r="D55" s="420"/>
      <c r="E55" s="420"/>
      <c r="F55" s="420"/>
      <c r="G55" s="420"/>
      <c r="H55" s="420"/>
      <c r="I55" s="420"/>
      <c r="J55" s="420"/>
      <c r="K55" s="259"/>
      <c r="L55" s="259"/>
      <c r="M55" s="421"/>
      <c r="N55" s="422"/>
      <c r="O55"/>
      <c r="P55"/>
      <c r="Q55"/>
      <c r="R55"/>
      <c r="S55"/>
      <c r="T55"/>
      <c r="U55"/>
      <c r="V55"/>
      <c r="W55"/>
      <c r="X55"/>
      <c r="Y55"/>
      <c r="Z55"/>
      <c r="AA55"/>
      <c r="AB55"/>
    </row>
    <row r="56" spans="1:28" s="264" customFormat="1" ht="12.75">
      <c r="A56" s="105" t="s">
        <v>530</v>
      </c>
      <c r="B56" s="261"/>
      <c r="C56" s="262"/>
      <c r="D56" s="5"/>
      <c r="E56" s="262"/>
      <c r="F56" s="262"/>
      <c r="G56" s="262"/>
      <c r="H56" s="262"/>
      <c r="I56" s="262"/>
      <c r="J56" s="262"/>
      <c r="K56" s="5"/>
      <c r="L56" s="5"/>
      <c r="M56" s="263"/>
      <c r="N56" s="422"/>
      <c r="O56"/>
      <c r="P56"/>
      <c r="Q56"/>
      <c r="R56"/>
      <c r="S56"/>
      <c r="T56"/>
      <c r="U56"/>
      <c r="V56"/>
      <c r="W56"/>
      <c r="X56"/>
      <c r="Y56"/>
      <c r="Z56"/>
      <c r="AA56"/>
      <c r="AB56"/>
    </row>
    <row r="57" spans="1:28" s="264" customFormat="1" ht="76.5">
      <c r="A57" s="408" t="s">
        <v>359</v>
      </c>
      <c r="B57" s="423" t="s">
        <v>360</v>
      </c>
      <c r="C57" s="408" t="s">
        <v>361</v>
      </c>
      <c r="D57" s="408" t="s">
        <v>362</v>
      </c>
      <c r="E57" s="408" t="s">
        <v>363</v>
      </c>
      <c r="F57" s="408" t="s">
        <v>531</v>
      </c>
      <c r="G57" s="408" t="s">
        <v>532</v>
      </c>
      <c r="H57" s="408" t="s">
        <v>533</v>
      </c>
      <c r="I57" s="408" t="s">
        <v>534</v>
      </c>
      <c r="J57" s="408" t="s">
        <v>504</v>
      </c>
      <c r="K57" s="408" t="s">
        <v>364</v>
      </c>
      <c r="L57" s="408" t="s">
        <v>365</v>
      </c>
      <c r="M57" s="408" t="s">
        <v>366</v>
      </c>
      <c r="N57" s="415"/>
      <c r="O57"/>
      <c r="P57"/>
      <c r="Q57"/>
      <c r="R57"/>
      <c r="S57"/>
      <c r="T57"/>
      <c r="U57"/>
      <c r="V57"/>
      <c r="W57"/>
      <c r="X57"/>
      <c r="Y57"/>
      <c r="Z57"/>
      <c r="AA57"/>
      <c r="AB57"/>
    </row>
    <row r="58" spans="1:28" s="264" customFormat="1" ht="12.75">
      <c r="A58" s="283">
        <v>0</v>
      </c>
      <c r="B58" s="284" t="s">
        <v>367</v>
      </c>
      <c r="C58" s="285">
        <v>10</v>
      </c>
      <c r="D58" s="286">
        <v>6.8</v>
      </c>
      <c r="E58" s="287">
        <v>0</v>
      </c>
      <c r="F58" s="336">
        <v>3807.6811560138576</v>
      </c>
      <c r="G58" s="274"/>
      <c r="H58" s="336">
        <v>39.13765675133901</v>
      </c>
      <c r="I58" s="336">
        <v>37.83618637507257</v>
      </c>
      <c r="J58" s="336">
        <f>SUM(H58:I58)</f>
        <v>76.97384312641158</v>
      </c>
      <c r="K58" s="276">
        <v>0</v>
      </c>
      <c r="L58" s="336">
        <v>293.2904280264584</v>
      </c>
      <c r="M58" s="276">
        <v>0</v>
      </c>
      <c r="N58" s="424"/>
      <c r="O58"/>
      <c r="P58"/>
      <c r="Q58"/>
      <c r="R58"/>
      <c r="S58"/>
      <c r="T58"/>
      <c r="U58"/>
      <c r="V58"/>
      <c r="W58" s="425"/>
      <c r="X58" s="425"/>
      <c r="Y58" s="425"/>
      <c r="Z58" s="425"/>
      <c r="AA58" s="425"/>
      <c r="AB58"/>
    </row>
    <row r="59" spans="1:28" s="264" customFormat="1" ht="12.75">
      <c r="A59" s="269" t="s">
        <v>290</v>
      </c>
      <c r="B59" s="270" t="s">
        <v>368</v>
      </c>
      <c r="C59" s="271">
        <v>11</v>
      </c>
      <c r="D59" s="272">
        <v>7.1</v>
      </c>
      <c r="E59" s="273">
        <v>0.1</v>
      </c>
      <c r="F59" s="336">
        <v>3922.4331095205703</v>
      </c>
      <c r="G59" s="275">
        <f aca="true" t="shared" si="3" ref="G59:G64">F59-F$59</f>
        <v>0</v>
      </c>
      <c r="H59" s="336">
        <v>39.529033318852406</v>
      </c>
      <c r="I59" s="336">
        <v>37.83618637507257</v>
      </c>
      <c r="J59" s="336">
        <f aca="true" t="shared" si="4" ref="J59:J64">SUM(H59:I59)</f>
        <v>77.36521969392498</v>
      </c>
      <c r="K59" s="276">
        <f aca="true" t="shared" si="5" ref="K59:K64">J59-J$59</f>
        <v>0</v>
      </c>
      <c r="L59" s="336">
        <v>347.91378482142613</v>
      </c>
      <c r="M59" s="276">
        <f aca="true" t="shared" si="6" ref="M59:M64">L59-L$59</f>
        <v>0</v>
      </c>
      <c r="N59" s="426"/>
      <c r="O59"/>
      <c r="P59"/>
      <c r="Q59"/>
      <c r="R59"/>
      <c r="S59"/>
      <c r="T59"/>
      <c r="U59"/>
      <c r="V59"/>
      <c r="W59" s="425"/>
      <c r="X59" s="425"/>
      <c r="Y59" s="425"/>
      <c r="Z59" s="425"/>
      <c r="AA59" s="425"/>
      <c r="AB59"/>
    </row>
    <row r="60" spans="1:28" s="264" customFormat="1" ht="12.75">
      <c r="A60" s="269">
        <v>2</v>
      </c>
      <c r="B60" s="270" t="s">
        <v>369</v>
      </c>
      <c r="C60" s="271">
        <v>12</v>
      </c>
      <c r="D60" s="272">
        <v>7.4</v>
      </c>
      <c r="E60" s="273">
        <v>0.2</v>
      </c>
      <c r="F60" s="336">
        <v>4083.0858444299693</v>
      </c>
      <c r="G60" s="275">
        <f t="shared" si="3"/>
        <v>160.652734909399</v>
      </c>
      <c r="H60" s="336">
        <v>39.92432365204093</v>
      </c>
      <c r="I60" s="336">
        <v>37.83618637507257</v>
      </c>
      <c r="J60" s="336">
        <f t="shared" si="4"/>
        <v>77.7605100271135</v>
      </c>
      <c r="K60" s="276">
        <f t="shared" si="5"/>
        <v>0.3952903331885125</v>
      </c>
      <c r="L60" s="336">
        <v>347.91378482142613</v>
      </c>
      <c r="M60" s="276">
        <f t="shared" si="6"/>
        <v>0</v>
      </c>
      <c r="N60" s="426"/>
      <c r="O60"/>
      <c r="P60"/>
      <c r="Q60"/>
      <c r="R60"/>
      <c r="S60"/>
      <c r="T60"/>
      <c r="U60"/>
      <c r="V60"/>
      <c r="W60" s="425"/>
      <c r="X60" s="425"/>
      <c r="Y60" s="425"/>
      <c r="Z60" s="425"/>
      <c r="AA60" s="425"/>
      <c r="AB60"/>
    </row>
    <row r="61" spans="1:27" s="264" customFormat="1" ht="12.75">
      <c r="A61" s="269">
        <v>3</v>
      </c>
      <c r="B61" s="270" t="s">
        <v>370</v>
      </c>
      <c r="C61" s="271">
        <v>13</v>
      </c>
      <c r="D61" s="272">
        <v>8</v>
      </c>
      <c r="E61" s="273">
        <v>0.3</v>
      </c>
      <c r="F61" s="336">
        <v>4312.589751443395</v>
      </c>
      <c r="G61" s="275">
        <f t="shared" si="3"/>
        <v>390.1566419228243</v>
      </c>
      <c r="H61" s="336">
        <v>40.32356688856134</v>
      </c>
      <c r="I61" s="336">
        <v>37.83618637507257</v>
      </c>
      <c r="J61" s="336">
        <f t="shared" si="4"/>
        <v>78.15975326363392</v>
      </c>
      <c r="K61" s="276">
        <f t="shared" si="5"/>
        <v>0.794533569708932</v>
      </c>
      <c r="L61" s="336">
        <v>378.050809260029</v>
      </c>
      <c r="M61" s="276">
        <f t="shared" si="6"/>
        <v>30.13702443860285</v>
      </c>
      <c r="N61" s="426"/>
      <c r="O61"/>
      <c r="P61"/>
      <c r="Q61"/>
      <c r="R61"/>
      <c r="S61"/>
      <c r="T61"/>
      <c r="U61"/>
      <c r="V61"/>
      <c r="W61" s="425"/>
      <c r="X61" s="425"/>
      <c r="Y61" s="425"/>
      <c r="Z61" s="425"/>
      <c r="AA61" s="425"/>
    </row>
    <row r="62" spans="1:28" s="264" customFormat="1" ht="12.75">
      <c r="A62" s="269">
        <v>4</v>
      </c>
      <c r="B62" s="270" t="s">
        <v>371</v>
      </c>
      <c r="C62" s="271">
        <v>14</v>
      </c>
      <c r="D62" s="272">
        <v>8.1</v>
      </c>
      <c r="E62" s="273">
        <v>0.4</v>
      </c>
      <c r="F62" s="336">
        <v>4542.093658456822</v>
      </c>
      <c r="G62" s="275">
        <f t="shared" si="3"/>
        <v>619.6605489362514</v>
      </c>
      <c r="H62" s="336">
        <v>59.08472058349591</v>
      </c>
      <c r="I62" s="336">
        <v>37.83618637507257</v>
      </c>
      <c r="J62" s="336">
        <f t="shared" si="4"/>
        <v>96.92090695856848</v>
      </c>
      <c r="K62" s="276">
        <f t="shared" si="5"/>
        <v>19.555687264643495</v>
      </c>
      <c r="L62" s="336">
        <v>483.53039479513905</v>
      </c>
      <c r="M62" s="276">
        <f t="shared" si="6"/>
        <v>135.6166099737129</v>
      </c>
      <c r="N62" s="426"/>
      <c r="O62"/>
      <c r="P62"/>
      <c r="Q62"/>
      <c r="R62"/>
      <c r="S62"/>
      <c r="T62"/>
      <c r="U62"/>
      <c r="V62"/>
      <c r="W62" s="425"/>
      <c r="X62" s="425"/>
      <c r="Y62" s="425"/>
      <c r="Z62" s="425"/>
      <c r="AA62" s="425"/>
      <c r="AB62" s="288"/>
    </row>
    <row r="63" spans="1:28" s="264" customFormat="1" ht="12.75">
      <c r="A63" s="277">
        <v>5</v>
      </c>
      <c r="B63" s="270" t="s">
        <v>372</v>
      </c>
      <c r="C63" s="271">
        <v>15</v>
      </c>
      <c r="D63" s="272">
        <v>8.2</v>
      </c>
      <c r="E63" s="278">
        <v>0.5</v>
      </c>
      <c r="F63" s="336">
        <v>5058.47744923703</v>
      </c>
      <c r="G63" s="275">
        <f t="shared" si="3"/>
        <v>1136.0443397164595</v>
      </c>
      <c r="H63" s="336">
        <v>73.10999984048122</v>
      </c>
      <c r="I63" s="336">
        <v>37.83618637507257</v>
      </c>
      <c r="J63" s="336">
        <f t="shared" si="4"/>
        <v>110.9461862155538</v>
      </c>
      <c r="K63" s="276">
        <f t="shared" si="5"/>
        <v>33.58096652162881</v>
      </c>
      <c r="L63" s="336">
        <v>585.2428522754237</v>
      </c>
      <c r="M63" s="276">
        <f t="shared" si="6"/>
        <v>237.3290674539976</v>
      </c>
      <c r="N63" s="427"/>
      <c r="O63"/>
      <c r="P63"/>
      <c r="Q63"/>
      <c r="R63"/>
      <c r="S63"/>
      <c r="T63"/>
      <c r="U63"/>
      <c r="V63"/>
      <c r="W63" s="425"/>
      <c r="X63" s="425"/>
      <c r="Y63" s="425"/>
      <c r="Z63" s="425"/>
      <c r="AA63" s="425"/>
      <c r="AB63" s="288"/>
    </row>
    <row r="64" spans="1:28" s="264" customFormat="1" ht="12.75">
      <c r="A64" s="269">
        <v>6</v>
      </c>
      <c r="B64" s="270" t="s">
        <v>535</v>
      </c>
      <c r="C64" s="271">
        <v>18</v>
      </c>
      <c r="D64" s="272">
        <v>8.4</v>
      </c>
      <c r="E64" s="273">
        <v>0.6</v>
      </c>
      <c r="F64" s="336">
        <v>5058.47744923703</v>
      </c>
      <c r="G64" s="275">
        <f t="shared" si="3"/>
        <v>1136.0443397164595</v>
      </c>
      <c r="H64" s="336">
        <v>73.10999984048122</v>
      </c>
      <c r="I64" s="336">
        <v>37.83618637507257</v>
      </c>
      <c r="J64" s="336">
        <f t="shared" si="4"/>
        <v>110.9461862155538</v>
      </c>
      <c r="K64" s="276">
        <f t="shared" si="5"/>
        <v>33.58096652162881</v>
      </c>
      <c r="L64" s="336">
        <v>585.2428522754237</v>
      </c>
      <c r="M64" s="276">
        <f t="shared" si="6"/>
        <v>237.3290674539976</v>
      </c>
      <c r="N64" s="426"/>
      <c r="O64"/>
      <c r="P64"/>
      <c r="Q64"/>
      <c r="R64"/>
      <c r="S64"/>
      <c r="T64"/>
      <c r="U64"/>
      <c r="V64"/>
      <c r="W64" s="425"/>
      <c r="X64" s="425"/>
      <c r="Y64" s="425"/>
      <c r="Z64" s="425"/>
      <c r="AA64" s="425"/>
      <c r="AB64" s="288"/>
    </row>
    <row r="65" spans="23:28" ht="12.75">
      <c r="W65" s="288"/>
      <c r="X65" s="288"/>
      <c r="Y65" s="288"/>
      <c r="Z65" s="288"/>
      <c r="AA65" s="288"/>
      <c r="AB65" s="288"/>
    </row>
    <row r="66" spans="7:28" ht="12.75">
      <c r="G66" s="279"/>
      <c r="W66" s="288"/>
      <c r="X66" s="288"/>
      <c r="Y66" s="288"/>
      <c r="Z66" s="288"/>
      <c r="AA66" s="288"/>
      <c r="AB66" s="288"/>
    </row>
    <row r="67" spans="1:28" s="259" customFormat="1" ht="15.75">
      <c r="A67" s="419" t="s">
        <v>536</v>
      </c>
      <c r="B67" s="420"/>
      <c r="C67" s="420"/>
      <c r="D67" s="420"/>
      <c r="E67" s="420"/>
      <c r="F67" s="420"/>
      <c r="G67" s="420"/>
      <c r="H67" s="420"/>
      <c r="I67" s="420"/>
      <c r="J67" s="420"/>
      <c r="O67"/>
      <c r="P67"/>
      <c r="Q67"/>
      <c r="R67"/>
      <c r="S67"/>
      <c r="T67"/>
      <c r="U67"/>
      <c r="V67"/>
      <c r="W67" s="288"/>
      <c r="X67" s="288"/>
      <c r="Y67" s="288"/>
      <c r="Z67" s="288"/>
      <c r="AA67" s="288"/>
      <c r="AB67" s="288"/>
    </row>
    <row r="68" spans="1:28" ht="18.75">
      <c r="A68" s="105" t="s">
        <v>530</v>
      </c>
      <c r="B68" s="280"/>
      <c r="C68" s="281"/>
      <c r="D68" s="264"/>
      <c r="E68" s="282"/>
      <c r="F68" s="282"/>
      <c r="G68" s="282"/>
      <c r="H68" s="282"/>
      <c r="I68" s="282"/>
      <c r="J68" s="282"/>
      <c r="K68" s="264"/>
      <c r="L68" s="264"/>
      <c r="W68" s="288"/>
      <c r="X68" s="288"/>
      <c r="Y68" s="288"/>
      <c r="Z68" s="288"/>
      <c r="AA68" s="288"/>
      <c r="AB68" s="288"/>
    </row>
    <row r="69" spans="1:28" ht="36">
      <c r="A69" s="428" t="s">
        <v>359</v>
      </c>
      <c r="B69" s="429" t="s">
        <v>360</v>
      </c>
      <c r="C69" s="428" t="s">
        <v>361</v>
      </c>
      <c r="D69" s="428" t="s">
        <v>362</v>
      </c>
      <c r="E69" s="428" t="s">
        <v>363</v>
      </c>
      <c r="F69" s="428" t="s">
        <v>531</v>
      </c>
      <c r="G69" s="428" t="s">
        <v>532</v>
      </c>
      <c r="H69" s="428" t="s">
        <v>533</v>
      </c>
      <c r="I69" s="428" t="s">
        <v>534</v>
      </c>
      <c r="J69" s="428" t="s">
        <v>504</v>
      </c>
      <c r="K69" s="428" t="s">
        <v>364</v>
      </c>
      <c r="W69" s="288"/>
      <c r="X69" s="288"/>
      <c r="Y69" s="288"/>
      <c r="Z69" s="288"/>
      <c r="AA69" s="288"/>
      <c r="AB69" s="288"/>
    </row>
    <row r="70" spans="1:28" ht="12.75">
      <c r="A70" s="430">
        <v>0</v>
      </c>
      <c r="B70" s="431" t="s">
        <v>367</v>
      </c>
      <c r="C70" s="432">
        <v>10</v>
      </c>
      <c r="D70" s="433">
        <v>6.8</v>
      </c>
      <c r="E70" s="434">
        <v>0</v>
      </c>
      <c r="F70" s="336">
        <v>3736.249313490611</v>
      </c>
      <c r="G70" s="435"/>
      <c r="H70" s="336">
        <v>44.104930489471585</v>
      </c>
      <c r="I70" s="336">
        <v>37.83618637507257</v>
      </c>
      <c r="J70" s="435">
        <f>H70+I70</f>
        <v>81.94111686454416</v>
      </c>
      <c r="K70" s="176"/>
      <c r="Z70" s="288"/>
      <c r="AA70" s="288"/>
      <c r="AB70" s="288"/>
    </row>
    <row r="71" spans="1:11" ht="12.75">
      <c r="A71" s="436">
        <v>1</v>
      </c>
      <c r="B71" s="437" t="s">
        <v>537</v>
      </c>
      <c r="C71" s="438"/>
      <c r="D71" s="439"/>
      <c r="E71" s="440"/>
      <c r="F71" s="336">
        <v>0</v>
      </c>
      <c r="G71" s="441"/>
      <c r="H71" s="336">
        <v>0</v>
      </c>
      <c r="I71" s="336">
        <v>0</v>
      </c>
      <c r="J71" s="442"/>
      <c r="K71" s="176"/>
    </row>
    <row r="72" spans="1:14" ht="12.75">
      <c r="A72" s="443">
        <v>2</v>
      </c>
      <c r="B72" s="444" t="s">
        <v>369</v>
      </c>
      <c r="C72" s="445">
        <v>12</v>
      </c>
      <c r="D72" s="439">
        <v>7.4</v>
      </c>
      <c r="E72" s="446">
        <v>0.2</v>
      </c>
      <c r="F72" s="336">
        <v>4002.5568430615776</v>
      </c>
      <c r="G72" s="442">
        <f>F72-F70</f>
        <v>266.30752957096684</v>
      </c>
      <c r="H72" s="336">
        <v>44.5459797943663</v>
      </c>
      <c r="I72" s="336">
        <v>37.83618637507257</v>
      </c>
      <c r="J72" s="435">
        <f>H72+I72</f>
        <v>82.38216616943888</v>
      </c>
      <c r="K72" s="447">
        <f>J72-J70</f>
        <v>0.44104930489471883</v>
      </c>
      <c r="M72" s="422"/>
      <c r="N72" s="415"/>
    </row>
    <row r="73" spans="1:14" ht="12.75">
      <c r="A73" s="448"/>
      <c r="B73" s="449"/>
      <c r="C73" s="450"/>
      <c r="D73" s="451"/>
      <c r="E73" s="452"/>
      <c r="F73" s="453"/>
      <c r="G73" s="453"/>
      <c r="H73" s="453"/>
      <c r="I73" s="453"/>
      <c r="J73" s="453"/>
      <c r="K73" s="454"/>
      <c r="M73" s="422"/>
      <c r="N73" s="415"/>
    </row>
    <row r="74" spans="13:31" ht="15.75">
      <c r="M74" s="422"/>
      <c r="N74" s="422"/>
      <c r="AC74" s="260"/>
      <c r="AD74" s="260"/>
      <c r="AE74" s="260"/>
    </row>
    <row r="75" spans="1:31" s="260" customFormat="1" ht="15.75">
      <c r="A75" s="516" t="s">
        <v>373</v>
      </c>
      <c r="B75" s="516"/>
      <c r="C75" s="516"/>
      <c r="D75" s="516"/>
      <c r="E75" s="516"/>
      <c r="F75" s="516"/>
      <c r="G75" s="516"/>
      <c r="H75" s="516"/>
      <c r="I75" s="516"/>
      <c r="J75" s="516"/>
      <c r="K75"/>
      <c r="L75"/>
      <c r="M75" s="422"/>
      <c r="N75" s="422"/>
      <c r="O75"/>
      <c r="P75"/>
      <c r="Q75"/>
      <c r="R75"/>
      <c r="S75"/>
      <c r="T75"/>
      <c r="U75"/>
      <c r="V75"/>
      <c r="W75"/>
      <c r="X75"/>
      <c r="Y75"/>
      <c r="Z75"/>
      <c r="AA75"/>
      <c r="AB75"/>
      <c r="AC75" s="264"/>
      <c r="AD75" s="264"/>
      <c r="AE75" s="264"/>
    </row>
    <row r="76" spans="1:31" s="264" customFormat="1" ht="18.75" customHeight="1" thickBot="1">
      <c r="A76" s="515" t="s">
        <v>530</v>
      </c>
      <c r="B76" s="515"/>
      <c r="C76" s="282"/>
      <c r="D76" s="282"/>
      <c r="E76" s="282"/>
      <c r="F76" s="282"/>
      <c r="G76" s="282"/>
      <c r="H76" s="281"/>
      <c r="M76" s="455"/>
      <c r="N76" s="455"/>
      <c r="O76"/>
      <c r="P76"/>
      <c r="Q76"/>
      <c r="R76"/>
      <c r="S76"/>
      <c r="T76"/>
      <c r="U76"/>
      <c r="V76"/>
      <c r="W76"/>
      <c r="X76"/>
      <c r="Y76"/>
      <c r="Z76"/>
      <c r="AA76"/>
      <c r="AB76"/>
      <c r="AC76" s="288"/>
      <c r="AD76" s="288"/>
      <c r="AE76" s="288"/>
    </row>
    <row r="77" spans="1:28" s="288" customFormat="1" ht="64.5" thickBot="1">
      <c r="A77" s="456" t="s">
        <v>359</v>
      </c>
      <c r="B77" s="457" t="s">
        <v>360</v>
      </c>
      <c r="C77" s="458" t="s">
        <v>361</v>
      </c>
      <c r="D77" s="458" t="s">
        <v>374</v>
      </c>
      <c r="E77" s="458" t="s">
        <v>531</v>
      </c>
      <c r="F77" s="458" t="s">
        <v>532</v>
      </c>
      <c r="G77" s="458" t="s">
        <v>538</v>
      </c>
      <c r="H77" s="458" t="s">
        <v>539</v>
      </c>
      <c r="I77" s="459" t="s">
        <v>540</v>
      </c>
      <c r="J77" s="460" t="s">
        <v>364</v>
      </c>
      <c r="K77" s="458" t="s">
        <v>365</v>
      </c>
      <c r="L77" s="459" t="s">
        <v>366</v>
      </c>
      <c r="M77" s="415"/>
      <c r="N77" s="415"/>
      <c r="O77"/>
      <c r="P77"/>
      <c r="Q77"/>
      <c r="R77"/>
      <c r="S77"/>
      <c r="T77"/>
      <c r="U77"/>
      <c r="V77"/>
      <c r="W77"/>
      <c r="X77"/>
      <c r="Y77"/>
      <c r="Z77"/>
      <c r="AA77"/>
      <c r="AB77"/>
    </row>
    <row r="78" spans="1:28" s="288" customFormat="1" ht="12.75">
      <c r="A78" s="265">
        <v>0</v>
      </c>
      <c r="B78" s="266" t="s">
        <v>367</v>
      </c>
      <c r="C78" s="267">
        <v>10</v>
      </c>
      <c r="D78" s="289">
        <v>0</v>
      </c>
      <c r="E78" s="336">
        <v>2320.576779315223</v>
      </c>
      <c r="F78" s="268"/>
      <c r="G78" s="336">
        <v>26.968727872851</v>
      </c>
      <c r="H78" s="336">
        <v>37.83618637507257</v>
      </c>
      <c r="I78" s="290">
        <f>G78+H78</f>
        <v>64.80491424792358</v>
      </c>
      <c r="J78" s="291">
        <v>0</v>
      </c>
      <c r="K78" s="336">
        <v>288.55993725183805</v>
      </c>
      <c r="L78" s="291">
        <v>0</v>
      </c>
      <c r="M78" s="461"/>
      <c r="N78" s="461"/>
      <c r="O78"/>
      <c r="P78"/>
      <c r="Q78"/>
      <c r="R78"/>
      <c r="S78"/>
      <c r="T78"/>
      <c r="U78"/>
      <c r="V78"/>
      <c r="W78"/>
      <c r="X78"/>
      <c r="Y78"/>
      <c r="Z78"/>
      <c r="AA78"/>
      <c r="AB78"/>
    </row>
    <row r="79" spans="1:28" s="288" customFormat="1" ht="12.75">
      <c r="A79" s="269" t="s">
        <v>375</v>
      </c>
      <c r="B79" s="270" t="s">
        <v>368</v>
      </c>
      <c r="C79" s="271">
        <v>11</v>
      </c>
      <c r="D79" s="292">
        <v>0.1</v>
      </c>
      <c r="E79" s="336">
        <v>2461.53613059864</v>
      </c>
      <c r="F79" s="275">
        <v>0</v>
      </c>
      <c r="G79" s="336">
        <v>29.78544901611557</v>
      </c>
      <c r="H79" s="336">
        <v>37.83618637507257</v>
      </c>
      <c r="I79" s="290">
        <f aca="true" t="shared" si="7" ref="I79:I84">G79+H79</f>
        <v>67.62163539118814</v>
      </c>
      <c r="J79" s="291">
        <f aca="true" t="shared" si="8" ref="J79:J84">I79-I$79</f>
        <v>0</v>
      </c>
      <c r="K79" s="336">
        <v>345.0668580742185</v>
      </c>
      <c r="L79" s="291">
        <f aca="true" t="shared" si="9" ref="L79:L84">K79-K$79</f>
        <v>0</v>
      </c>
      <c r="M79" s="462"/>
      <c r="N79" s="462"/>
      <c r="O79"/>
      <c r="P79"/>
      <c r="Q79"/>
      <c r="R79"/>
      <c r="S79"/>
      <c r="T79"/>
      <c r="U79"/>
      <c r="V79"/>
      <c r="W79"/>
      <c r="X79"/>
      <c r="Y79"/>
      <c r="Z79"/>
      <c r="AA79"/>
      <c r="AB79"/>
    </row>
    <row r="80" spans="1:28" s="288" customFormat="1" ht="12.75">
      <c r="A80" s="269">
        <v>2</v>
      </c>
      <c r="B80" s="270" t="s">
        <v>369</v>
      </c>
      <c r="C80" s="271">
        <v>12</v>
      </c>
      <c r="D80" s="292">
        <v>0.2</v>
      </c>
      <c r="E80" s="336">
        <v>2597.533032764725</v>
      </c>
      <c r="F80" s="275">
        <f>E80-E$79</f>
        <v>135.99690216608496</v>
      </c>
      <c r="G80" s="336">
        <v>30.08330350627673</v>
      </c>
      <c r="H80" s="336">
        <v>37.83618637507257</v>
      </c>
      <c r="I80" s="290">
        <f t="shared" si="7"/>
        <v>67.9194898813493</v>
      </c>
      <c r="J80" s="291">
        <f t="shared" si="8"/>
        <v>0.29785449016117127</v>
      </c>
      <c r="K80" s="336">
        <v>346.95042210163115</v>
      </c>
      <c r="L80" s="291">
        <f t="shared" si="9"/>
        <v>1.8835640274126604</v>
      </c>
      <c r="M80" s="462"/>
      <c r="N80" s="462"/>
      <c r="O80"/>
      <c r="P80"/>
      <c r="Q80"/>
      <c r="R80"/>
      <c r="S80"/>
      <c r="T80"/>
      <c r="U80"/>
      <c r="V80"/>
      <c r="W80"/>
      <c r="X80"/>
      <c r="Y80"/>
      <c r="Z80"/>
      <c r="AA80"/>
      <c r="AB80"/>
    </row>
    <row r="81" spans="1:28" s="288" customFormat="1" ht="12.75">
      <c r="A81" s="269">
        <v>3</v>
      </c>
      <c r="B81" s="270" t="s">
        <v>370</v>
      </c>
      <c r="C81" s="271">
        <v>13</v>
      </c>
      <c r="D81" s="292">
        <v>0.3</v>
      </c>
      <c r="E81" s="336">
        <v>2772.1832437945536</v>
      </c>
      <c r="F81" s="275">
        <f>E81-E$79</f>
        <v>310.6471131959138</v>
      </c>
      <c r="G81" s="336">
        <v>41.74383791043026</v>
      </c>
      <c r="H81" s="336">
        <v>37.83618637507257</v>
      </c>
      <c r="I81" s="290">
        <f t="shared" si="7"/>
        <v>79.58002428550283</v>
      </c>
      <c r="J81" s="291">
        <f t="shared" si="8"/>
        <v>11.958388894314695</v>
      </c>
      <c r="K81" s="336">
        <v>373.3203184854086</v>
      </c>
      <c r="L81" s="291">
        <f t="shared" si="9"/>
        <v>28.253460411190133</v>
      </c>
      <c r="M81" s="462"/>
      <c r="N81" s="462"/>
      <c r="O81"/>
      <c r="P81"/>
      <c r="Q81"/>
      <c r="R81"/>
      <c r="S81"/>
      <c r="T81"/>
      <c r="U81"/>
      <c r="V81"/>
      <c r="W81"/>
      <c r="X81"/>
      <c r="Y81"/>
      <c r="Z81"/>
      <c r="AA81"/>
      <c r="AB81"/>
    </row>
    <row r="82" spans="1:28" s="288" customFormat="1" ht="12.75">
      <c r="A82" s="269">
        <v>4</v>
      </c>
      <c r="B82" s="270" t="s">
        <v>371</v>
      </c>
      <c r="C82" s="271">
        <v>14</v>
      </c>
      <c r="D82" s="292">
        <v>0.4</v>
      </c>
      <c r="E82" s="336">
        <v>3115.96807896626</v>
      </c>
      <c r="F82" s="275">
        <f>E82-E$79</f>
        <v>654.43194836762</v>
      </c>
      <c r="G82" s="336">
        <v>51.08123076374726</v>
      </c>
      <c r="H82" s="336">
        <v>37.83618637507257</v>
      </c>
      <c r="I82" s="290">
        <f t="shared" si="7"/>
        <v>88.91741713881983</v>
      </c>
      <c r="J82" s="291">
        <f t="shared" si="8"/>
        <v>21.295781747631693</v>
      </c>
      <c r="K82" s="336">
        <v>373.3203184854086</v>
      </c>
      <c r="L82" s="291">
        <f t="shared" si="9"/>
        <v>28.253460411190133</v>
      </c>
      <c r="M82" s="462"/>
      <c r="N82" s="462"/>
      <c r="O82"/>
      <c r="P82"/>
      <c r="Q82"/>
      <c r="R82"/>
      <c r="S82"/>
      <c r="T82"/>
      <c r="U82"/>
      <c r="V82"/>
      <c r="W82"/>
      <c r="X82"/>
      <c r="Y82"/>
      <c r="Z82"/>
      <c r="AA82"/>
      <c r="AB82"/>
    </row>
    <row r="83" spans="1:28" s="288" customFormat="1" ht="12.75">
      <c r="A83" s="277">
        <v>5</v>
      </c>
      <c r="B83" s="270" t="s">
        <v>372</v>
      </c>
      <c r="C83" s="271">
        <v>15</v>
      </c>
      <c r="D83" s="293">
        <v>0.5</v>
      </c>
      <c r="E83" s="336">
        <v>3356.6100637554546</v>
      </c>
      <c r="F83" s="275">
        <f>E83-E$79</f>
        <v>895.0739331568147</v>
      </c>
      <c r="G83" s="336">
        <v>57.61720477742465</v>
      </c>
      <c r="H83" s="336">
        <v>37.83618637507257</v>
      </c>
      <c r="I83" s="290">
        <f t="shared" si="7"/>
        <v>95.45339115249722</v>
      </c>
      <c r="J83" s="291">
        <f t="shared" si="8"/>
        <v>27.831755761309083</v>
      </c>
      <c r="K83" s="336">
        <v>475.03277596569336</v>
      </c>
      <c r="L83" s="291">
        <f t="shared" si="9"/>
        <v>129.96591789147487</v>
      </c>
      <c r="M83" s="462"/>
      <c r="N83" s="462"/>
      <c r="O83"/>
      <c r="P83"/>
      <c r="Q83"/>
      <c r="R83"/>
      <c r="S83"/>
      <c r="T83"/>
      <c r="U83"/>
      <c r="V83"/>
      <c r="W83"/>
      <c r="X83"/>
      <c r="Y83"/>
      <c r="Z83"/>
      <c r="AA83"/>
      <c r="AB83"/>
    </row>
    <row r="84" spans="1:28" s="288" customFormat="1" ht="12.75">
      <c r="A84" s="269">
        <v>6</v>
      </c>
      <c r="B84" s="270" t="s">
        <v>535</v>
      </c>
      <c r="C84" s="271">
        <v>18</v>
      </c>
      <c r="D84" s="292">
        <v>0.8</v>
      </c>
      <c r="E84" s="336">
        <v>3486.8401253466636</v>
      </c>
      <c r="F84" s="275">
        <f>E84-E$79</f>
        <v>1025.3039947480238</v>
      </c>
      <c r="G84" s="336">
        <v>61.15432777408458</v>
      </c>
      <c r="H84" s="336">
        <v>37.83618637507257</v>
      </c>
      <c r="I84" s="290">
        <f t="shared" si="7"/>
        <v>98.99051414915715</v>
      </c>
      <c r="J84" s="291">
        <f t="shared" si="8"/>
        <v>31.368878757969014</v>
      </c>
      <c r="K84" s="336">
        <v>475.03277596569336</v>
      </c>
      <c r="L84" s="291">
        <f t="shared" si="9"/>
        <v>129.96591789147487</v>
      </c>
      <c r="M84" s="462"/>
      <c r="N84" s="462"/>
      <c r="O84"/>
      <c r="P84"/>
      <c r="Q84"/>
      <c r="R84"/>
      <c r="S84"/>
      <c r="T84"/>
      <c r="U84"/>
      <c r="V84"/>
      <c r="W84"/>
      <c r="X84"/>
      <c r="Y84"/>
      <c r="Z84"/>
      <c r="AA84"/>
      <c r="AB84"/>
    </row>
    <row r="85" ht="12.75">
      <c r="A85" t="s">
        <v>541</v>
      </c>
    </row>
    <row r="87" spans="1:49" s="259" customFormat="1" ht="15.75">
      <c r="A87" s="516" t="s">
        <v>542</v>
      </c>
      <c r="B87" s="516"/>
      <c r="C87" s="516"/>
      <c r="D87" s="516"/>
      <c r="E87" s="516"/>
      <c r="F87" s="516"/>
      <c r="G87" s="516"/>
      <c r="H87" s="516"/>
      <c r="I87" s="516"/>
      <c r="J87" s="516"/>
      <c r="K87" s="516"/>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row>
    <row r="88" spans="1:10" ht="16.5" thickBot="1">
      <c r="A88" s="515" t="s">
        <v>530</v>
      </c>
      <c r="B88" s="515"/>
      <c r="C88" s="282"/>
      <c r="D88" s="281"/>
      <c r="E88" s="264"/>
      <c r="F88" s="264"/>
      <c r="G88" s="264"/>
      <c r="H88" s="264"/>
      <c r="I88" s="264"/>
      <c r="J88" s="264"/>
    </row>
    <row r="89" spans="1:11" ht="60.75" customHeight="1" thickBot="1">
      <c r="A89" s="463" t="s">
        <v>359</v>
      </c>
      <c r="B89" s="464" t="s">
        <v>360</v>
      </c>
      <c r="C89" s="465" t="s">
        <v>361</v>
      </c>
      <c r="D89" s="465" t="s">
        <v>374</v>
      </c>
      <c r="E89" s="465" t="s">
        <v>531</v>
      </c>
      <c r="F89" s="465" t="s">
        <v>532</v>
      </c>
      <c r="G89" s="465" t="s">
        <v>538</v>
      </c>
      <c r="H89" s="465" t="s">
        <v>539</v>
      </c>
      <c r="I89" s="466" t="s">
        <v>540</v>
      </c>
      <c r="J89" s="467" t="s">
        <v>364</v>
      </c>
      <c r="K89" s="288"/>
    </row>
    <row r="90" spans="1:11" ht="12" customHeight="1">
      <c r="A90" s="430">
        <v>0</v>
      </c>
      <c r="B90" s="431" t="s">
        <v>367</v>
      </c>
      <c r="C90" s="432">
        <v>10</v>
      </c>
      <c r="D90" s="468">
        <v>0</v>
      </c>
      <c r="E90" s="336">
        <v>2705.7613345762393</v>
      </c>
      <c r="F90" s="435"/>
      <c r="G90" s="336">
        <v>39.93978084628144</v>
      </c>
      <c r="H90" s="336">
        <v>37.83618637507257</v>
      </c>
      <c r="I90" s="469">
        <f>G90+H90</f>
        <v>77.77596722135401</v>
      </c>
      <c r="J90" s="470"/>
      <c r="K90" s="288"/>
    </row>
    <row r="91" spans="1:11" ht="12" customHeight="1">
      <c r="A91" s="443" t="s">
        <v>290</v>
      </c>
      <c r="B91" s="437" t="s">
        <v>368</v>
      </c>
      <c r="C91" s="438">
        <v>11</v>
      </c>
      <c r="D91" s="471">
        <v>0.1</v>
      </c>
      <c r="E91" s="336">
        <v>0</v>
      </c>
      <c r="F91" s="441"/>
      <c r="G91" s="336">
        <v>0</v>
      </c>
      <c r="H91" s="336">
        <v>0</v>
      </c>
      <c r="I91" s="469">
        <f>G91+H91</f>
        <v>0</v>
      </c>
      <c r="J91" s="472">
        <f>I90-I$90</f>
        <v>0</v>
      </c>
      <c r="K91" s="288"/>
    </row>
    <row r="92" spans="1:11" ht="12" customHeight="1">
      <c r="A92" s="443">
        <v>2</v>
      </c>
      <c r="B92" s="444" t="s">
        <v>369</v>
      </c>
      <c r="C92" s="445">
        <v>12</v>
      </c>
      <c r="D92" s="473">
        <v>0.2</v>
      </c>
      <c r="E92" s="336">
        <v>2904.417272146304</v>
      </c>
      <c r="F92" s="442"/>
      <c r="G92" s="336">
        <v>40.33917865474425</v>
      </c>
      <c r="H92" s="336">
        <v>37.83618637507257</v>
      </c>
      <c r="I92" s="469">
        <f>G92+H92</f>
        <v>78.17536502981682</v>
      </c>
      <c r="J92" s="472">
        <v>0</v>
      </c>
      <c r="K92" s="288"/>
    </row>
    <row r="93" spans="1:11" ht="12" customHeight="1">
      <c r="A93" s="443">
        <v>3</v>
      </c>
      <c r="B93" s="444" t="s">
        <v>370</v>
      </c>
      <c r="C93" s="445">
        <v>13</v>
      </c>
      <c r="D93" s="473">
        <v>0.3</v>
      </c>
      <c r="E93" s="336">
        <v>3290.761597951867</v>
      </c>
      <c r="F93" s="442"/>
      <c r="G93" s="336">
        <v>55.828722764571424</v>
      </c>
      <c r="H93" s="336">
        <v>37.83618637507257</v>
      </c>
      <c r="I93" s="469">
        <f>G93+H93</f>
        <v>93.664909139644</v>
      </c>
      <c r="J93" s="472">
        <f>I92-I$90</f>
        <v>0.39939780846280826</v>
      </c>
      <c r="K93" s="288"/>
    </row>
  </sheetData>
  <mergeCells count="11">
    <mergeCell ref="A76:B76"/>
    <mergeCell ref="A75:J75"/>
    <mergeCell ref="A87:K87"/>
    <mergeCell ref="A88:B88"/>
    <mergeCell ref="E6:F6"/>
    <mergeCell ref="E21:F21"/>
    <mergeCell ref="A38:F38"/>
    <mergeCell ref="A5:H5"/>
    <mergeCell ref="A20:H20"/>
    <mergeCell ref="G21:H21"/>
    <mergeCell ref="G6:H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F32"/>
  <sheetViews>
    <sheetView zoomScale="75" zoomScaleNormal="75" workbookViewId="0" topLeftCell="A1">
      <selection activeCell="W4" sqref="W4:W30"/>
    </sheetView>
  </sheetViews>
  <sheetFormatPr defaultColWidth="9.140625" defaultRowHeight="12.75"/>
  <cols>
    <col min="1" max="1" width="13.421875" style="0" customWidth="1"/>
    <col min="2" max="2" width="31.7109375" style="0" customWidth="1"/>
    <col min="3" max="3" width="19.57421875" style="0" customWidth="1"/>
    <col min="4" max="4" width="9.00390625" style="0" customWidth="1"/>
    <col min="5" max="5" width="11.140625" style="0" customWidth="1"/>
    <col min="6" max="6" width="9.7109375" style="0" customWidth="1"/>
    <col min="9" max="9" width="10.28125" style="0" customWidth="1"/>
  </cols>
  <sheetData>
    <row r="1" spans="1:6" ht="13.5" thickBot="1">
      <c r="A1" s="295" t="s">
        <v>376</v>
      </c>
      <c r="B1" s="296"/>
      <c r="C1" s="296"/>
      <c r="D1" s="296"/>
      <c r="E1" s="296"/>
      <c r="F1" s="296"/>
    </row>
    <row r="2" spans="1:6" ht="13.5" thickBot="1">
      <c r="A2" s="295"/>
      <c r="B2" s="296"/>
      <c r="C2" s="517" t="s">
        <v>377</v>
      </c>
      <c r="D2" s="518"/>
      <c r="E2" s="518"/>
      <c r="F2" s="519"/>
    </row>
    <row r="3" spans="1:6" ht="13.5" thickBot="1">
      <c r="A3" s="297" t="s">
        <v>378</v>
      </c>
      <c r="B3" s="298" t="s">
        <v>379</v>
      </c>
      <c r="C3" s="299" t="s">
        <v>380</v>
      </c>
      <c r="D3" s="300" t="s">
        <v>381</v>
      </c>
      <c r="E3" s="301" t="s">
        <v>303</v>
      </c>
      <c r="F3" s="302" t="s">
        <v>382</v>
      </c>
    </row>
    <row r="4" spans="1:6" ht="12.75">
      <c r="A4" s="303">
        <v>1</v>
      </c>
      <c r="B4" s="304" t="s">
        <v>383</v>
      </c>
      <c r="C4" s="305">
        <v>55</v>
      </c>
      <c r="D4" s="305">
        <v>847</v>
      </c>
      <c r="E4" s="305">
        <v>121</v>
      </c>
      <c r="F4" s="306">
        <f>SUM(C4:E4)</f>
        <v>1023</v>
      </c>
    </row>
    <row r="5" spans="1:6" ht="12.75">
      <c r="A5" s="307"/>
      <c r="B5" s="308" t="s">
        <v>384</v>
      </c>
      <c r="C5" s="309">
        <v>0.053763440860215055</v>
      </c>
      <c r="D5" s="309">
        <v>0.8279569892473119</v>
      </c>
      <c r="E5" s="309">
        <v>0.11827956989247312</v>
      </c>
      <c r="F5" s="310">
        <f>F4/$F4</f>
        <v>1</v>
      </c>
    </row>
    <row r="6" spans="1:6" ht="12.75">
      <c r="A6" s="307"/>
      <c r="B6" s="311" t="s">
        <v>385</v>
      </c>
      <c r="C6" s="312">
        <v>2300.8727272727274</v>
      </c>
      <c r="D6" s="312">
        <v>1789.0377804014167</v>
      </c>
      <c r="E6" s="312">
        <v>2502.96694214876</v>
      </c>
      <c r="F6" s="313">
        <f aca="true" t="shared" si="0" ref="F6:F12">SUMPRODUCT($C$5:$E$5,C6:E6)</f>
        <v>1900.9990224828935</v>
      </c>
    </row>
    <row r="7" spans="1:6" ht="12.75">
      <c r="A7" s="307"/>
      <c r="B7" s="314" t="s">
        <v>386</v>
      </c>
      <c r="C7" s="315">
        <v>487.5092592592594</v>
      </c>
      <c r="D7" s="315">
        <v>378.27465667915084</v>
      </c>
      <c r="E7" s="315">
        <v>578.164347826087</v>
      </c>
      <c r="F7" s="316">
        <f t="shared" si="0"/>
        <v>407.7903514696545</v>
      </c>
    </row>
    <row r="8" spans="1:6" ht="12.75">
      <c r="A8" s="307"/>
      <c r="B8" s="317" t="s">
        <v>387</v>
      </c>
      <c r="C8" s="318">
        <f>C7/C6</f>
        <v>0.2118801502928475</v>
      </c>
      <c r="D8" s="318">
        <f>D7/D6</f>
        <v>0.21144028417011695</v>
      </c>
      <c r="E8" s="318">
        <f>E7/E6</f>
        <v>0.23099160364049454</v>
      </c>
      <c r="F8" s="318">
        <f t="shared" si="0"/>
        <v>0.2137764545441794</v>
      </c>
    </row>
    <row r="9" spans="1:6" ht="12.75">
      <c r="A9" s="307"/>
      <c r="B9" s="319" t="s">
        <v>388</v>
      </c>
      <c r="C9" s="320">
        <v>21294.327272727274</v>
      </c>
      <c r="D9" s="320">
        <v>17192.365997638724</v>
      </c>
      <c r="E9" s="320">
        <v>25746.95867768595</v>
      </c>
      <c r="F9" s="316">
        <f t="shared" si="0"/>
        <v>18424.735092864124</v>
      </c>
    </row>
    <row r="10" spans="1:6" ht="12.75">
      <c r="A10" s="307"/>
      <c r="B10" s="319" t="s">
        <v>389</v>
      </c>
      <c r="C10" s="321">
        <v>9.696250453286076</v>
      </c>
      <c r="D10" s="321">
        <v>11.444715893634338</v>
      </c>
      <c r="E10" s="321">
        <v>10.850822203198554</v>
      </c>
      <c r="F10" s="322">
        <f t="shared" si="0"/>
        <v>11.280466885069448</v>
      </c>
    </row>
    <row r="11" spans="1:6" ht="12.75">
      <c r="A11" s="307"/>
      <c r="B11" s="323" t="s">
        <v>390</v>
      </c>
      <c r="C11" s="315">
        <v>9106.472727272727</v>
      </c>
      <c r="D11" s="315">
        <v>4822.177095631641</v>
      </c>
      <c r="E11" s="315">
        <v>8431.00826446281</v>
      </c>
      <c r="F11" s="316">
        <f t="shared" si="0"/>
        <v>5479.366568914957</v>
      </c>
    </row>
    <row r="12" spans="1:6" ht="13.5" thickBot="1">
      <c r="A12" s="324"/>
      <c r="B12" s="325" t="s">
        <v>391</v>
      </c>
      <c r="C12" s="326">
        <v>4.076595627989342</v>
      </c>
      <c r="D12" s="326">
        <v>3.142396095059017</v>
      </c>
      <c r="E12" s="326">
        <v>3.6476438731592835</v>
      </c>
      <c r="F12" s="327">
        <f t="shared" si="0"/>
        <v>3.2523823662821845</v>
      </c>
    </row>
    <row r="13" spans="1:6" ht="12.75">
      <c r="A13" s="303">
        <v>2</v>
      </c>
      <c r="B13" s="304" t="s">
        <v>383</v>
      </c>
      <c r="C13" s="305">
        <v>27</v>
      </c>
      <c r="D13" s="305">
        <v>51</v>
      </c>
      <c r="E13" s="305">
        <v>77</v>
      </c>
      <c r="F13" s="306">
        <f>SUM(C13:E13)</f>
        <v>155</v>
      </c>
    </row>
    <row r="14" spans="1:6" ht="12.75">
      <c r="A14" s="307"/>
      <c r="B14" s="308" t="s">
        <v>384</v>
      </c>
      <c r="C14" s="309">
        <v>0.17419354838709677</v>
      </c>
      <c r="D14" s="309">
        <v>0.32903225806451614</v>
      </c>
      <c r="E14" s="309">
        <v>0.4967741935483871</v>
      </c>
      <c r="F14" s="310">
        <f>F13/$F13</f>
        <v>1</v>
      </c>
    </row>
    <row r="15" spans="1:6" ht="12.75">
      <c r="A15" s="307"/>
      <c r="B15" s="311" t="s">
        <v>385</v>
      </c>
      <c r="C15" s="312">
        <v>2720.4444444444443</v>
      </c>
      <c r="D15" s="312">
        <v>2260.1176470588234</v>
      </c>
      <c r="E15" s="312">
        <v>1749.1168831168832</v>
      </c>
      <c r="F15" s="313">
        <f aca="true" t="shared" si="1" ref="F15:F21">SUMPRODUCT($C$14:$E$14,C15:E15)</f>
        <v>2086.451612903226</v>
      </c>
    </row>
    <row r="16" spans="1:6" ht="12.75">
      <c r="A16" s="307"/>
      <c r="B16" s="314" t="s">
        <v>386</v>
      </c>
      <c r="C16" s="315">
        <v>475.2481481481481</v>
      </c>
      <c r="D16" s="315">
        <v>373.2058823529411</v>
      </c>
      <c r="E16" s="315">
        <v>370.65454545454526</v>
      </c>
      <c r="F16" s="316">
        <f t="shared" si="1"/>
        <v>389.7135483870967</v>
      </c>
    </row>
    <row r="17" spans="1:6" ht="12.75">
      <c r="A17" s="307"/>
      <c r="B17" s="317" t="s">
        <v>387</v>
      </c>
      <c r="C17" s="318">
        <f>C16/C15</f>
        <v>0.17469503893699287</v>
      </c>
      <c r="D17" s="318">
        <f>D16/D15</f>
        <v>0.16512675029930765</v>
      </c>
      <c r="E17" s="318">
        <f>E16/E15</f>
        <v>0.21190953505293939</v>
      </c>
      <c r="F17" s="318">
        <f t="shared" si="1"/>
        <v>0.19003396461703115</v>
      </c>
    </row>
    <row r="18" spans="1:6" ht="12.75">
      <c r="A18" s="307"/>
      <c r="B18" s="319" t="s">
        <v>388</v>
      </c>
      <c r="C18" s="320">
        <v>25383.444444444445</v>
      </c>
      <c r="D18" s="320">
        <v>19986.882352941175</v>
      </c>
      <c r="E18" s="320">
        <v>16754.805194805194</v>
      </c>
      <c r="F18" s="316">
        <f t="shared" si="1"/>
        <v>19321.316129032257</v>
      </c>
    </row>
    <row r="19" spans="1:6" ht="12.75">
      <c r="A19" s="307"/>
      <c r="B19" s="319" t="s">
        <v>389</v>
      </c>
      <c r="C19" s="321">
        <v>9.481131027507924</v>
      </c>
      <c r="D19" s="321">
        <v>9.551503102720883</v>
      </c>
      <c r="E19" s="321">
        <v>9.456920061919053</v>
      </c>
      <c r="F19" s="322">
        <f t="shared" si="1"/>
        <v>9.49225832741449</v>
      </c>
    </row>
    <row r="20" spans="1:6" ht="12.75">
      <c r="A20" s="307"/>
      <c r="B20" s="323" t="s">
        <v>390</v>
      </c>
      <c r="C20" s="315">
        <v>11194.25925925926</v>
      </c>
      <c r="D20" s="315">
        <v>4899</v>
      </c>
      <c r="E20" s="315">
        <v>5860.519480519481</v>
      </c>
      <c r="F20" s="316">
        <f t="shared" si="1"/>
        <v>6473.2516129032265</v>
      </c>
    </row>
    <row r="21" spans="1:6" ht="13.5" thickBot="1">
      <c r="A21" s="324"/>
      <c r="B21" s="325" t="s">
        <v>391</v>
      </c>
      <c r="C21" s="326">
        <v>4.1601419644717605</v>
      </c>
      <c r="D21" s="326">
        <v>2.5389163327466275</v>
      </c>
      <c r="E21" s="326">
        <v>3.3864001332662896</v>
      </c>
      <c r="F21" s="327">
        <f t="shared" si="1"/>
        <v>3.2423314598214183</v>
      </c>
    </row>
    <row r="22" spans="1:6" ht="12.75">
      <c r="A22" s="328">
        <v>3</v>
      </c>
      <c r="B22" s="304" t="s">
        <v>383</v>
      </c>
      <c r="C22" s="305">
        <v>6</v>
      </c>
      <c r="D22" s="305">
        <v>24</v>
      </c>
      <c r="E22" s="305">
        <v>2</v>
      </c>
      <c r="F22" s="306">
        <f>SUM(C22:E22)</f>
        <v>32</v>
      </c>
    </row>
    <row r="23" spans="1:6" ht="12.75">
      <c r="A23" s="329"/>
      <c r="B23" s="308" t="s">
        <v>384</v>
      </c>
      <c r="C23" s="309">
        <v>0.1875</v>
      </c>
      <c r="D23" s="309">
        <v>0.75</v>
      </c>
      <c r="E23" s="309">
        <v>0.0625</v>
      </c>
      <c r="F23" s="310">
        <f>F22/$F22</f>
        <v>1</v>
      </c>
    </row>
    <row r="24" spans="1:6" ht="12.75">
      <c r="A24" s="329"/>
      <c r="B24" s="311" t="s">
        <v>385</v>
      </c>
      <c r="C24" s="312">
        <v>3032.6666666666665</v>
      </c>
      <c r="D24" s="312">
        <v>2615.375</v>
      </c>
      <c r="E24" s="312">
        <v>2520</v>
      </c>
      <c r="F24" s="313">
        <f>SUMPRODUCT($C$23:$E$23,C24:E24)</f>
        <v>2687.65625</v>
      </c>
    </row>
    <row r="25" spans="1:6" ht="12.75">
      <c r="A25" s="329"/>
      <c r="B25" s="314" t="s">
        <v>386</v>
      </c>
      <c r="C25" s="315">
        <v>525.46</v>
      </c>
      <c r="D25" s="315">
        <v>334.0608695652175</v>
      </c>
      <c r="E25" s="315">
        <v>385</v>
      </c>
      <c r="F25" s="316">
        <f aca="true" t="shared" si="2" ref="F25:F30">SUMPRODUCT($C$5:$E$5,C25:E25)</f>
        <v>350.3762038335672</v>
      </c>
    </row>
    <row r="26" spans="1:6" ht="12.75">
      <c r="A26" s="307"/>
      <c r="B26" s="317" t="s">
        <v>387</v>
      </c>
      <c r="C26" s="318">
        <f>C25/C24</f>
        <v>0.1732666520114311</v>
      </c>
      <c r="D26" s="318">
        <f>D25/D24</f>
        <v>0.127729625604442</v>
      </c>
      <c r="E26" s="318">
        <f>E25/E24</f>
        <v>0.1527777777777778</v>
      </c>
      <c r="F26" s="330">
        <f t="shared" si="2"/>
        <v>0.1331405374962876</v>
      </c>
    </row>
    <row r="27" spans="1:6" ht="12.75">
      <c r="A27" s="329"/>
      <c r="B27" s="319" t="s">
        <v>388</v>
      </c>
      <c r="C27" s="320">
        <v>29690.5</v>
      </c>
      <c r="D27" s="320">
        <v>22820.708333333332</v>
      </c>
      <c r="E27" s="320">
        <v>25315</v>
      </c>
      <c r="F27" s="316">
        <f t="shared" si="2"/>
        <v>23485.075716845877</v>
      </c>
    </row>
    <row r="28" spans="1:6" ht="12.75">
      <c r="A28" s="329"/>
      <c r="B28" s="319" t="s">
        <v>389</v>
      </c>
      <c r="C28" s="321">
        <v>10.27512441583259</v>
      </c>
      <c r="D28" s="321">
        <v>8.922050320366166</v>
      </c>
      <c r="E28" s="321">
        <v>10.045634920634921</v>
      </c>
      <c r="F28" s="322">
        <f t="shared" si="2"/>
        <v>9.12769334273486</v>
      </c>
    </row>
    <row r="29" spans="1:6" ht="12.75">
      <c r="A29" s="329"/>
      <c r="B29" s="323" t="s">
        <v>390</v>
      </c>
      <c r="C29" s="315">
        <v>8653.666666666666</v>
      </c>
      <c r="D29" s="315">
        <v>8429.333333333334</v>
      </c>
      <c r="E29" s="315">
        <v>9238.5</v>
      </c>
      <c r="F29" s="316">
        <f t="shared" si="2"/>
        <v>8537.102150537636</v>
      </c>
    </row>
    <row r="30" spans="1:6" ht="13.5" thickBot="1">
      <c r="A30" s="331"/>
      <c r="B30" s="332" t="s">
        <v>391</v>
      </c>
      <c r="C30" s="333">
        <v>3.158624219511004</v>
      </c>
      <c r="D30" s="333">
        <v>3.260496322407938</v>
      </c>
      <c r="E30" s="333">
        <v>3.6660714285714286</v>
      </c>
      <c r="F30" s="334">
        <f t="shared" si="2"/>
        <v>3.3029905767446452</v>
      </c>
    </row>
    <row r="31" spans="1:6" ht="12.75">
      <c r="A31" s="296"/>
      <c r="B31" s="296"/>
      <c r="C31" s="296"/>
      <c r="D31" s="296"/>
      <c r="E31" s="296"/>
      <c r="F31" s="296"/>
    </row>
    <row r="32" spans="1:6" ht="12.75">
      <c r="A32" s="335" t="s">
        <v>392</v>
      </c>
      <c r="B32" s="296"/>
      <c r="C32" s="296"/>
      <c r="D32" s="296"/>
      <c r="E32" s="296"/>
      <c r="F32" s="296"/>
    </row>
  </sheetData>
  <mergeCells count="1">
    <mergeCell ref="C2:F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2:D38"/>
  <sheetViews>
    <sheetView workbookViewId="0" topLeftCell="A1">
      <selection activeCell="B30" sqref="B30:B38"/>
    </sheetView>
  </sheetViews>
  <sheetFormatPr defaultColWidth="9.140625" defaultRowHeight="12.75"/>
  <cols>
    <col min="1" max="1" width="62.28125" style="0" customWidth="1"/>
    <col min="2" max="2" width="181.421875" style="0" customWidth="1"/>
    <col min="3" max="3" width="102.28125" style="0" customWidth="1"/>
    <col min="4" max="4" width="33.00390625" style="0" customWidth="1"/>
  </cols>
  <sheetData>
    <row r="1" ht="13.5" thickBot="1"/>
    <row r="2" spans="1:4" ht="13.5" thickBot="1">
      <c r="A2" s="77" t="s">
        <v>115</v>
      </c>
      <c r="B2" s="78" t="s">
        <v>116</v>
      </c>
      <c r="C2" s="78" t="s">
        <v>117</v>
      </c>
      <c r="D2" s="78" t="s">
        <v>118</v>
      </c>
    </row>
    <row r="3" spans="1:4" ht="22.5">
      <c r="A3" s="88" t="s">
        <v>405</v>
      </c>
      <c r="B3" s="81" t="s">
        <v>543</v>
      </c>
      <c r="C3" s="81" t="s">
        <v>170</v>
      </c>
      <c r="D3" s="81" t="s">
        <v>175</v>
      </c>
    </row>
    <row r="4" spans="1:4" ht="22.5">
      <c r="A4" s="88" t="s">
        <v>406</v>
      </c>
      <c r="B4" s="81" t="s">
        <v>543</v>
      </c>
      <c r="C4" s="81" t="s">
        <v>170</v>
      </c>
      <c r="D4" s="81" t="s">
        <v>174</v>
      </c>
    </row>
    <row r="5" spans="1:4" ht="22.5">
      <c r="A5" s="88" t="s">
        <v>407</v>
      </c>
      <c r="B5" s="81" t="s">
        <v>543</v>
      </c>
      <c r="C5" s="81" t="s">
        <v>170</v>
      </c>
      <c r="D5" s="81" t="s">
        <v>171</v>
      </c>
    </row>
    <row r="6" spans="1:4" ht="22.5">
      <c r="A6" s="88" t="s">
        <v>420</v>
      </c>
      <c r="B6" s="81" t="s">
        <v>544</v>
      </c>
      <c r="C6" s="81" t="s">
        <v>156</v>
      </c>
      <c r="D6" s="81" t="s">
        <v>169</v>
      </c>
    </row>
    <row r="7" spans="1:4" ht="22.5">
      <c r="A7" s="88" t="s">
        <v>423</v>
      </c>
      <c r="B7" s="81" t="s">
        <v>544</v>
      </c>
      <c r="C7" s="81" t="s">
        <v>156</v>
      </c>
      <c r="D7" s="81" t="s">
        <v>168</v>
      </c>
    </row>
    <row r="8" spans="1:4" ht="22.5">
      <c r="A8" s="88" t="s">
        <v>424</v>
      </c>
      <c r="B8" s="81" t="s">
        <v>544</v>
      </c>
      <c r="C8" s="81" t="s">
        <v>156</v>
      </c>
      <c r="D8" s="81" t="s">
        <v>167</v>
      </c>
    </row>
    <row r="9" spans="1:4" ht="22.5">
      <c r="A9" s="88" t="s">
        <v>426</v>
      </c>
      <c r="B9" s="81" t="s">
        <v>544</v>
      </c>
      <c r="C9" s="81" t="s">
        <v>156</v>
      </c>
      <c r="D9" s="81" t="s">
        <v>397</v>
      </c>
    </row>
    <row r="10" spans="1:4" ht="22.5">
      <c r="A10" s="88" t="s">
        <v>421</v>
      </c>
      <c r="B10" s="81" t="s">
        <v>544</v>
      </c>
      <c r="C10" s="81" t="s">
        <v>156</v>
      </c>
      <c r="D10" s="81" t="s">
        <v>165</v>
      </c>
    </row>
    <row r="11" spans="1:4" ht="22.5">
      <c r="A11" s="88" t="s">
        <v>425</v>
      </c>
      <c r="B11" s="81" t="s">
        <v>544</v>
      </c>
      <c r="C11" s="81" t="s">
        <v>156</v>
      </c>
      <c r="D11" s="81" t="s">
        <v>164</v>
      </c>
    </row>
    <row r="12" spans="1:4" ht="22.5">
      <c r="A12" s="88" t="s">
        <v>427</v>
      </c>
      <c r="B12" s="81" t="s">
        <v>544</v>
      </c>
      <c r="C12" s="81" t="s">
        <v>156</v>
      </c>
      <c r="D12" s="81" t="s">
        <v>398</v>
      </c>
    </row>
    <row r="13" spans="1:4" ht="22.5">
      <c r="A13" s="88" t="s">
        <v>428</v>
      </c>
      <c r="B13" s="81" t="s">
        <v>544</v>
      </c>
      <c r="C13" s="81" t="s">
        <v>156</v>
      </c>
      <c r="D13" s="81" t="s">
        <v>399</v>
      </c>
    </row>
    <row r="14" spans="1:4" ht="22.5">
      <c r="A14" s="88" t="s">
        <v>422</v>
      </c>
      <c r="B14" s="81" t="s">
        <v>544</v>
      </c>
      <c r="C14" s="81" t="s">
        <v>156</v>
      </c>
      <c r="D14" s="81" t="s">
        <v>157</v>
      </c>
    </row>
    <row r="15" spans="1:4" ht="22.5">
      <c r="A15" s="88" t="s">
        <v>408</v>
      </c>
      <c r="B15" s="81" t="s">
        <v>543</v>
      </c>
      <c r="C15" s="81" t="s">
        <v>172</v>
      </c>
      <c r="D15" s="81" t="s">
        <v>175</v>
      </c>
    </row>
    <row r="16" spans="1:4" ht="22.5">
      <c r="A16" s="88" t="s">
        <v>409</v>
      </c>
      <c r="B16" s="81" t="s">
        <v>543</v>
      </c>
      <c r="C16" s="81" t="s">
        <v>172</v>
      </c>
      <c r="D16" s="81" t="s">
        <v>174</v>
      </c>
    </row>
    <row r="17" spans="1:4" ht="22.5">
      <c r="A17" s="88" t="s">
        <v>410</v>
      </c>
      <c r="B17" s="81" t="s">
        <v>543</v>
      </c>
      <c r="C17" s="81" t="s">
        <v>172</v>
      </c>
      <c r="D17" s="81" t="s">
        <v>171</v>
      </c>
    </row>
    <row r="18" spans="1:4" ht="22.5">
      <c r="A18" s="88" t="s">
        <v>429</v>
      </c>
      <c r="B18" s="81" t="s">
        <v>544</v>
      </c>
      <c r="C18" s="81" t="s">
        <v>166</v>
      </c>
      <c r="D18" s="81" t="s">
        <v>169</v>
      </c>
    </row>
    <row r="19" spans="1:4" ht="22.5">
      <c r="A19" s="88" t="s">
        <v>432</v>
      </c>
      <c r="B19" s="81" t="s">
        <v>544</v>
      </c>
      <c r="C19" s="81" t="s">
        <v>166</v>
      </c>
      <c r="D19" s="81" t="s">
        <v>168</v>
      </c>
    </row>
    <row r="20" spans="1:4" ht="22.5">
      <c r="A20" s="88" t="s">
        <v>433</v>
      </c>
      <c r="B20" s="81" t="s">
        <v>544</v>
      </c>
      <c r="C20" s="81" t="s">
        <v>166</v>
      </c>
      <c r="D20" s="81" t="s">
        <v>167</v>
      </c>
    </row>
    <row r="21" spans="1:4" ht="22.5">
      <c r="A21" s="88" t="s">
        <v>435</v>
      </c>
      <c r="B21" s="81" t="s">
        <v>544</v>
      </c>
      <c r="C21" s="81" t="s">
        <v>166</v>
      </c>
      <c r="D21" s="81" t="s">
        <v>397</v>
      </c>
    </row>
    <row r="22" spans="1:4" ht="22.5">
      <c r="A22" s="88" t="s">
        <v>430</v>
      </c>
      <c r="B22" s="81" t="s">
        <v>544</v>
      </c>
      <c r="C22" s="81" t="s">
        <v>166</v>
      </c>
      <c r="D22" s="81" t="s">
        <v>165</v>
      </c>
    </row>
    <row r="23" spans="1:4" ht="22.5">
      <c r="A23" s="88" t="s">
        <v>434</v>
      </c>
      <c r="B23" s="81" t="s">
        <v>544</v>
      </c>
      <c r="C23" s="81" t="s">
        <v>166</v>
      </c>
      <c r="D23" s="81" t="s">
        <v>164</v>
      </c>
    </row>
    <row r="24" spans="1:4" ht="22.5">
      <c r="A24" s="88" t="s">
        <v>436</v>
      </c>
      <c r="B24" s="81" t="s">
        <v>544</v>
      </c>
      <c r="C24" s="81" t="s">
        <v>166</v>
      </c>
      <c r="D24" s="81" t="s">
        <v>398</v>
      </c>
    </row>
    <row r="25" spans="1:4" ht="22.5">
      <c r="A25" s="88" t="s">
        <v>437</v>
      </c>
      <c r="B25" s="81" t="s">
        <v>544</v>
      </c>
      <c r="C25" s="81" t="s">
        <v>166</v>
      </c>
      <c r="D25" s="81" t="s">
        <v>399</v>
      </c>
    </row>
    <row r="26" spans="1:4" ht="22.5">
      <c r="A26" s="88" t="s">
        <v>431</v>
      </c>
      <c r="B26" s="81" t="s">
        <v>544</v>
      </c>
      <c r="C26" s="81" t="s">
        <v>166</v>
      </c>
      <c r="D26" s="81" t="s">
        <v>157</v>
      </c>
    </row>
    <row r="27" spans="1:4" ht="22.5">
      <c r="A27" s="88" t="s">
        <v>438</v>
      </c>
      <c r="B27" s="81" t="s">
        <v>543</v>
      </c>
      <c r="C27" s="81" t="s">
        <v>173</v>
      </c>
      <c r="D27" s="81" t="s">
        <v>175</v>
      </c>
    </row>
    <row r="28" spans="1:4" ht="22.5">
      <c r="A28" s="88" t="s">
        <v>403</v>
      </c>
      <c r="B28" s="81" t="s">
        <v>543</v>
      </c>
      <c r="C28" s="81" t="s">
        <v>173</v>
      </c>
      <c r="D28" s="81" t="s">
        <v>174</v>
      </c>
    </row>
    <row r="29" spans="1:4" ht="22.5">
      <c r="A29" s="88" t="s">
        <v>404</v>
      </c>
      <c r="B29" s="81" t="s">
        <v>543</v>
      </c>
      <c r="C29" s="81" t="s">
        <v>173</v>
      </c>
      <c r="D29" s="81" t="s">
        <v>171</v>
      </c>
    </row>
    <row r="30" spans="1:4" ht="22.5">
      <c r="A30" s="88" t="s">
        <v>411</v>
      </c>
      <c r="B30" s="81" t="s">
        <v>544</v>
      </c>
      <c r="C30" s="81" t="s">
        <v>163</v>
      </c>
      <c r="D30" s="81" t="s">
        <v>169</v>
      </c>
    </row>
    <row r="31" spans="1:4" ht="22.5">
      <c r="A31" s="88" t="s">
        <v>414</v>
      </c>
      <c r="B31" s="81" t="s">
        <v>544</v>
      </c>
      <c r="C31" s="81" t="s">
        <v>163</v>
      </c>
      <c r="D31" s="81" t="s">
        <v>168</v>
      </c>
    </row>
    <row r="32" spans="1:4" ht="22.5">
      <c r="A32" s="88" t="s">
        <v>415</v>
      </c>
      <c r="B32" s="81" t="s">
        <v>544</v>
      </c>
      <c r="C32" s="81" t="s">
        <v>163</v>
      </c>
      <c r="D32" s="81" t="s">
        <v>167</v>
      </c>
    </row>
    <row r="33" spans="1:4" ht="22.5">
      <c r="A33" s="88" t="s">
        <v>417</v>
      </c>
      <c r="B33" s="81" t="s">
        <v>544</v>
      </c>
      <c r="C33" s="81" t="s">
        <v>163</v>
      </c>
      <c r="D33" s="81" t="s">
        <v>397</v>
      </c>
    </row>
    <row r="34" spans="1:4" ht="22.5">
      <c r="A34" s="88" t="s">
        <v>412</v>
      </c>
      <c r="B34" s="81" t="s">
        <v>544</v>
      </c>
      <c r="C34" s="81" t="s">
        <v>163</v>
      </c>
      <c r="D34" s="81" t="s">
        <v>165</v>
      </c>
    </row>
    <row r="35" spans="1:4" ht="22.5">
      <c r="A35" s="88" t="s">
        <v>416</v>
      </c>
      <c r="B35" s="81" t="s">
        <v>544</v>
      </c>
      <c r="C35" s="81" t="s">
        <v>163</v>
      </c>
      <c r="D35" s="81" t="s">
        <v>164</v>
      </c>
    </row>
    <row r="36" spans="1:4" ht="22.5">
      <c r="A36" s="88" t="s">
        <v>418</v>
      </c>
      <c r="B36" s="81" t="s">
        <v>544</v>
      </c>
      <c r="C36" s="81" t="s">
        <v>163</v>
      </c>
      <c r="D36" s="81" t="s">
        <v>398</v>
      </c>
    </row>
    <row r="37" spans="1:4" ht="22.5">
      <c r="A37" s="88" t="s">
        <v>419</v>
      </c>
      <c r="B37" s="81" t="s">
        <v>544</v>
      </c>
      <c r="C37" s="81" t="s">
        <v>163</v>
      </c>
      <c r="D37" s="81" t="s">
        <v>399</v>
      </c>
    </row>
    <row r="38" spans="1:4" ht="22.5">
      <c r="A38" s="88" t="s">
        <v>413</v>
      </c>
      <c r="B38" s="81" t="s">
        <v>544</v>
      </c>
      <c r="C38" s="81" t="s">
        <v>163</v>
      </c>
      <c r="D38" s="81" t="s">
        <v>157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Source Heat Pump and Central Air Conditioner Efficiency Upgrades with PTCS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2003-01-17T19:53:20Z</dcterms:modified>
  <cp:category/>
  <cp:version/>
  <cp:contentType/>
  <cp:contentStatus/>
</cp:coreProperties>
</file>