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RECW" sheetId="3" r:id="rId3"/>
    <sheet name="Engineering &amp; Economic Data" sheetId="4" r:id="rId4"/>
    <sheet name="Detergent Cost Estimates" sheetId="5" r:id="rId5"/>
    <sheet name="WasteWater System Savings" sheetId="6" r:id="rId6"/>
    <sheet name="LookupTable" sheetId="7" r:id="rId7"/>
    <sheet name="Energy Star Washers" sheetId="8" r:id="rId8"/>
    <sheet name="Clothes Washer Retail Prices" sheetId="9" r:id="rId9"/>
  </sheets>
  <externalReferences>
    <externalReference r:id="rId12"/>
  </externalReference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ederally_Qualifying_AC">#REF!</definedName>
    <definedName name="Federally_Qualifying_RF___2001_Standard">#REF!</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ld_Spec_Qualifying_AC">#REF!</definedName>
    <definedName name="Old_Spec_Qualifying_DW">#REF!</definedName>
    <definedName name="Old_Spec_Qualifying_RF">#REF!</definedName>
    <definedName name="Old_Standard_Qualifying_AC">#REF!</definedName>
    <definedName name="OMShr1">'ProData'!$B$11</definedName>
    <definedName name="PC_Main">[0]!PC_Main</definedName>
    <definedName name="Prog_Life">'ProData'!$B$2</definedName>
    <definedName name="PVTZero">'ProData'!$B$4</definedName>
    <definedName name="Qualifying_AC">#REF!</definedName>
    <definedName name="Qualifying_CW">#REF!</definedName>
    <definedName name="Qualifying_DW">#REF!</definedName>
    <definedName name="Qualifying_DW_new_standard">#REF!</definedName>
    <definedName name="Qualifying_DW_old_standard">#REF!</definedName>
    <definedName name="Qualifying_RF">#REF!</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ABLE" localSheetId="4">'Detergent Cost Estimates'!#REF!</definedName>
    <definedName name="TABLE_10" localSheetId="4">'Detergent Cost Estimates'!#REF!</definedName>
    <definedName name="TABLE_11" localSheetId="4">'Detergent Cost Estimates'!#REF!</definedName>
    <definedName name="TABLE_12" localSheetId="4">'Detergent Cost Estimates'!#REF!</definedName>
    <definedName name="TABLE_13" localSheetId="4">'Detergent Cost Estimates'!#REF!</definedName>
    <definedName name="TABLE_14" localSheetId="4">'Detergent Cost Estimates'!#REF!</definedName>
    <definedName name="TABLE_15" localSheetId="4">'Detergent Cost Estimates'!#REF!</definedName>
    <definedName name="TABLE_16" localSheetId="4">'Detergent Cost Estimates'!#REF!</definedName>
    <definedName name="TABLE_17" localSheetId="4">'Detergent Cost Estimates'!#REF!</definedName>
    <definedName name="TABLE_18" localSheetId="4">'Detergent Cost Estimates'!#REF!</definedName>
    <definedName name="TABLE_19" localSheetId="4">'Detergent Cost Estimates'!#REF!</definedName>
    <definedName name="TABLE_2" localSheetId="4">'Detergent Cost Estimates'!#REF!</definedName>
    <definedName name="TABLE_20" localSheetId="4">'Detergent Cost Estimates'!#REF!</definedName>
    <definedName name="TABLE_21" localSheetId="4">'Detergent Cost Estimates'!#REF!</definedName>
    <definedName name="TABLE_22" localSheetId="4">'Detergent Cost Estimates'!#REF!</definedName>
    <definedName name="TABLE_23" localSheetId="4">'Detergent Cost Estimates'!#REF!</definedName>
    <definedName name="TABLE_24" localSheetId="4">'Detergent Cost Estimates'!#REF!</definedName>
    <definedName name="TABLE_25" localSheetId="4">'Detergent Cost Estimates'!#REF!</definedName>
    <definedName name="TABLE_26" localSheetId="4">'Detergent Cost Estimates'!#REF!</definedName>
    <definedName name="TABLE_27" localSheetId="4">'Detergent Cost Estimates'!#REF!</definedName>
    <definedName name="TABLE_28" localSheetId="4">'Detergent Cost Estimates'!#REF!</definedName>
    <definedName name="TABLE_29" localSheetId="4">'Detergent Cost Estimates'!#REF!</definedName>
    <definedName name="TABLE_3" localSheetId="4">'Detergent Cost Estimates'!$B$2:$E$2</definedName>
    <definedName name="TABLE_30" localSheetId="4">'Detergent Cost Estimates'!#REF!</definedName>
    <definedName name="TABLE_31" localSheetId="4">'Detergent Cost Estimates'!#REF!</definedName>
    <definedName name="TABLE_32" localSheetId="4">'Detergent Cost Estimates'!#REF!</definedName>
    <definedName name="TABLE_33" localSheetId="4">'Detergent Cost Estimates'!#REF!</definedName>
    <definedName name="TABLE_34" localSheetId="4">'Detergent Cost Estimates'!#REF!</definedName>
    <definedName name="TABLE_35" localSheetId="4">'Detergent Cost Estimates'!#REF!</definedName>
    <definedName name="TABLE_36" localSheetId="4">'Detergent Cost Estimates'!#REF!</definedName>
    <definedName name="TABLE_37" localSheetId="4">'Detergent Cost Estimates'!#REF!</definedName>
    <definedName name="TABLE_38" localSheetId="4">'Detergent Cost Estimates'!#REF!</definedName>
    <definedName name="TABLE_39" localSheetId="4">'Detergent Cost Estimates'!#REF!</definedName>
    <definedName name="TABLE_4" localSheetId="4">'Detergent Cost Estimates'!#REF!</definedName>
    <definedName name="TABLE_40" localSheetId="4">'Detergent Cost Estimates'!#REF!</definedName>
    <definedName name="TABLE_41" localSheetId="4">'Detergent Cost Estimates'!#REF!</definedName>
    <definedName name="TABLE_42" localSheetId="4">'Detergent Cost Estimates'!#REF!</definedName>
    <definedName name="TABLE_43" localSheetId="4">'Detergent Cost Estimates'!#REF!</definedName>
    <definedName name="TABLE_44" localSheetId="4">'Detergent Cost Estimates'!#REF!</definedName>
    <definedName name="TABLE_45" localSheetId="4">'Detergent Cost Estimates'!#REF!</definedName>
    <definedName name="TABLE_46" localSheetId="4">'Detergent Cost Estimates'!#REF!</definedName>
    <definedName name="TABLE_47" localSheetId="4">'Detergent Cost Estimates'!#REF!</definedName>
    <definedName name="TABLE_48" localSheetId="4">'Detergent Cost Estimates'!#REF!</definedName>
    <definedName name="TABLE_5" localSheetId="4">'Detergent Cost Estimates'!#REF!</definedName>
    <definedName name="TABLE_6" localSheetId="4">'Detergent Cost Estimates'!#REF!</definedName>
    <definedName name="TABLE_7" localSheetId="4">'Detergent Cost Estimates'!#REF!</definedName>
    <definedName name="TABLE_8" localSheetId="4">'Detergent Cost Estimates'!#REF!</definedName>
    <definedName name="TABLE_9" localSheetId="4">'Detergent Cost Estimates'!#REF!</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J3" authorId="0">
      <text>
        <r>
          <rPr>
            <b/>
            <sz val="10"/>
            <rFont val="Tahoma"/>
            <family val="2"/>
          </rPr>
          <t>Tom Eckman:</t>
        </r>
        <r>
          <rPr>
            <sz val="10"/>
            <rFont val="Tahoma"/>
            <family val="2"/>
          </rPr>
          <t xml:space="preserve">
Does not include transmission and distribution system line losses.</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K3" authorId="0">
      <text>
        <r>
          <rPr>
            <b/>
            <sz val="10"/>
            <rFont val="Tahoma"/>
            <family val="2"/>
          </rPr>
          <t>Tom Eckman:</t>
        </r>
        <r>
          <rPr>
            <sz val="10"/>
            <rFont val="Tahoma"/>
            <family val="2"/>
          </rPr>
          <t xml:space="preserve">
Includes transmission and distribution system line losses.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AC3" authorId="0">
      <text>
        <r>
          <rPr>
            <b/>
            <sz val="10"/>
            <rFont val="Tahoma"/>
            <family val="2"/>
          </rPr>
          <t>Tom Eckman: Includes reduced natural gas use for water heating and drying when applicable, as well as reduced detergent use.</t>
        </r>
        <r>
          <rPr>
            <sz val="6"/>
            <rFont val="Tahoma"/>
            <family val="0"/>
          </rPr>
          <t xml:space="preserve">
</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3.xml><?xml version="1.0" encoding="utf-8"?>
<comments xmlns="http://schemas.openxmlformats.org/spreadsheetml/2006/main">
  <authors>
    <author>Tom Eckman</author>
  </authors>
  <commentList>
    <comment ref="F5" authorId="0">
      <text>
        <r>
          <rPr>
            <b/>
            <sz val="10"/>
            <rFont val="Tahoma"/>
            <family val="2"/>
          </rPr>
          <t>Tom Eckman:</t>
        </r>
        <r>
          <rPr>
            <sz val="10"/>
            <rFont val="Tahoma"/>
            <family val="2"/>
          </rPr>
          <t xml:space="preserve">
Annual value of natural gas savings at an avoided cost of $0.30/Therm (1997$).</t>
        </r>
      </text>
    </comment>
    <comment ref="H5" authorId="0">
      <text>
        <r>
          <rPr>
            <b/>
            <sz val="10"/>
            <rFont val="Tahoma"/>
            <family val="2"/>
          </rPr>
          <t>Tom Eckman:</t>
        </r>
        <r>
          <rPr>
            <sz val="10"/>
            <rFont val="Tahoma"/>
            <family val="2"/>
          </rPr>
          <t xml:space="preserve">
Annual avoided cost of end user's water and waste water treatment costs and detergent savings.</t>
        </r>
      </text>
    </comment>
  </commentList>
</comments>
</file>

<file path=xl/comments4.xml><?xml version="1.0" encoding="utf-8"?>
<comments xmlns="http://schemas.openxmlformats.org/spreadsheetml/2006/main">
  <authors>
    <author>Tom Eckman</author>
  </authors>
  <commentList>
    <comment ref="C29" authorId="0">
      <text>
        <r>
          <rPr>
            <b/>
            <sz val="10"/>
            <rFont val="Tahoma"/>
            <family val="0"/>
          </rPr>
          <t>Tom Eckman:</t>
        </r>
        <r>
          <rPr>
            <sz val="10"/>
            <rFont val="Tahoma"/>
            <family val="0"/>
          </rPr>
          <t xml:space="preserve">
Kennmore Model 4214</t>
        </r>
      </text>
    </comment>
    <comment ref="C28" authorId="0">
      <text>
        <r>
          <rPr>
            <b/>
            <sz val="10"/>
            <rFont val="Tahoma"/>
            <family val="0"/>
          </rPr>
          <t>Tom Eckman:</t>
        </r>
        <r>
          <rPr>
            <sz val="10"/>
            <rFont val="Tahoma"/>
            <family val="0"/>
          </rPr>
          <t xml:space="preserve">
Amana Model ALW895SA and GE Model WHSB8000</t>
        </r>
      </text>
    </comment>
    <comment ref="C30" authorId="0">
      <text>
        <r>
          <rPr>
            <b/>
            <sz val="10"/>
            <rFont val="Tahoma"/>
            <family val="0"/>
          </rPr>
          <t>Tom Eckman:</t>
        </r>
        <r>
          <rPr>
            <sz val="10"/>
            <rFont val="Tahoma"/>
            <family val="0"/>
          </rPr>
          <t xml:space="preserve">
Fisher &amp; Paykel Model GWL10</t>
        </r>
      </text>
    </comment>
    <comment ref="C27" authorId="0">
      <text>
        <r>
          <rPr>
            <b/>
            <sz val="10"/>
            <rFont val="Tahoma"/>
            <family val="0"/>
          </rPr>
          <t>Tom Eckman:</t>
        </r>
        <r>
          <rPr>
            <sz val="10"/>
            <rFont val="Tahoma"/>
            <family val="0"/>
          </rPr>
          <t xml:space="preserve">
Maytag MAV6200</t>
        </r>
      </text>
    </comment>
    <comment ref="G25" authorId="0">
      <text>
        <r>
          <rPr>
            <b/>
            <sz val="10"/>
            <rFont val="Tahoma"/>
            <family val="0"/>
          </rPr>
          <t>Tom Eckman:</t>
        </r>
        <r>
          <rPr>
            <sz val="10"/>
            <rFont val="Tahoma"/>
            <family val="0"/>
          </rPr>
          <t xml:space="preserve">
Based on DOE Estimates of hot water use at each MEF.  Clothes washer TSD.</t>
        </r>
      </text>
    </comment>
    <comment ref="G38" authorId="0">
      <text>
        <r>
          <rPr>
            <b/>
            <sz val="10"/>
            <rFont val="Tahoma"/>
            <family val="0"/>
          </rPr>
          <t>Tom Eckman:</t>
        </r>
        <r>
          <rPr>
            <sz val="10"/>
            <rFont val="Tahoma"/>
            <family val="0"/>
          </rPr>
          <t xml:space="preserve">
Based on DOE Estimates of hot water use at each MEF.  Clothes washer TSD.</t>
        </r>
      </text>
    </comment>
    <comment ref="C40" authorId="0">
      <text>
        <r>
          <rPr>
            <b/>
            <sz val="10"/>
            <rFont val="Tahoma"/>
            <family val="0"/>
          </rPr>
          <t>Tom Eckman:</t>
        </r>
        <r>
          <rPr>
            <sz val="10"/>
            <rFont val="Tahoma"/>
            <family val="0"/>
          </rPr>
          <t xml:space="preserve">
Maytag MAV6200</t>
        </r>
      </text>
    </comment>
    <comment ref="C41" authorId="0">
      <text>
        <r>
          <rPr>
            <b/>
            <sz val="10"/>
            <rFont val="Tahoma"/>
            <family val="0"/>
          </rPr>
          <t>Tom Eckman:</t>
        </r>
        <r>
          <rPr>
            <sz val="10"/>
            <rFont val="Tahoma"/>
            <family val="0"/>
          </rPr>
          <t xml:space="preserve">
Amana Model ALW895SA and GE Model WHSB8000</t>
        </r>
      </text>
    </comment>
    <comment ref="C42" authorId="0">
      <text>
        <r>
          <rPr>
            <b/>
            <sz val="10"/>
            <rFont val="Tahoma"/>
            <family val="0"/>
          </rPr>
          <t>Tom Eckman:</t>
        </r>
        <r>
          <rPr>
            <sz val="10"/>
            <rFont val="Tahoma"/>
            <family val="0"/>
          </rPr>
          <t xml:space="preserve">
Kennmore Model 4214</t>
        </r>
      </text>
    </comment>
    <comment ref="C43" authorId="0">
      <text>
        <r>
          <rPr>
            <b/>
            <sz val="10"/>
            <rFont val="Tahoma"/>
            <family val="0"/>
          </rPr>
          <t>Tom Eckman:</t>
        </r>
        <r>
          <rPr>
            <sz val="10"/>
            <rFont val="Tahoma"/>
            <family val="0"/>
          </rPr>
          <t xml:space="preserve">
Fisher &amp; Paykel Model GWL10</t>
        </r>
      </text>
    </comment>
    <comment ref="A6" authorId="0">
      <text>
        <r>
          <rPr>
            <b/>
            <sz val="10"/>
            <rFont val="Tahoma"/>
            <family val="2"/>
          </rPr>
          <t>Tom Eckman:</t>
        </r>
        <r>
          <rPr>
            <sz val="10"/>
            <rFont val="Tahoma"/>
            <family val="2"/>
          </rPr>
          <t xml:space="preserve">
Savings from MEF 1.27 to MEF 2.2</t>
        </r>
      </text>
    </comment>
    <comment ref="D74" authorId="0">
      <text>
        <r>
          <rPr>
            <b/>
            <sz val="8"/>
            <rFont val="Tahoma"/>
            <family val="0"/>
          </rPr>
          <t>Tom Eckman:</t>
        </r>
        <r>
          <rPr>
            <sz val="8"/>
            <rFont val="Tahoma"/>
            <family val="0"/>
          </rPr>
          <t xml:space="preserve">
Includes Washer Savings</t>
        </r>
      </text>
    </comment>
    <comment ref="F74" authorId="0">
      <text>
        <r>
          <rPr>
            <b/>
            <sz val="8"/>
            <rFont val="Tahoma"/>
            <family val="0"/>
          </rPr>
          <t>Tom Eckman:</t>
        </r>
        <r>
          <rPr>
            <sz val="8"/>
            <rFont val="Tahoma"/>
            <family val="0"/>
          </rPr>
          <t xml:space="preserve">
Includes Washer Savings</t>
        </r>
      </text>
    </comment>
  </commentList>
</comments>
</file>

<file path=xl/comments5.xml><?xml version="1.0" encoding="utf-8"?>
<comments xmlns="http://schemas.openxmlformats.org/spreadsheetml/2006/main">
  <authors>
    <author>Tom Eckman</author>
  </authors>
  <commentList>
    <comment ref="F10" authorId="0">
      <text>
        <r>
          <rPr>
            <b/>
            <sz val="6"/>
            <rFont val="Tahoma"/>
            <family val="0"/>
          </rPr>
          <t>Tom Eckman:</t>
        </r>
        <r>
          <rPr>
            <sz val="6"/>
            <rFont val="Tahoma"/>
            <family val="0"/>
          </rPr>
          <t xml:space="preserve">
Based on detergent manufacturer's recommended use of 1 cup/load.
</t>
        </r>
      </text>
    </comment>
    <comment ref="F6" authorId="0">
      <text>
        <r>
          <rPr>
            <b/>
            <sz val="6"/>
            <rFont val="Tahoma"/>
            <family val="0"/>
          </rPr>
          <t>Tom Eckman:</t>
        </r>
        <r>
          <rPr>
            <sz val="6"/>
            <rFont val="Tahoma"/>
            <family val="0"/>
          </rPr>
          <t xml:space="preserve">
Based on detergent manufacturer's recommended use of 1 cup/load.
</t>
        </r>
      </text>
    </comment>
    <comment ref="F7" authorId="0">
      <text>
        <r>
          <rPr>
            <b/>
            <sz val="6"/>
            <rFont val="Tahoma"/>
            <family val="0"/>
          </rPr>
          <t>Tom Eckman:</t>
        </r>
        <r>
          <rPr>
            <sz val="6"/>
            <rFont val="Tahoma"/>
            <family val="0"/>
          </rPr>
          <t xml:space="preserve">
Based on detergent manufacturer's recommended use of 1 cup/load.
</t>
        </r>
      </text>
    </comment>
    <comment ref="F9" authorId="0">
      <text>
        <r>
          <rPr>
            <b/>
            <sz val="6"/>
            <rFont val="Tahoma"/>
            <family val="0"/>
          </rPr>
          <t>Tom Eckman:</t>
        </r>
        <r>
          <rPr>
            <sz val="6"/>
            <rFont val="Tahoma"/>
            <family val="0"/>
          </rPr>
          <t xml:space="preserve">
Detergent manufacturer recommends 1/3 cup per load for top load and 1/4 cup per load for front load machines.</t>
        </r>
      </text>
    </comment>
  </commentList>
</comments>
</file>

<file path=xl/comments7.xml><?xml version="1.0" encoding="utf-8"?>
<comments xmlns="http://schemas.openxmlformats.org/spreadsheetml/2006/main">
  <authors>
    <author>Tom Eckman</author>
  </authors>
  <commentList>
    <comment ref="A2" authorId="0">
      <text>
        <r>
          <rPr>
            <b/>
            <sz val="8"/>
            <rFont val="Tahoma"/>
            <family val="0"/>
          </rPr>
          <t>Tom Eckman:</t>
        </r>
        <r>
          <rPr>
            <sz val="8"/>
            <rFont val="Tahoma"/>
            <family val="0"/>
          </rPr>
          <t xml:space="preserve">
Description of conservation or renewable resource technology, measure or practice.</t>
        </r>
      </text>
    </comment>
    <comment ref="B2"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2" authorId="0">
      <text>
        <r>
          <rPr>
            <b/>
            <sz val="8"/>
            <rFont val="Tahoma"/>
            <family val="0"/>
          </rPr>
          <t>Tom Eckman:</t>
        </r>
        <r>
          <rPr>
            <sz val="8"/>
            <rFont val="Tahoma"/>
            <family val="0"/>
          </rPr>
          <t xml:space="preserve">
Sector, sub-sector and end-use affected (e.g. single family homes with electric heat</t>
        </r>
      </text>
    </comment>
  </commentList>
</comments>
</file>

<file path=xl/sharedStrings.xml><?xml version="1.0" encoding="utf-8"?>
<sst xmlns="http://schemas.openxmlformats.org/spreadsheetml/2006/main" count="1366" uniqueCount="686">
  <si>
    <t>Retail Price</t>
  </si>
  <si>
    <t>MAV6200</t>
  </si>
  <si>
    <t xml:space="preserve">DOE Test Cycles = </t>
  </si>
  <si>
    <t>Source: Sears, Lowes, Best-Buy and Energy Star Data base 9/25/02</t>
  </si>
  <si>
    <t>(gal/cycle/cuft)</t>
  </si>
  <si>
    <t>(cu.ft./kWh/cyle)</t>
  </si>
  <si>
    <t>Purchase Price</t>
  </si>
  <si>
    <t>Percent Change Over Baseline</t>
  </si>
  <si>
    <t>Washer Capacity =&gt;</t>
  </si>
  <si>
    <t>Cycles/yr =&gt;</t>
  </si>
  <si>
    <t>Hot Water</t>
  </si>
  <si>
    <t xml:space="preserve"> Total Water</t>
  </si>
  <si>
    <t>Retail Price and Efficiency Assumptions</t>
  </si>
  <si>
    <t>(gal/cycle)</t>
  </si>
  <si>
    <t>Baseline 2004 Federal Standard = MEF 1.04</t>
  </si>
  <si>
    <t>Measure Description</t>
  </si>
  <si>
    <t>ALL ELECTRIC</t>
  </si>
  <si>
    <t>ALL GAS</t>
  </si>
  <si>
    <t>All Machines</t>
  </si>
  <si>
    <t>(kWh/yr)</t>
  </si>
  <si>
    <t>(Therms/yr)</t>
  </si>
  <si>
    <t>All Electric</t>
  </si>
  <si>
    <t>All Gas</t>
  </si>
  <si>
    <t>Electric DHW w/Gas Dryer</t>
  </si>
  <si>
    <t>Electric Dryer w/Gas DHW</t>
  </si>
  <si>
    <t>Incremental Cost</t>
  </si>
  <si>
    <t>Annual Incremental Water &amp; Energy Savings</t>
  </si>
  <si>
    <t>Measure Incremental Cost</t>
  </si>
  <si>
    <t xml:space="preserve">Energy Star Clothes Washer (MEF 1.27) - Electric DHW &amp; Dryer </t>
  </si>
  <si>
    <t>Energy Star Clothes Washer (MEF 1.86) - Electric DHW/Gas Dryer</t>
  </si>
  <si>
    <t>Energy Star Clothes Washer (MEF 2.2) - Electric DHW/Gas Dryer</t>
  </si>
  <si>
    <t xml:space="preserve">Energy Star Clothes Washer (MEF 1.27) - Gas DHW &amp; Dryer </t>
  </si>
  <si>
    <t xml:space="preserve">Energy Star Clothes Washer (MEF 1.86) - Electric DHW &amp; Dryer </t>
  </si>
  <si>
    <t xml:space="preserve">Energy Star Clothes Washer (MEF 2.2) - Electric DHW &amp; Dryer </t>
  </si>
  <si>
    <t xml:space="preserve">Energy Star Clothes Washer (MEF 1.86) - Gas DHW &amp; Dryer </t>
  </si>
  <si>
    <t xml:space="preserve">Energy Star Clothes Washer (MEF 2.2) - Gas DHW &amp; Dryer </t>
  </si>
  <si>
    <t xml:space="preserve">Energy Star Clothes Washer (MEF 1.27) - Gas DHW &amp; Electric Dryer </t>
  </si>
  <si>
    <t xml:space="preserve">Energy Star Clothes Washer (MEF 1.86) - Gas DHW &amp; Electric Dryer </t>
  </si>
  <si>
    <t xml:space="preserve">Energy Star Clothes Washer (MEF 2.2) - Gas DHW &amp; Electric Dryer </t>
  </si>
  <si>
    <t>Energy Star Clothes Washer (MEF 1.27) - Weighted Average DHW &amp; Dryer</t>
  </si>
  <si>
    <t>Energy Star Clothes Washer (MEF 1.86) - Weighted Average DHW &amp; Dryer</t>
  </si>
  <si>
    <t>Energy Star Clothes Washer (MEF 2.2) - Weighted Average DHW &amp; Dryer</t>
  </si>
  <si>
    <t>Weighte Average DHW</t>
  </si>
  <si>
    <t>Weighte Average Dryer</t>
  </si>
  <si>
    <t>Energy Star Clothes Washer (MEF 1.27) - Electric DHW/Gas Dryer</t>
  </si>
  <si>
    <t>Weighted Averaga All PNW Residences</t>
  </si>
  <si>
    <t>LookupTable</t>
  </si>
  <si>
    <t>Energy Star Clothes Washer (MEF 1.27) - Electric DHW &amp; Dryer</t>
  </si>
  <si>
    <t>Energy Star Clothes Washer (MEF 1.27) - Electric DHW &amp; Dryer  - Washer Savings</t>
  </si>
  <si>
    <t>Energy Star Clothes Washer (MEF 1.27) - Electric DHW &amp; Dryer  - Dryer Savings</t>
  </si>
  <si>
    <t>Energy Star Clothes Washer (MEF 1.27) - Electric DHW &amp; Dryer  - Waster Water Treatment Savings</t>
  </si>
  <si>
    <t>Energy Star Clothes Washer (MEF 1.86) - Electric DHW &amp; Dryer</t>
  </si>
  <si>
    <t>Energy Star Clothes Washer (MEF 2.2) - Electric DHW &amp; Dryer</t>
  </si>
  <si>
    <t>Energy Star Clothes Washer (MEF 2.2) - Electric DHW &amp; Dryer  - Washer Savings</t>
  </si>
  <si>
    <t>Energy Star Clothes Washer (MEF 2.2) - Electric DHW &amp; Dryer  - Dryer Savings</t>
  </si>
  <si>
    <t>Energy Star Clothes Washer (MEF 2.2) - Electric DHW &amp; Dryer  - Waster Water Treatment Savings</t>
  </si>
  <si>
    <t>Energy Star Clothes Washer (MEF 1.27) - Electric DHW/Gas Dryer - Washer Savings</t>
  </si>
  <si>
    <t>Energy Star Clothes Washer (MEF 1.27) - Electric DHW/Gas Dryer - Dryer Savings</t>
  </si>
  <si>
    <t>Energy Star Clothes Washer (MEF 1.27) - Electric DHW/Gas Dryer - Waster Water Treatment Savings</t>
  </si>
  <si>
    <t>Energy Star Clothes Washer (MEF 2.2) - Electric DHW/Gas Dryer - Washer Savings</t>
  </si>
  <si>
    <t>Energy Star Clothes Washer (MEF 2.2) - Electric DHW/Gas Dryer - Dryer Savings</t>
  </si>
  <si>
    <t>Energy Star Clothes Washer (MEF 2.2) - Electric DHW/Gas Dryer - Waster Water Treatment Savings</t>
  </si>
  <si>
    <t>Energy Star Clothes Washer (MEF 1.27) - Gas DHW &amp; Dryer</t>
  </si>
  <si>
    <t>Energy Star Clothes Washer (MEF 1.27) - Gas DHW &amp; Dryer  - Washer Savings</t>
  </si>
  <si>
    <t>Energy Star Clothes Washer (MEF 1.27) - Gas DHW &amp; Dryer  - Dryer Savings</t>
  </si>
  <si>
    <t>Energy Star Clothes Washer (MEF 1.27) - Gas DHW &amp; Dryer  - Waster Water Treatment Savings</t>
  </si>
  <si>
    <t>Energy Star Clothes Washer (MEF 1.86) - Gas DHW &amp; Dryer</t>
  </si>
  <si>
    <t>Energy Star Clothes Washer (MEF 2.2) - Gas DHW &amp; Dryer</t>
  </si>
  <si>
    <t>Energy Star Clothes Washer (MEF 2.2) - Gas DHW &amp; Dryer  - Washer Savings</t>
  </si>
  <si>
    <t>Energy Star Clothes Washer (MEF 2.2) - Gas DHW &amp; Dryer  - Dryer Savings</t>
  </si>
  <si>
    <t>Energy Star Clothes Washer (MEF 2.2) - Gas DHW &amp; Dryer  - Waster Water Treatment Savings</t>
  </si>
  <si>
    <t>Energy Star Clothes Washer (MEF 1.27) - Gas DHW &amp; Electric Dryer</t>
  </si>
  <si>
    <t>Energy Star Clothes Washer (MEF 1.27) - Gas DHW &amp; Electric Dryer  - Washer Savings</t>
  </si>
  <si>
    <t>Energy Star Clothes Washer (MEF 1.27) - Gas DHW &amp; Electric Dryer  - Dryer Savings</t>
  </si>
  <si>
    <t>Energy Star Clothes Washer (MEF 1.27) - Gas DHW &amp; Electric Dryer  - Waster Water Treatment Savings</t>
  </si>
  <si>
    <t>Energy Star Clothes Washer (MEF 1.86) - Gas DHW &amp; Electric Dryer</t>
  </si>
  <si>
    <t>Energy Star Clothes Washer (MEF 2.2) - Gas DHW &amp; Electric Dryer</t>
  </si>
  <si>
    <t>Energy Star Clothes Washer (MEF 2.2) - Gas DHW &amp; Electric Dryer  - Washer Savings</t>
  </si>
  <si>
    <t>Energy Star Clothes Washer (MEF 2.2) - Gas DHW &amp; Electric Dryer  - Dryer Savings</t>
  </si>
  <si>
    <t>Energy Star Clothes Washer (MEF 2.2) - Gas DHW &amp; Electric Dryer  - Waster Water Treatment Savings</t>
  </si>
  <si>
    <t>Energy Star Clothes Washer (MEF 1.27) - Weighted Average DHW &amp; Dryer - Washer Savings</t>
  </si>
  <si>
    <t>Energy Star Clothes Washer (MEF 1.27) - Weighted Average DHW &amp; Dryer - Dryer Savings</t>
  </si>
  <si>
    <t>Energy Star Clothes Washer (MEF 1.27) - Weighted Average DHW &amp; Dryer - Waster Water Treatment Savings</t>
  </si>
  <si>
    <t>Energy Star Clothes Washer (MEF 2.2) - Weighted Average DHW &amp; Dryer - Washer Savings</t>
  </si>
  <si>
    <t>Energy Star Clothes Washer (MEF 2.2) - Weighted Average DHW &amp; Dryer - Dryer Savings</t>
  </si>
  <si>
    <t>Energy Star Clothes Washer (MEF 2.2) - Weighted Average DHW &amp; Dryer - Waster Water Treatment Savings</t>
  </si>
  <si>
    <t>Savings (mmBtu/yr)</t>
  </si>
  <si>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</si>
  <si>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</si>
  <si>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</si>
  <si>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</si>
  <si>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</si>
  <si>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</si>
  <si>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</si>
  <si>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</si>
  <si>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</si>
  <si>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</si>
  <si>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</si>
  <si>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</si>
  <si>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</si>
  <si>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</si>
  <si>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</si>
  <si>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</si>
  <si>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</si>
  <si>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</si>
  <si>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</si>
  <si>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</si>
  <si>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</si>
  <si>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</si>
  <si>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</si>
  <si>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</si>
  <si>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</si>
  <si>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</si>
  <si>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</si>
  <si>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</si>
  <si>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</si>
  <si>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</si>
  <si>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</si>
  <si>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</si>
  <si>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</si>
  <si>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</si>
  <si>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</si>
  <si>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</si>
  <si>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</si>
  <si>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</si>
  <si>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</si>
  <si>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</si>
  <si>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</si>
  <si>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</si>
  <si>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</si>
  <si>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</si>
  <si>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</si>
  <si>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</si>
  <si>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</si>
  <si>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</si>
  <si>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</si>
  <si>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</si>
  <si>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</si>
  <si>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</si>
  <si>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</si>
  <si>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</si>
  <si>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</si>
  <si>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</si>
  <si>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</si>
  <si>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</si>
  <si>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</si>
  <si>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</si>
  <si>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</si>
  <si>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</si>
  <si>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</si>
  <si>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</si>
  <si>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</si>
  <si>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</si>
  <si>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</si>
  <si>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</si>
  <si>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</si>
  <si>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</si>
  <si>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</si>
  <si>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</si>
  <si>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</si>
  <si>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</si>
  <si>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</si>
  <si>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</si>
  <si>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</si>
  <si>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</si>
  <si>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</si>
  <si>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</si>
  <si>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</si>
  <si>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</si>
  <si>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</si>
  <si>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</si>
  <si>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</si>
  <si>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</si>
  <si>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</si>
  <si>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</si>
  <si>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</si>
  <si>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</si>
  <si>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</si>
  <si>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</si>
  <si>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</si>
  <si>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</si>
  <si>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</si>
  <si>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</si>
  <si>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</si>
  <si>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</si>
  <si>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</si>
  <si>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</si>
  <si>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</si>
  <si>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</si>
  <si>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</si>
  <si>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</si>
  <si>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</si>
  <si>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</si>
  <si>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</si>
  <si>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</si>
  <si>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</si>
  <si>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</si>
  <si>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</si>
  <si>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</si>
  <si>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</si>
  <si>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</si>
  <si>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</si>
  <si>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</si>
  <si>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</si>
  <si>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</si>
  <si>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</si>
  <si>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</si>
  <si>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</si>
  <si>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</si>
  <si>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</si>
  <si>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</si>
  <si>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</si>
  <si>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</si>
  <si>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</si>
  <si>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</si>
  <si>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RECW</t>
  </si>
  <si>
    <t>Savings (kWh/yr.)</t>
  </si>
  <si>
    <t>Phys Life (yr.)</t>
  </si>
  <si>
    <t>Non-E Val ($/yr.)</t>
  </si>
  <si>
    <t>ResWASH</t>
  </si>
  <si>
    <t>ResDRY</t>
  </si>
  <si>
    <t>FLAT</t>
  </si>
  <si>
    <t xml:space="preserve">Manufacturer, Dealer or Consumer Rebate </t>
  </si>
  <si>
    <t>Deemed if water heating and dryer energy source are documented</t>
  </si>
  <si>
    <t>$18/year cost savings from reduced detergent use + $35/year cost savings from reduced water and sewer costs.</t>
  </si>
  <si>
    <t>Deferred capital expansion costs of treatment facilities, estimated at $165/machine life.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</si>
  <si>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</si>
  <si>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</si>
  <si>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</si>
  <si>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</si>
  <si>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</si>
  <si>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</si>
  <si>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</si>
  <si>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</si>
  <si>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</si>
  <si>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</si>
  <si>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</si>
  <si>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</si>
  <si>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</si>
  <si>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</si>
  <si>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</si>
  <si>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</si>
  <si>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</si>
  <si>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</si>
  <si>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</si>
  <si>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</si>
  <si>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</si>
  <si>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</si>
  <si>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</si>
  <si>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</si>
  <si>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</si>
  <si>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</si>
  <si>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Regionwide</t>
  </si>
  <si>
    <t>MeasureTable</t>
  </si>
  <si>
    <t>Other Fuels</t>
  </si>
  <si>
    <t>Conservation Load Shapes</t>
  </si>
  <si>
    <t>PV of Non-E</t>
  </si>
  <si>
    <t>Value</t>
  </si>
  <si>
    <t>Energy &amp; Waste Water System Benefits from Resource Efficient Clothes washers</t>
  </si>
  <si>
    <t>Assumptions</t>
  </si>
  <si>
    <t>Cycles/Yr.</t>
  </si>
  <si>
    <t>Cycles / LifeTime</t>
  </si>
  <si>
    <t>Life (Yrs)</t>
  </si>
  <si>
    <t>Annual Electricity Savings - Washer (kWh)</t>
  </si>
  <si>
    <t>Annual Electricity Savings - Dryer (kWh)</t>
  </si>
  <si>
    <t>Annual Electricity Savings - DHW (kWh)</t>
  </si>
  <si>
    <t>Total Annual Electricity Savings (kWh)</t>
  </si>
  <si>
    <t>Annual Gas Savings - Dryer (Therms)</t>
  </si>
  <si>
    <t>Annual Gas Savings - DHW (Therms)</t>
  </si>
  <si>
    <t>Annual Total Gas Savings - DHW &amp; Dryer (Therms)</t>
  </si>
  <si>
    <t>Annual Water Savings (gals)</t>
  </si>
  <si>
    <t>Annual Water &amp; Sewer Cost Savings</t>
  </si>
  <si>
    <t>Annual Detergent Savings</t>
  </si>
  <si>
    <t>Annual Water Treatment Savings (kWh)</t>
  </si>
  <si>
    <t>Single Family</t>
  </si>
  <si>
    <t>Water and Energy Use per Cycle</t>
  </si>
  <si>
    <t>Annual Water and Energy Use</t>
  </si>
  <si>
    <t>Water</t>
  </si>
  <si>
    <t>Washer</t>
  </si>
  <si>
    <t>Dryer</t>
  </si>
  <si>
    <t>Water Heat</t>
  </si>
  <si>
    <t>Electricity (Washer)</t>
  </si>
  <si>
    <t>Electricity (Dryer)</t>
  </si>
  <si>
    <t>Electricity DHW</t>
  </si>
  <si>
    <t>Total Electricity</t>
  </si>
  <si>
    <t>Electricity (DHW)</t>
  </si>
  <si>
    <t>Electricity (Total)</t>
  </si>
  <si>
    <t>Standard Level</t>
  </si>
  <si>
    <t>Description</t>
  </si>
  <si>
    <t>(kWh)</t>
  </si>
  <si>
    <t>(gallons)</t>
  </si>
  <si>
    <t>Water and Energy Use per Cycle w/Gas Water Heater &amp; Dryer</t>
  </si>
  <si>
    <t xml:space="preserve">Gas Dryer </t>
  </si>
  <si>
    <t>Gas DHW</t>
  </si>
  <si>
    <t>Total Gas (DHW+Dryer)</t>
  </si>
  <si>
    <t>Gas (DHW &amp; Dryer)</t>
  </si>
  <si>
    <t>(Therms)</t>
  </si>
  <si>
    <t>Therms</t>
  </si>
  <si>
    <t>Water&amp; Sewer Cost Savings</t>
  </si>
  <si>
    <t>Annual Savings (Gallons)</t>
  </si>
  <si>
    <t>gals/cu ft</t>
  </si>
  <si>
    <t>City</t>
  </si>
  <si>
    <t>Sewer</t>
  </si>
  <si>
    <t>Total/Gal</t>
  </si>
  <si>
    <t>Annual Savings</t>
  </si>
  <si>
    <t>Weighted</t>
  </si>
  <si>
    <t>ft3/1000 gals</t>
  </si>
  <si>
    <t>Portland</t>
  </si>
  <si>
    <t>Seattle</t>
  </si>
  <si>
    <t>Combined</t>
  </si>
  <si>
    <t>$/1000 cu ft</t>
  </si>
  <si>
    <t>Spokane</t>
  </si>
  <si>
    <t>$/1,000 gal</t>
  </si>
  <si>
    <t>Region</t>
  </si>
  <si>
    <t>Water Treatment Electricity Savings</t>
  </si>
  <si>
    <t>Aeration Energy Use (kWh/1000gal)</t>
  </si>
  <si>
    <t>Water Savings</t>
  </si>
  <si>
    <t>Electricity Savings (kWh/yr.)</t>
  </si>
  <si>
    <t>Detergent Cost Savings</t>
  </si>
  <si>
    <t>Detergent Savings (%)</t>
  </si>
  <si>
    <t>Loads/Year</t>
  </si>
  <si>
    <t>Cost/Load</t>
  </si>
  <si>
    <t>Cost/Year</t>
  </si>
  <si>
    <t>%</t>
  </si>
  <si>
    <t>$/year</t>
  </si>
  <si>
    <t>Electric Water Heating Market Share</t>
  </si>
  <si>
    <t>Gas Water Heating Market Share</t>
  </si>
  <si>
    <t>Electric Dryer Market Share</t>
  </si>
  <si>
    <t>Gas Dryer Market Share</t>
  </si>
  <si>
    <t>Detergent Brand</t>
  </si>
  <si>
    <t>Size</t>
  </si>
  <si>
    <t>Size (oz.)</t>
  </si>
  <si>
    <t>Price /Ounce</t>
  </si>
  <si>
    <t>Total Price</t>
  </si>
  <si>
    <t>Loads /Box</t>
  </si>
  <si>
    <t>Price/Load</t>
  </si>
  <si>
    <t>Oz./Load</t>
  </si>
  <si>
    <t>Fresh Start 44 Load Powder Laundry Detergent</t>
  </si>
  <si>
    <t>4.14 lb</t>
  </si>
  <si>
    <t>Bi-O-Kleen Laundry Powder</t>
  </si>
  <si>
    <t>10 lb</t>
  </si>
  <si>
    <t>Arm &amp; Hammer with Color Safe Bleach 33 Loads Powder Laundry Detergent</t>
  </si>
  <si>
    <t>8.37 lb</t>
  </si>
  <si>
    <t>Arm &amp; Hammer Perfume And Dye Free Powder Laundry Detergent</t>
  </si>
  <si>
    <t>Arm &amp; Hammer Scented Powder Laundry Detergent</t>
  </si>
  <si>
    <t>Tide Scented 120 Load Powder Laundry Detergent</t>
  </si>
  <si>
    <t>263 oz</t>
  </si>
  <si>
    <t>Country Save Biodegradable Non-Phosphorous Powder Laundry Detergent</t>
  </si>
  <si>
    <t>Arm &amp; Hammer Super Washing Soda Fragrance Free Powder Laundry Booster</t>
  </si>
  <si>
    <t>55 oz</t>
  </si>
  <si>
    <t>Tide Scented 80 Load Powder Laundry Detergent</t>
  </si>
  <si>
    <t>175 oz</t>
  </si>
  <si>
    <t>Surf 42 Load Powder Laundry Detergent</t>
  </si>
  <si>
    <t>83 oz</t>
  </si>
  <si>
    <t>4.5 lb</t>
  </si>
  <si>
    <t>Cheer All Color 42 Load Powder Laundry Detergent</t>
  </si>
  <si>
    <t>92 oz</t>
  </si>
  <si>
    <t>Cheer Unscented Powder Laundry Detergent</t>
  </si>
  <si>
    <t>Tide Mountain Spring 42 Load Powder Laundry Detergent</t>
  </si>
  <si>
    <t>Tide Perfume &amp; Dye Free 42 Load Powder Laundry Detergent</t>
  </si>
  <si>
    <t>Tide Scented 42 Load Powder Laundry Detergent</t>
  </si>
  <si>
    <t>Dreft 42 Load Powder Laundry Detergent</t>
  </si>
  <si>
    <t>87 oz</t>
  </si>
  <si>
    <t>Tide With Bleach 63 Load Scented Powder Laundry Detergent</t>
  </si>
  <si>
    <t>177 oz</t>
  </si>
  <si>
    <t>Cheer All Color with Bleach 33 Load Powder Laundry Detergent</t>
  </si>
  <si>
    <t>Tide With Bleach 33 Load Powder Laundry Detergent</t>
  </si>
  <si>
    <t>Ivory Snow Ultra Fine Wash 15 Load Powder Laundry Detergent</t>
  </si>
  <si>
    <t>26 oz</t>
  </si>
  <si>
    <t>Tide High Efficiency 20 Load Powder Laundry Detergent</t>
  </si>
  <si>
    <t>36 oz</t>
  </si>
  <si>
    <t>Avg.</t>
  </si>
  <si>
    <t>Source: HomeGrocer.Com (01/28/00)</t>
  </si>
  <si>
    <t>Converted to 1997$</t>
  </si>
  <si>
    <t>Waste Water Treatment Facility Impacts</t>
  </si>
  <si>
    <t>System Assumptions</t>
  </si>
  <si>
    <t>Treatment Capacity - 2 million gallons/day</t>
  </si>
  <si>
    <t>Facility cost - $14 million</t>
  </si>
  <si>
    <t>Treatment System Type:</t>
  </si>
  <si>
    <t>Complete mixed system consisting of four cells.</t>
  </si>
  <si>
    <t>First cell contains eighteen 15 h.p. surface aerators. Cells 2,3 and 4 each have three</t>
  </si>
  <si>
    <t>7.5 h.p surface aerators. Total combined aerator horsepower is 337.5</t>
  </si>
  <si>
    <t>Plant has a sand filter that can be employed if total suspended solids (TSS)</t>
  </si>
  <si>
    <t>exceed effluent permit limits.</t>
  </si>
  <si>
    <t>Aeration Efficiency (kWh/1000 gal)</t>
  </si>
  <si>
    <t>Annual Treatment (% of Design Capacity)</t>
  </si>
  <si>
    <t>Total Treated Effluent (Gallons)</t>
  </si>
  <si>
    <t>Capital Cost of 1 MGD Treatment</t>
  </si>
  <si>
    <t>Annual Energy Use @ Assumed Plant Capacity (kWh)</t>
  </si>
  <si>
    <t>Average Commercial Rate (cents/kWh)</t>
  </si>
  <si>
    <t>Annual Energy Cost @ Average Commercial Rate</t>
  </si>
  <si>
    <t>Average Energy Cost/1000 gallons treated</t>
  </si>
  <si>
    <t>Efficiency Improvement</t>
  </si>
  <si>
    <t>Annual Waste Water Treatment Water Savings (Gallons/Machine)</t>
  </si>
  <si>
    <t>Annual Waste Water Treatment Electricity Savings (kWh/Machine)</t>
  </si>
  <si>
    <t>Annual Wastewater Treatment Electricity Savings ($/Machine)</t>
  </si>
  <si>
    <t>Number of Machines Needed to Reduce Treatment Demand by 1 MGD</t>
  </si>
  <si>
    <t>Deferred Capital Cost of 1 MGD Treatment Facility ($/Machine)</t>
  </si>
  <si>
    <t>-</t>
  </si>
  <si>
    <t>gal/yr. savings</t>
  </si>
  <si>
    <t>gal/day</t>
  </si>
  <si>
    <t>% of 1 MGD</t>
  </si>
  <si>
    <t>National Shipments/Yr.</t>
  </si>
  <si>
    <t>Deferred Capital Cost</t>
  </si>
  <si>
    <t>Brand</t>
  </si>
  <si>
    <t>Model</t>
  </si>
  <si>
    <t>Volume</t>
  </si>
  <si>
    <t>Asko</t>
  </si>
  <si>
    <t>W600</t>
  </si>
  <si>
    <t>W620</t>
  </si>
  <si>
    <t>W640</t>
  </si>
  <si>
    <t>W660</t>
  </si>
  <si>
    <t>Bosch</t>
  </si>
  <si>
    <t>Equator</t>
  </si>
  <si>
    <t>Fisher &amp; Paykel</t>
  </si>
  <si>
    <t>GWL10</t>
  </si>
  <si>
    <t>Frigidaire</t>
  </si>
  <si>
    <t>General Electric</t>
  </si>
  <si>
    <t>Gibson</t>
  </si>
  <si>
    <t>Kenmore</t>
  </si>
  <si>
    <t>Kirkland</t>
  </si>
  <si>
    <t>Maytag</t>
  </si>
  <si>
    <t>MAH4000</t>
  </si>
  <si>
    <t>MAH5500</t>
  </si>
  <si>
    <t>Miele</t>
  </si>
  <si>
    <t>W1903</t>
  </si>
  <si>
    <t>W1918</t>
  </si>
  <si>
    <t>W1926</t>
  </si>
  <si>
    <t>W1930</t>
  </si>
  <si>
    <t>Quietline</t>
  </si>
  <si>
    <t>Splendide</t>
  </si>
  <si>
    <t>WDC1025MCEE</t>
  </si>
  <si>
    <t>Staber</t>
  </si>
  <si>
    <t>HXW2304</t>
  </si>
  <si>
    <t>Whirlpool</t>
  </si>
  <si>
    <t>Engineering &amp; Economic Data</t>
  </si>
  <si>
    <t>Detergent Cost Estimates</t>
  </si>
  <si>
    <t>WasteWater System Savings</t>
  </si>
  <si>
    <t>Energy Star Washers</t>
  </si>
  <si>
    <t>Residence w/Electric Water Heat and Electric Dryer</t>
  </si>
  <si>
    <t>Residence w/Gas Water Heat and Electric Dryer</t>
  </si>
  <si>
    <t>Residence w/Electric Water Heat and Gas Dryer</t>
  </si>
  <si>
    <t>Residence w/Gas Water Heat and Gas Dryer</t>
  </si>
  <si>
    <t>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t>
  </si>
  <si>
    <t>2002 Baseline</t>
  </si>
  <si>
    <t>Last Uploaded September 18, 2002</t>
  </si>
  <si>
    <t>Manufacturer</t>
  </si>
  <si>
    <t>kWh/year</t>
  </si>
  <si>
    <t>Modified Energy Factor</t>
  </si>
  <si>
    <t>Energy Factor</t>
  </si>
  <si>
    <t>Active</t>
  </si>
  <si>
    <t>Federal Standard</t>
  </si>
  <si>
    <t>Percent Better</t>
  </si>
  <si>
    <t>Water Factor</t>
  </si>
  <si>
    <t>Active Date</t>
  </si>
  <si>
    <t>Annual Water Use</t>
  </si>
  <si>
    <t>Amana</t>
  </si>
  <si>
    <t>ALW895SA*</t>
  </si>
  <si>
    <t>W6021</t>
  </si>
  <si>
    <t>W6221</t>
  </si>
  <si>
    <t>W6641</t>
  </si>
  <si>
    <t>W6661</t>
  </si>
  <si>
    <t>Avanti</t>
  </si>
  <si>
    <t>Samsung</t>
  </si>
  <si>
    <t>W1092F</t>
  </si>
  <si>
    <t>W6092F</t>
  </si>
  <si>
    <t>W8092F</t>
  </si>
  <si>
    <t>WFK2401(A)UC</t>
  </si>
  <si>
    <t>WFL2060UC</t>
  </si>
  <si>
    <t>WFR2460UC</t>
  </si>
  <si>
    <t>Danby Designer</t>
  </si>
  <si>
    <t>Gorenje</t>
  </si>
  <si>
    <t>DWM5500W</t>
  </si>
  <si>
    <t>Philco</t>
  </si>
  <si>
    <t>EZ3600CEE</t>
  </si>
  <si>
    <t>Eurotech</t>
  </si>
  <si>
    <t>AM Appliances</t>
  </si>
  <si>
    <t>EWF150</t>
  </si>
  <si>
    <t>EWF172</t>
  </si>
  <si>
    <t>Fisher &amp; Paykel Appliances Inc.</t>
  </si>
  <si>
    <t>Electrolux</t>
  </si>
  <si>
    <t>39012</t>
  </si>
  <si>
    <t>39022</t>
  </si>
  <si>
    <t>CRTF1240A</t>
  </si>
  <si>
    <t>CRTR9300A</t>
  </si>
  <si>
    <t>FTF1040A</t>
  </si>
  <si>
    <t>FTF630A</t>
  </si>
  <si>
    <t>FTR630A</t>
  </si>
  <si>
    <t>FWT425RH</t>
  </si>
  <si>
    <t>FWT645RH</t>
  </si>
  <si>
    <t>FWT647GH</t>
  </si>
  <si>
    <t>FWT648GH</t>
  </si>
  <si>
    <t>FWT865RH</t>
  </si>
  <si>
    <t>FWT867GH</t>
  </si>
  <si>
    <t>FWTR425RH</t>
  </si>
  <si>
    <t>GLTF1040A</t>
  </si>
  <si>
    <t>GLTF1240A</t>
  </si>
  <si>
    <t>GLTF1670A</t>
  </si>
  <si>
    <t>GLTR1670A</t>
  </si>
  <si>
    <t>GSTF1670A</t>
  </si>
  <si>
    <t>GSTR1670A</t>
  </si>
  <si>
    <t>NGST127A (New England)</t>
  </si>
  <si>
    <t>NGSTR127A (New England)</t>
  </si>
  <si>
    <t>GE Appliances</t>
  </si>
  <si>
    <t>WHSB8000B</t>
  </si>
  <si>
    <t>WHSB9000B***</t>
  </si>
  <si>
    <t>WPXH214A**</t>
  </si>
  <si>
    <t>WSXH208A</t>
  </si>
  <si>
    <t>GTF1040A</t>
  </si>
  <si>
    <t>GTR1040A</t>
  </si>
  <si>
    <t>Imperial</t>
  </si>
  <si>
    <t>LFW201E</t>
  </si>
  <si>
    <t>2106*</t>
  </si>
  <si>
    <t>2108*</t>
  </si>
  <si>
    <t>2206*</t>
  </si>
  <si>
    <t>2208*</t>
  </si>
  <si>
    <t>41042</t>
  </si>
  <si>
    <t>41052</t>
  </si>
  <si>
    <t>41142</t>
  </si>
  <si>
    <t>4204</t>
  </si>
  <si>
    <t>4205</t>
  </si>
  <si>
    <t>4214*</t>
  </si>
  <si>
    <t>4282*</t>
  </si>
  <si>
    <t>4283*</t>
  </si>
  <si>
    <t>4292*</t>
  </si>
  <si>
    <t>4293*</t>
  </si>
  <si>
    <t>SAWS900J</t>
  </si>
  <si>
    <t>LG Electronics</t>
  </si>
  <si>
    <t>WD-324*RHD</t>
  </si>
  <si>
    <t>MAH5500B</t>
  </si>
  <si>
    <t>MAH6500</t>
  </si>
  <si>
    <t>MAH7500*</t>
  </si>
  <si>
    <t>MAV7580</t>
  </si>
  <si>
    <t>MAV9600</t>
  </si>
  <si>
    <t>MLE2000 (stack unit)</t>
  </si>
  <si>
    <t>MLG2000 (stack unit)</t>
  </si>
  <si>
    <t>Miele, Inc.</t>
  </si>
  <si>
    <t>W1966</t>
  </si>
  <si>
    <t>W1986</t>
  </si>
  <si>
    <t>Appliances International</t>
  </si>
  <si>
    <t>WD9900</t>
  </si>
  <si>
    <t>P1092</t>
  </si>
  <si>
    <t>Simplicity</t>
  </si>
  <si>
    <t>SWM5500W</t>
  </si>
  <si>
    <t>Summit</t>
  </si>
  <si>
    <t>SPW-1100</t>
  </si>
  <si>
    <t>Thor</t>
  </si>
  <si>
    <t>XQG65-11</t>
  </si>
  <si>
    <t>GHW9100L*</t>
  </si>
  <si>
    <t>GHW9200L*</t>
  </si>
  <si>
    <t>GSW9545JQ</t>
  </si>
  <si>
    <t>GSW9559L*</t>
  </si>
  <si>
    <t>GSW9650L*</t>
  </si>
  <si>
    <t>GVW9959K</t>
  </si>
  <si>
    <t>White-Westinghouse</t>
  </si>
  <si>
    <t>WTR1240A</t>
  </si>
  <si>
    <t>Average</t>
  </si>
  <si>
    <t>Average Energy Star MEF (9/02) = 1.59</t>
  </si>
  <si>
    <t>2007 Federal Standard = MEF 1.26</t>
  </si>
  <si>
    <t>Kenmore Elite</t>
  </si>
  <si>
    <t>3.2 cu. ft. Top Load Washing Machine with 22 Cycles and Options (White-on-White)</t>
  </si>
  <si>
    <t>GE Profile</t>
  </si>
  <si>
    <t>3.2 cu. ft. Top Load Washing Machine with PerfecTemp Plus System (White-on-White)</t>
  </si>
  <si>
    <t>3.2 cu. ft. Top Load Washing Machine with Exclusive FabriClean Wash System (White-on-White)</t>
  </si>
  <si>
    <t>3.2 cu. ft. Top Load Washing Machine with 16 Cycles and Options (White)</t>
  </si>
  <si>
    <t>3.2 cu. ft. Top Load Washing Machine with 19 Cycles and Options (White-on-White)</t>
  </si>
  <si>
    <t>3.3 cu. ft. Top Load Washing Machine with 27 Cycles and Options (White)</t>
  </si>
  <si>
    <t>3.2 cu. ft. Atlantis™ Washing Machine with LoadSensor™ Agitator (White)</t>
  </si>
  <si>
    <t>3.2 cu. ft. King Size Capacity Top Load Washer with 22 Cycles and Options (White-on-White)</t>
  </si>
  <si>
    <t>3.2 cu. ft. Top Load Washer with Multiple Cycles and Options (White-on-White)</t>
  </si>
  <si>
    <t>3.2 cu. ft. Top Load Washing Machine with 17 Cycles and Options (White)</t>
  </si>
  <si>
    <t>3.2 cu. ft. Top Load Washing Machine with One Touch Electroinc Controls (White-on-White)</t>
  </si>
  <si>
    <t>3.2 cu. ft. Top Load Washer with 18 Cycles and Options (White)</t>
  </si>
  <si>
    <t>3.2 cu. ft. Top Load Washing Machines with 18 Cycles and Options (White)</t>
  </si>
  <si>
    <t>3.2 cu. ft. King Size Capacity Plus Top Load Washer with 22 Cycles and Options (White-on-White)</t>
  </si>
  <si>
    <t>3.0 cu. ft. Top Load Washer with Multiple Cycles and Options (White-on-White)</t>
  </si>
  <si>
    <t>3.1 cu. ft. Gallery Series I.E.C. Front Load Washer (White-on-White)</t>
  </si>
  <si>
    <t>3.1 cu. ft. I.E.C. Gallery Series Front Load Washer (White)</t>
  </si>
  <si>
    <t>3.0 cu. ft. Top Loader/Catalyst® Cleaning Action/Sensor Smart Cntrl/Multi Cycle (White-on-White)</t>
  </si>
  <si>
    <t>Whirlpool Gold</t>
  </si>
  <si>
    <t>3.0 cu. ft. 27 in. Top Load Washer (White-on-White)</t>
  </si>
  <si>
    <t>3.5 cu. ft. Top Load Washer with Calypso™ Wash Motion (White)</t>
  </si>
  <si>
    <t>3.5 cu. ft. King Size Capacity Washer with Calypso™ Wash Motion (White-on-White)</t>
  </si>
  <si>
    <t>3.34 cu. ft. Neptune® 27 in. Front Load Washer with LED Touchpad Controls (White)</t>
  </si>
  <si>
    <t>Duet™ High Efficiency Front Load Washer with Automatic Water Levels (White w/ tidal blue)</t>
  </si>
  <si>
    <t>3.7 cu. ft. IEC HE3 High Efficiency Front Loading Washer (White)</t>
  </si>
  <si>
    <t>Duet™ High Efficiency Front Load Washer with Automatic Water Levels (White w/ dove gray)</t>
  </si>
  <si>
    <t>3.34 cu. ft. Neptune® 27 in. Front Load Washer with LCD Touch Screen Controls (White-on-White)</t>
  </si>
  <si>
    <t>3.7 cu. ft. IEC HE3t High Efficiency Front Loading Washer (White)</t>
  </si>
  <si>
    <t>KENMORE </t>
  </si>
  <si>
    <t> 26 2106**(Elite)</t>
  </si>
  <si>
    <t> 26 2108**(Elite)</t>
  </si>
  <si>
    <t> 26 2206**(Elite)</t>
  </si>
  <si>
    <t> 26 2208**(Elite)</t>
  </si>
  <si>
    <t>26 4104*</t>
  </si>
  <si>
    <t>26 4114*</t>
  </si>
  <si>
    <t>26 4105*</t>
  </si>
  <si>
    <t>26 4204*</t>
  </si>
  <si>
    <t>26 4205*</t>
  </si>
  <si>
    <t>26 4214*</t>
  </si>
  <si>
    <t> 26 4282**(Elite)</t>
  </si>
  <si>
    <t>26 4283**(Elite)</t>
  </si>
  <si>
    <t> 26 4292**(Elite)</t>
  </si>
  <si>
    <t>26 4293**(Elite)</t>
  </si>
  <si>
    <t>Rated Volume (cu.ft.)</t>
  </si>
  <si>
    <t>Model Use (kWhyr)</t>
  </si>
  <si>
    <t>NAECA Baseline Use (kWh/yr)</t>
  </si>
  <si>
    <t>Water Factor (gals/cycle)</t>
  </si>
  <si>
    <t>Annual Water Use (gallons)</t>
  </si>
  <si>
    <t>Annual Site Energy Savings (kWh/yr) - Adjusted for Interaction</t>
  </si>
  <si>
    <t>Annual Busbar Energy Savings (kWh/yr) - Adjusted for Interaction</t>
  </si>
  <si>
    <t>Annual Water Savings (Gallons)</t>
  </si>
  <si>
    <t>Modified Energy Factor (cu.ft./kWh/cycle)</t>
  </si>
  <si>
    <t>Energy Factor (cu.ft./kWh/cycle)</t>
  </si>
  <si>
    <t>Baseline Modified Energy Factor (cu.ft./kWh/cycle)</t>
  </si>
  <si>
    <t>Baseline Energy Factor (cu.ft./kWh/cycle)</t>
  </si>
  <si>
    <t>PctBetter</t>
  </si>
  <si>
    <t>C&amp;R Discount Credit</t>
  </si>
  <si>
    <t>ASKO </t>
  </si>
  <si>
    <t>BOSCH</t>
  </si>
  <si>
    <t>EQUATOR</t>
  </si>
  <si>
    <t>EZ2512CEE</t>
  </si>
  <si>
    <t>EZ3612CEE</t>
  </si>
  <si>
    <t>EZ3612V</t>
  </si>
  <si>
    <t>FISHER_PAYKEL</t>
  </si>
  <si>
    <t>FRIGIDAIRE</t>
  </si>
  <si>
    <t>FWTB59RG</t>
  </si>
  <si>
    <t> FWTR425RH</t>
  </si>
  <si>
    <t>FWTR865RH</t>
  </si>
  <si>
    <t>FWTR867GH</t>
  </si>
  <si>
    <t>FWTB69RG</t>
  </si>
  <si>
    <t>FWTR645RH</t>
  </si>
  <si>
    <t>FWTR647GH</t>
  </si>
  <si>
    <t>FWTR648GH</t>
  </si>
  <si>
    <t>GENERAL_ELECTRIC_HOTPOINT </t>
  </si>
  <si>
    <t>WPXH214A</t>
  </si>
  <si>
    <t>GIBSON</t>
  </si>
  <si>
    <t>GWT645RH</t>
  </si>
  <si>
    <t>GWTR645RH</t>
  </si>
  <si>
    <t>IMPERIAL</t>
  </si>
  <si>
    <t>LG ELECTRONICS </t>
  </si>
  <si>
    <t>WD 324*RHD</t>
  </si>
  <si>
    <t>MAYTAG </t>
  </si>
  <si>
    <t>MAH4000A (Neptune)</t>
  </si>
  <si>
    <t>MAH5500 (Neptune)</t>
  </si>
  <si>
    <t>MAH5500B (Neptune)</t>
  </si>
  <si>
    <t>MAH6500A (Neptune)</t>
  </si>
  <si>
    <t>MAH7500A (Neptune)</t>
  </si>
  <si>
    <t>MLE2000A</t>
  </si>
  <si>
    <t>MLG2000A</t>
  </si>
  <si>
    <t>MIELE </t>
  </si>
  <si>
    <t> W1903</t>
  </si>
  <si>
    <t>QUIETLINE</t>
  </si>
  <si>
    <t>SPLENDIDE</t>
  </si>
  <si>
    <t> WDC1025MCEE</t>
  </si>
  <si>
    <t> WDC6200CEE</t>
  </si>
  <si>
    <t>STABER</t>
  </si>
  <si>
    <t>THOR</t>
  </si>
  <si>
    <t>WHIRLPOOL</t>
  </si>
  <si>
    <t>GHW9100L**</t>
  </si>
  <si>
    <t>GHW9200L**</t>
  </si>
  <si>
    <t>GVW9959K**</t>
  </si>
  <si>
    <t>MEF</t>
  </si>
  <si>
    <t>25% Improvement</t>
  </si>
  <si>
    <t>50% Improvement</t>
  </si>
  <si>
    <t>45% Improvement</t>
  </si>
  <si>
    <t>(2000$)</t>
  </si>
  <si>
    <t>3.2 cu. ft. Super Capacity Plus Top Loader with 15 Cycles and Options (White-on-White)</t>
  </si>
  <si>
    <t>3.2 cu. ft. Top Loading Washer with 28 Cycles and Options (White-on-White)</t>
  </si>
  <si>
    <t>Capacity</t>
  </si>
  <si>
    <t>Sears No.</t>
  </si>
  <si>
    <t xml:space="preserve">The US Department of Energy has revised its efficiency standards for clothes washers. The revised standards will be 1.04 MEF effective January 2004 and 1.26 effective January 2007.  Energy Star standards will be 1.26 effective 1/1/2001 and 1.42 effective January1, 2004 </t>
  </si>
  <si>
    <t>50% Improvement - Single Step</t>
  </si>
  <si>
    <t>5th Plan Draft 092802</t>
  </si>
  <si>
    <t>R:\TE\New Plan\Residential Resource Assessment\MC_AND_LOADSHAPE.XLS</t>
  </si>
  <si>
    <t>Annual Waste Water Treatment Use (Gallons/Machine/yr)</t>
  </si>
  <si>
    <t>Annual Waste Water Treatment Electricity Use (kWh/Machine)</t>
  </si>
  <si>
    <t>Baseline MEF - 2004 Fed. Standard</t>
  </si>
  <si>
    <t>Baseline MEF - 2007 Fed. Standard (25% Improvement)</t>
  </si>
  <si>
    <t>PNW Research (THELMA) found that the average cycles/yr = 350</t>
  </si>
  <si>
    <t>Clothes Washer Retail Prices</t>
  </si>
  <si>
    <t>Value of Annual DHW Gas Savings @ $0.30/Therm</t>
  </si>
  <si>
    <t>Value of Annual Dryer Gas Savings @ $0.30/Therm</t>
  </si>
  <si>
    <t>Fuel Mix Weighted Savings</t>
  </si>
  <si>
    <t>ProCost Results, Version 1.70a: JPH 03/07/01, 04:24 PM 1/16/2003</t>
  </si>
  <si>
    <t>Levelized Cost (Mills/kWh)</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</si>
</sst>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_(&quot;$&quot;* #,##0.000_);_(&quot;$&quot;* \(#,##0.000\);_(&quot;$&quot;* &quot;-&quot;??_);_(@_)"/>
    <numFmt numFmtId="178" formatCode="_(* #,##0.0_);_(* \(#,##0.0\);_(* &quot;-&quot;??_);_(@_)"/>
    <numFmt numFmtId="179" formatCode="&quot;Yes&quot;;&quot;Yes&quot;;&quot;No&quot;"/>
    <numFmt numFmtId="180" formatCode="&quot;True&quot;;&quot;True&quot;;&quot;False&quot;"/>
    <numFmt numFmtId="181" formatCode="&quot;On&quot;;&quot;On&quot;;&quot;Off&quot;"/>
    <numFmt numFmtId="182" formatCode="_(&quot;$&quot;* #,##0.0_);_(&quot;$&quot;* \(#,##0.0\);_(&quot;$&quot;* &quot;-&quot;??_);_(@_)"/>
    <numFmt numFmtId="183" formatCode="#,###\ &quot;kWh&quot;"/>
    <numFmt numFmtId="184" formatCode="#,###\ &quot;cu.ft.&quot;"/>
    <numFmt numFmtId="185" formatCode="0.00000000"/>
    <numFmt numFmtId="186" formatCode="0.0000000"/>
    <numFmt numFmtId="187" formatCode="0.000000"/>
    <numFmt numFmtId="188" formatCode="0.00000"/>
    <numFmt numFmtId="189" formatCode="0.0000"/>
    <numFmt numFmtId="190" formatCode="#,###\ &quot;Therms&quot;"/>
    <numFmt numFmtId="191" formatCode="_(* #,##0.000_);_(* \(#,##0.000\);_(* &quot;-&quot;??_);_(@_)"/>
    <numFmt numFmtId="192" formatCode="_(* #,##0.0000_);_(* \(#,##0.0000\);_(* &quot;-&quot;??_);_(@_)"/>
    <numFmt numFmtId="193" formatCode="_(* #,##0.00000_);_(* \(#,##0.00000\);_(* &quot;-&quot;??_);_(@_)"/>
    <numFmt numFmtId="194" formatCode="_(* #,##0.0_);_(* \(#,##0.0\);_(* &quot;-&quot;?_);_(@_)"/>
    <numFmt numFmtId="195" formatCode="#,###.0\ &quot;Therms&quot;"/>
    <numFmt numFmtId="196" formatCode="#,###.00\ &quot;Therms&quot;"/>
  </numFmts>
  <fonts count="31">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6"/>
      <name val="Tahoma"/>
      <family val="0"/>
    </font>
    <font>
      <b/>
      <sz val="10"/>
      <name val="Times New Roman"/>
      <family val="1"/>
    </font>
    <font>
      <b/>
      <sz val="9"/>
      <name val="Times New Roman"/>
      <family val="1"/>
    </font>
    <font>
      <sz val="10"/>
      <name val="Times New Roman"/>
      <family val="1"/>
    </font>
    <font>
      <sz val="9"/>
      <name val="Times New Roman"/>
      <family val="1"/>
    </font>
    <font>
      <b/>
      <sz val="6"/>
      <name val="Tahoma"/>
      <family val="0"/>
    </font>
    <font>
      <sz val="10"/>
      <name val="MS Sans Serif"/>
      <family val="0"/>
    </font>
    <font>
      <b/>
      <sz val="10"/>
      <name val="MS Sans Serif"/>
      <family val="2"/>
    </font>
  </fonts>
  <fills count="22">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15"/>
        <bgColor indexed="64"/>
      </patternFill>
    </fill>
    <fill>
      <patternFill patternType="solid">
        <fgColor indexed="11"/>
        <bgColor indexed="64"/>
      </patternFill>
    </fill>
    <fill>
      <patternFill patternType="solid">
        <fgColor indexed="51"/>
        <bgColor indexed="64"/>
      </patternFill>
    </fill>
    <fill>
      <patternFill patternType="solid">
        <fgColor indexed="14"/>
        <bgColor indexed="64"/>
      </patternFill>
    </fill>
    <fill>
      <patternFill patternType="solid">
        <fgColor indexed="12"/>
        <bgColor indexed="64"/>
      </patternFill>
    </fill>
  </fills>
  <borders count="62">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medium"/>
      <bottom>
        <color indexed="63"/>
      </botto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
      <left>
        <color indexed="63"/>
      </left>
      <right style="medium"/>
      <top>
        <color indexed="63"/>
      </top>
      <bottom style="medium"/>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color indexed="63"/>
      </left>
      <right style="thin"/>
      <top>
        <color indexed="63"/>
      </top>
      <bottom style="medium"/>
    </border>
    <border>
      <left style="medium"/>
      <right>
        <color indexed="63"/>
      </right>
      <top>
        <color indexed="63"/>
      </top>
      <bottom style="thin"/>
    </border>
    <border>
      <left style="medium"/>
      <right style="thin"/>
      <top style="medium"/>
      <bottom>
        <color indexed="63"/>
      </bottom>
    </border>
    <border>
      <left style="thin"/>
      <right>
        <color indexed="63"/>
      </right>
      <top style="thin"/>
      <bottom style="medium"/>
    </border>
    <border>
      <left style="medium"/>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9" fillId="0" borderId="0">
      <alignment/>
      <protection/>
    </xf>
    <xf numFmtId="0" fontId="29" fillId="0" borderId="0">
      <alignment/>
      <protection/>
    </xf>
    <xf numFmtId="9" fontId="0" fillId="0" borderId="0" applyFont="0" applyFill="0" applyBorder="0" applyAlignment="0" applyProtection="0"/>
  </cellStyleXfs>
  <cellXfs count="425">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169" fontId="0" fillId="0" borderId="0" xfId="15" applyNumberFormat="1" applyFont="1" applyAlignment="1">
      <alignment horizontal="right"/>
    </xf>
    <xf numFmtId="168" fontId="0" fillId="0" borderId="0" xfId="17" applyNumberFormat="1" applyAlignment="1">
      <alignment/>
    </xf>
    <xf numFmtId="44" fontId="0" fillId="0" borderId="0" xfId="17" applyNumberFormat="1" applyAlignment="1">
      <alignment/>
    </xf>
    <xf numFmtId="0" fontId="0" fillId="0" borderId="0" xfId="0" applyFont="1" applyAlignment="1">
      <alignment horizontal="right"/>
    </xf>
    <xf numFmtId="44" fontId="0" fillId="0" borderId="0" xfId="17" applyFont="1" applyAlignment="1">
      <alignment horizontal="center"/>
    </xf>
    <xf numFmtId="44" fontId="0" fillId="0" borderId="0" xfId="17" applyAlignment="1">
      <alignment/>
    </xf>
    <xf numFmtId="0" fontId="0" fillId="0" borderId="0" xfId="0" applyAlignment="1">
      <alignment horizontal="right"/>
    </xf>
    <xf numFmtId="0" fontId="18" fillId="11" borderId="19" xfId="0" applyFont="1" applyFill="1" applyBorder="1" applyAlignment="1">
      <alignment horizontal="center" wrapText="1"/>
    </xf>
    <xf numFmtId="169" fontId="20" fillId="0" borderId="18" xfId="15" applyNumberFormat="1" applyFont="1" applyBorder="1" applyAlignment="1">
      <alignment horizontal="center" vertical="top" wrapText="1"/>
    </xf>
    <xf numFmtId="0" fontId="20" fillId="0" borderId="3" xfId="0" applyFont="1" applyBorder="1" applyAlignment="1">
      <alignment wrapText="1"/>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0" fontId="17" fillId="0" borderId="0" xfId="0" applyFont="1" applyAlignment="1">
      <alignment/>
    </xf>
    <xf numFmtId="0" fontId="24" fillId="11" borderId="20" xfId="0" applyFont="1" applyFill="1" applyBorder="1" applyAlignment="1">
      <alignment/>
    </xf>
    <xf numFmtId="0" fontId="24" fillId="11" borderId="21" xfId="0" applyFont="1" applyFill="1" applyBorder="1" applyAlignment="1">
      <alignment wrapText="1"/>
    </xf>
    <xf numFmtId="0" fontId="25" fillId="11" borderId="22" xfId="0" applyFont="1" applyFill="1" applyBorder="1" applyAlignment="1">
      <alignment horizontal="center" wrapText="1"/>
    </xf>
    <xf numFmtId="0" fontId="25" fillId="11" borderId="21" xfId="0" applyFont="1" applyFill="1" applyBorder="1" applyAlignment="1">
      <alignment horizontal="center" wrapText="1"/>
    </xf>
    <xf numFmtId="0" fontId="25" fillId="11" borderId="23" xfId="0" applyFont="1" applyFill="1" applyBorder="1" applyAlignment="1">
      <alignment horizontal="center" wrapText="1"/>
    </xf>
    <xf numFmtId="0" fontId="26" fillId="0" borderId="24" xfId="0" applyFont="1" applyBorder="1" applyAlignment="1">
      <alignment/>
    </xf>
    <xf numFmtId="0" fontId="26" fillId="0" borderId="0" xfId="0" applyFont="1" applyAlignment="1">
      <alignment/>
    </xf>
    <xf numFmtId="169" fontId="26" fillId="0" borderId="0" xfId="0" applyNumberFormat="1" applyFont="1" applyBorder="1" applyAlignment="1">
      <alignment/>
    </xf>
    <xf numFmtId="170" fontId="27" fillId="0" borderId="0" xfId="0" applyNumberFormat="1" applyFont="1" applyFill="1" applyBorder="1" applyAlignment="1">
      <alignment horizontal="center"/>
    </xf>
    <xf numFmtId="0" fontId="26" fillId="0" borderId="0" xfId="0" applyFont="1" applyAlignment="1" quotePrefix="1">
      <alignment horizontal="left"/>
    </xf>
    <xf numFmtId="0" fontId="26" fillId="0" borderId="0" xfId="0" applyFont="1" applyBorder="1" applyAlignment="1">
      <alignment/>
    </xf>
    <xf numFmtId="1" fontId="26" fillId="0" borderId="0" xfId="0" applyNumberFormat="1" applyFont="1" applyBorder="1" applyAlignment="1">
      <alignment/>
    </xf>
    <xf numFmtId="172" fontId="25" fillId="0" borderId="0" xfId="0" applyNumberFormat="1" applyFont="1" applyAlignment="1">
      <alignment/>
    </xf>
    <xf numFmtId="0" fontId="25" fillId="0" borderId="0" xfId="0" applyFont="1" applyAlignment="1">
      <alignment/>
    </xf>
    <xf numFmtId="0" fontId="0" fillId="0" borderId="3" xfId="0" applyBorder="1" applyAlignment="1">
      <alignment/>
    </xf>
    <xf numFmtId="0" fontId="27" fillId="11" borderId="3" xfId="0" applyNumberFormat="1" applyFont="1" applyFill="1" applyBorder="1" applyAlignment="1">
      <alignment horizontal="center"/>
    </xf>
    <xf numFmtId="174" fontId="27" fillId="11" borderId="3" xfId="0" applyNumberFormat="1" applyFont="1" applyFill="1" applyBorder="1" applyAlignment="1">
      <alignment horizontal="right"/>
    </xf>
    <xf numFmtId="174" fontId="27" fillId="0" borderId="3" xfId="0" applyNumberFormat="1" applyFont="1" applyBorder="1" applyAlignment="1">
      <alignment horizontal="right"/>
    </xf>
    <xf numFmtId="170" fontId="27" fillId="0" borderId="3" xfId="0" applyNumberFormat="1" applyFont="1" applyFill="1" applyBorder="1" applyAlignment="1">
      <alignment horizontal="center"/>
    </xf>
    <xf numFmtId="2" fontId="27" fillId="0" borderId="7" xfId="0" applyNumberFormat="1" applyFont="1" applyFill="1" applyBorder="1" applyAlignment="1">
      <alignment horizontal="center"/>
    </xf>
    <xf numFmtId="169" fontId="27" fillId="0" borderId="3" xfId="15" applyNumberFormat="1" applyFont="1" applyBorder="1" applyAlignment="1">
      <alignment horizontal="center"/>
    </xf>
    <xf numFmtId="2" fontId="27" fillId="0" borderId="3" xfId="0" applyNumberFormat="1" applyFont="1" applyFill="1" applyBorder="1" applyAlignment="1">
      <alignment horizontal="center"/>
    </xf>
    <xf numFmtId="0" fontId="25" fillId="0" borderId="0" xfId="0" applyFont="1" applyAlignment="1">
      <alignment horizontal="left"/>
    </xf>
    <xf numFmtId="0" fontId="24" fillId="0" borderId="0" xfId="0" applyFont="1" applyAlignment="1">
      <alignment horizontal="center"/>
    </xf>
    <xf numFmtId="171" fontId="25" fillId="12" borderId="12" xfId="0" applyNumberFormat="1" applyFont="1" applyFill="1" applyBorder="1" applyAlignment="1">
      <alignment horizontal="centerContinuous"/>
    </xf>
    <xf numFmtId="171" fontId="25" fillId="12" borderId="10" xfId="0" applyNumberFormat="1" applyFont="1" applyFill="1" applyBorder="1" applyAlignment="1">
      <alignment horizontal="centerContinuous"/>
    </xf>
    <xf numFmtId="169" fontId="26" fillId="0" borderId="20" xfId="15" applyNumberFormat="1" applyFont="1" applyBorder="1" applyAlignment="1">
      <alignment/>
    </xf>
    <xf numFmtId="0" fontId="26" fillId="0" borderId="21" xfId="0" applyFont="1" applyBorder="1" applyAlignment="1">
      <alignment/>
    </xf>
    <xf numFmtId="0" fontId="0" fillId="0" borderId="21" xfId="0" applyBorder="1" applyAlignment="1">
      <alignment/>
    </xf>
    <xf numFmtId="0" fontId="0" fillId="0" borderId="23" xfId="0" applyBorder="1" applyAlignment="1">
      <alignment/>
    </xf>
    <xf numFmtId="165" fontId="26" fillId="0" borderId="25" xfId="0" applyNumberFormat="1" applyFont="1" applyBorder="1" applyAlignment="1">
      <alignment/>
    </xf>
    <xf numFmtId="0" fontId="26" fillId="0" borderId="3" xfId="0" applyFont="1" applyBorder="1" applyAlignment="1">
      <alignment/>
    </xf>
    <xf numFmtId="0" fontId="26" fillId="0" borderId="26" xfId="0" applyFont="1" applyBorder="1" applyAlignment="1">
      <alignment/>
    </xf>
    <xf numFmtId="1" fontId="26" fillId="0" borderId="25" xfId="0" applyNumberFormat="1" applyFont="1" applyBorder="1" applyAlignment="1">
      <alignment/>
    </xf>
    <xf numFmtId="9" fontId="26" fillId="0" borderId="3" xfId="25" applyFont="1" applyBorder="1" applyAlignment="1">
      <alignment/>
    </xf>
    <xf numFmtId="44" fontId="26" fillId="0" borderId="3" xfId="17" applyFont="1" applyBorder="1" applyAlignment="1">
      <alignment/>
    </xf>
    <xf numFmtId="44" fontId="26" fillId="0" borderId="26" xfId="17" applyFont="1" applyBorder="1" applyAlignment="1">
      <alignment/>
    </xf>
    <xf numFmtId="44" fontId="26" fillId="0" borderId="25" xfId="17" applyFont="1" applyBorder="1" applyAlignment="1">
      <alignment/>
    </xf>
    <xf numFmtId="44" fontId="26" fillId="0" borderId="27" xfId="17" applyFont="1" applyBorder="1" applyAlignment="1">
      <alignment/>
    </xf>
    <xf numFmtId="9" fontId="26" fillId="0" borderId="24" xfId="25" applyFont="1" applyBorder="1" applyAlignment="1">
      <alignment/>
    </xf>
    <xf numFmtId="44" fontId="26" fillId="0" borderId="24" xfId="17" applyFont="1" applyBorder="1" applyAlignment="1">
      <alignment/>
    </xf>
    <xf numFmtId="44" fontId="26" fillId="0" borderId="28" xfId="17" applyFont="1" applyBorder="1" applyAlignment="1">
      <alignment/>
    </xf>
    <xf numFmtId="44" fontId="26" fillId="0" borderId="0" xfId="17" applyFont="1" applyBorder="1" applyAlignment="1">
      <alignment/>
    </xf>
    <xf numFmtId="9" fontId="26" fillId="0" borderId="0" xfId="25" applyFont="1" applyBorder="1" applyAlignment="1">
      <alignment/>
    </xf>
    <xf numFmtId="0" fontId="26" fillId="13" borderId="20" xfId="0" applyFont="1" applyFill="1" applyBorder="1" applyAlignment="1">
      <alignment/>
    </xf>
    <xf numFmtId="0" fontId="0" fillId="0" borderId="25" xfId="0" applyBorder="1" applyAlignment="1">
      <alignment/>
    </xf>
    <xf numFmtId="0" fontId="0" fillId="0" borderId="3" xfId="0" applyBorder="1" applyAlignment="1">
      <alignment wrapText="1"/>
    </xf>
    <xf numFmtId="0" fontId="0" fillId="0" borderId="26" xfId="0" applyBorder="1" applyAlignment="1">
      <alignment wrapText="1"/>
    </xf>
    <xf numFmtId="169" fontId="0" fillId="0" borderId="24" xfId="0" applyNumberFormat="1" applyBorder="1" applyAlignment="1">
      <alignment/>
    </xf>
    <xf numFmtId="1" fontId="0" fillId="0" borderId="28" xfId="0" applyNumberFormat="1" applyBorder="1" applyAlignment="1">
      <alignment/>
    </xf>
    <xf numFmtId="0" fontId="26" fillId="0" borderId="23" xfId="0" applyFont="1" applyBorder="1" applyAlignment="1">
      <alignment/>
    </xf>
    <xf numFmtId="0" fontId="0" fillId="0" borderId="29" xfId="0" applyBorder="1" applyAlignment="1">
      <alignment/>
    </xf>
    <xf numFmtId="0" fontId="26" fillId="0" borderId="3" xfId="0" applyFont="1" applyBorder="1" applyAlignment="1">
      <alignment horizontal="center"/>
    </xf>
    <xf numFmtId="0" fontId="26" fillId="0" borderId="26" xfId="0" applyFont="1" applyBorder="1" applyAlignment="1">
      <alignment horizontal="center"/>
    </xf>
    <xf numFmtId="0" fontId="26" fillId="0" borderId="27" xfId="0" applyFont="1" applyBorder="1" applyAlignment="1">
      <alignment/>
    </xf>
    <xf numFmtId="44" fontId="26" fillId="0" borderId="24" xfId="0" applyNumberFormat="1" applyFont="1" applyBorder="1" applyAlignment="1">
      <alignment/>
    </xf>
    <xf numFmtId="44" fontId="26" fillId="0" borderId="28" xfId="0" applyNumberFormat="1" applyFont="1" applyBorder="1" applyAlignment="1">
      <alignment/>
    </xf>
    <xf numFmtId="44" fontId="26" fillId="0" borderId="0" xfId="0" applyNumberFormat="1" applyFont="1" applyBorder="1" applyAlignment="1">
      <alignment/>
    </xf>
    <xf numFmtId="1" fontId="0" fillId="0" borderId="26" xfId="0" applyNumberFormat="1" applyBorder="1" applyAlignment="1">
      <alignment/>
    </xf>
    <xf numFmtId="1" fontId="0" fillId="0" borderId="0" xfId="0" applyNumberFormat="1" applyAlignment="1">
      <alignment/>
    </xf>
    <xf numFmtId="0" fontId="0" fillId="0" borderId="0" xfId="0" applyAlignment="1">
      <alignment wrapText="1"/>
    </xf>
    <xf numFmtId="44" fontId="0" fillId="0" borderId="0" xfId="0" applyNumberFormat="1" applyAlignment="1">
      <alignment/>
    </xf>
    <xf numFmtId="0" fontId="0" fillId="0" borderId="0" xfId="0" applyAlignment="1">
      <alignment/>
    </xf>
    <xf numFmtId="9" fontId="0" fillId="0" borderId="0" xfId="25" applyFont="1" applyAlignment="1">
      <alignment/>
    </xf>
    <xf numFmtId="169" fontId="0" fillId="0" borderId="0" xfId="15" applyNumberFormat="1" applyFont="1" applyAlignment="1">
      <alignment/>
    </xf>
    <xf numFmtId="168" fontId="0" fillId="0" borderId="0" xfId="17" applyNumberFormat="1" applyFont="1" applyAlignment="1">
      <alignment/>
    </xf>
    <xf numFmtId="2" fontId="0" fillId="0" borderId="0" xfId="0" applyNumberFormat="1" applyFont="1" applyAlignment="1">
      <alignment/>
    </xf>
    <xf numFmtId="0" fontId="25" fillId="14" borderId="3" xfId="0" applyFont="1" applyFill="1" applyBorder="1" applyAlignment="1">
      <alignment horizontal="center" wrapText="1"/>
    </xf>
    <xf numFmtId="173" fontId="25" fillId="14" borderId="3" xfId="0" applyNumberFormat="1" applyFont="1" applyFill="1" applyBorder="1" applyAlignment="1">
      <alignment wrapText="1"/>
    </xf>
    <xf numFmtId="169" fontId="27" fillId="11" borderId="3" xfId="15" applyNumberFormat="1" applyFont="1" applyFill="1" applyBorder="1" applyAlignment="1">
      <alignment/>
    </xf>
    <xf numFmtId="44" fontId="27" fillId="11" borderId="3" xfId="0" applyNumberFormat="1" applyFont="1" applyFill="1" applyBorder="1" applyAlignment="1">
      <alignment/>
    </xf>
    <xf numFmtId="169" fontId="27" fillId="0" borderId="3" xfId="15" applyNumberFormat="1" applyFont="1" applyBorder="1" applyAlignment="1">
      <alignment/>
    </xf>
    <xf numFmtId="44" fontId="27" fillId="0" borderId="3" xfId="17" applyFont="1" applyBorder="1" applyAlignment="1">
      <alignment/>
    </xf>
    <xf numFmtId="168" fontId="27" fillId="0" borderId="3" xfId="17" applyNumberFormat="1" applyFont="1" applyBorder="1" applyAlignment="1">
      <alignment/>
    </xf>
    <xf numFmtId="174" fontId="27" fillId="0" borderId="0" xfId="0" applyNumberFormat="1" applyFont="1" applyFill="1" applyBorder="1" applyAlignment="1">
      <alignment horizontal="right"/>
    </xf>
    <xf numFmtId="176" fontId="0" fillId="0" borderId="0" xfId="25" applyNumberFormat="1" applyAlignment="1">
      <alignment/>
    </xf>
    <xf numFmtId="43" fontId="27" fillId="0" borderId="0" xfId="15" applyNumberFormat="1" applyFont="1" applyFill="1" applyBorder="1" applyAlignment="1">
      <alignment horizontal="center"/>
    </xf>
    <xf numFmtId="0" fontId="30" fillId="0" borderId="0" xfId="24" applyFont="1">
      <alignment/>
      <protection/>
    </xf>
    <xf numFmtId="0" fontId="29" fillId="0" borderId="0" xfId="24">
      <alignment/>
      <protection/>
    </xf>
    <xf numFmtId="1" fontId="29" fillId="0" borderId="0" xfId="24" applyNumberFormat="1">
      <alignment/>
      <protection/>
    </xf>
    <xf numFmtId="2" fontId="29" fillId="0" borderId="0" xfId="24" applyNumberFormat="1">
      <alignment/>
      <protection/>
    </xf>
    <xf numFmtId="9" fontId="29" fillId="0" borderId="0" xfId="25" applyAlignment="1">
      <alignment/>
    </xf>
    <xf numFmtId="14" fontId="29" fillId="0" borderId="0" xfId="24" applyNumberFormat="1">
      <alignment/>
      <protection/>
    </xf>
    <xf numFmtId="169" fontId="27" fillId="0" borderId="3" xfId="15" applyNumberFormat="1" applyFont="1" applyFill="1" applyBorder="1" applyAlignment="1">
      <alignment horizontal="center"/>
    </xf>
    <xf numFmtId="0" fontId="0" fillId="0" borderId="3" xfId="0" applyFont="1" applyBorder="1" applyAlignment="1">
      <alignment/>
    </xf>
    <xf numFmtId="0" fontId="0" fillId="11" borderId="3" xfId="0" applyFont="1" applyFill="1" applyBorder="1" applyAlignment="1">
      <alignment/>
    </xf>
    <xf numFmtId="2" fontId="27" fillId="3" borderId="7" xfId="0" applyNumberFormat="1" applyFont="1" applyFill="1" applyBorder="1" applyAlignment="1">
      <alignment horizontal="center"/>
    </xf>
    <xf numFmtId="2" fontId="27" fillId="3" borderId="3" xfId="0" applyNumberFormat="1" applyFont="1" applyFill="1" applyBorder="1" applyAlignment="1">
      <alignment horizontal="center"/>
    </xf>
    <xf numFmtId="169" fontId="27" fillId="3" borderId="3" xfId="15" applyNumberFormat="1" applyFont="1" applyFill="1" applyBorder="1" applyAlignment="1">
      <alignment horizontal="center"/>
    </xf>
    <xf numFmtId="0" fontId="0" fillId="15" borderId="3" xfId="0" applyFill="1" applyBorder="1" applyAlignment="1">
      <alignment/>
    </xf>
    <xf numFmtId="0" fontId="0" fillId="0" borderId="0" xfId="0" applyFill="1" applyAlignment="1">
      <alignment/>
    </xf>
    <xf numFmtId="8" fontId="0" fillId="0" borderId="0" xfId="0" applyNumberFormat="1" applyAlignment="1">
      <alignment/>
    </xf>
    <xf numFmtId="0" fontId="29" fillId="3" borderId="3" xfId="23" applyFill="1" applyBorder="1" applyAlignment="1">
      <alignment wrapText="1"/>
      <protection/>
    </xf>
    <xf numFmtId="0" fontId="29" fillId="3" borderId="3" xfId="23" applyFont="1" applyFill="1" applyBorder="1" applyAlignment="1">
      <alignment wrapText="1"/>
      <protection/>
    </xf>
    <xf numFmtId="0" fontId="0" fillId="16" borderId="30" xfId="0" applyFont="1" applyFill="1" applyBorder="1" applyAlignment="1">
      <alignment horizontal="left" wrapText="1"/>
    </xf>
    <xf numFmtId="2" fontId="0" fillId="16" borderId="30" xfId="0" applyNumberFormat="1" applyFont="1" applyFill="1" applyBorder="1" applyAlignment="1">
      <alignment horizontal="right" wrapText="1"/>
    </xf>
    <xf numFmtId="169" fontId="29" fillId="0" borderId="3" xfId="15" applyNumberFormat="1" applyBorder="1" applyAlignment="1">
      <alignment/>
    </xf>
    <xf numFmtId="2" fontId="0" fillId="16" borderId="3" xfId="0" applyNumberFormat="1" applyFont="1" applyFill="1" applyBorder="1" applyAlignment="1">
      <alignment horizontal="right" wrapText="1"/>
    </xf>
    <xf numFmtId="43" fontId="29" fillId="0" borderId="3" xfId="15" applyNumberFormat="1" applyBorder="1" applyAlignment="1">
      <alignment/>
    </xf>
    <xf numFmtId="9" fontId="0" fillId="0" borderId="3" xfId="25" applyFont="1" applyBorder="1" applyAlignment="1">
      <alignment/>
    </xf>
    <xf numFmtId="44" fontId="29" fillId="0" borderId="3" xfId="17" applyFill="1" applyBorder="1" applyAlignment="1">
      <alignment/>
    </xf>
    <xf numFmtId="2" fontId="29" fillId="0" borderId="30" xfId="23" applyNumberFormat="1" applyBorder="1">
      <alignment/>
      <protection/>
    </xf>
    <xf numFmtId="2" fontId="29" fillId="0" borderId="3" xfId="23" applyNumberFormat="1" applyBorder="1">
      <alignment/>
      <protection/>
    </xf>
    <xf numFmtId="2" fontId="0" fillId="16" borderId="31" xfId="0" applyNumberFormat="1" applyFont="1" applyFill="1" applyBorder="1" applyAlignment="1">
      <alignment horizontal="right" wrapText="1"/>
    </xf>
    <xf numFmtId="2" fontId="0" fillId="16" borderId="30" xfId="0" applyNumberFormat="1" applyFont="1" applyFill="1" applyBorder="1" applyAlignment="1">
      <alignment horizontal="right" vertical="top" wrapText="1"/>
    </xf>
    <xf numFmtId="178" fontId="29" fillId="3" borderId="3" xfId="23" applyNumberFormat="1" applyFont="1" applyFill="1" applyBorder="1" applyAlignment="1">
      <alignment wrapText="1"/>
      <protection/>
    </xf>
    <xf numFmtId="178" fontId="29" fillId="0" borderId="3" xfId="15" applyNumberFormat="1" applyBorder="1" applyAlignment="1">
      <alignment/>
    </xf>
    <xf numFmtId="178" fontId="0" fillId="0" borderId="0" xfId="0" applyNumberFormat="1" applyAlignment="1">
      <alignment/>
    </xf>
    <xf numFmtId="2" fontId="29" fillId="0" borderId="31" xfId="23" applyNumberFormat="1" applyBorder="1">
      <alignment/>
      <protection/>
    </xf>
    <xf numFmtId="2" fontId="0" fillId="16" borderId="32" xfId="0" applyNumberFormat="1" applyFont="1" applyFill="1" applyBorder="1" applyAlignment="1">
      <alignment horizontal="right" wrapText="1"/>
    </xf>
    <xf numFmtId="165" fontId="0" fillId="0" borderId="3" xfId="0" applyNumberFormat="1" applyBorder="1" applyAlignment="1">
      <alignment/>
    </xf>
    <xf numFmtId="1" fontId="0" fillId="0" borderId="3" xfId="0" applyNumberFormat="1" applyBorder="1" applyAlignment="1">
      <alignment/>
    </xf>
    <xf numFmtId="0" fontId="30" fillId="0" borderId="3" xfId="24" applyFont="1" applyBorder="1" applyAlignment="1">
      <alignment wrapText="1"/>
      <protection/>
    </xf>
    <xf numFmtId="9" fontId="30" fillId="0" borderId="3" xfId="25" applyFont="1" applyBorder="1" applyAlignment="1">
      <alignment wrapText="1"/>
    </xf>
    <xf numFmtId="9" fontId="0" fillId="0" borderId="0" xfId="25" applyAlignment="1">
      <alignment/>
    </xf>
    <xf numFmtId="2" fontId="0" fillId="0" borderId="3" xfId="0" applyNumberFormat="1" applyBorder="1" applyAlignment="1">
      <alignment/>
    </xf>
    <xf numFmtId="9" fontId="0" fillId="0" borderId="3" xfId="25" applyBorder="1" applyAlignment="1">
      <alignment/>
    </xf>
    <xf numFmtId="14" fontId="0" fillId="0" borderId="3" xfId="0" applyNumberFormat="1" applyBorder="1" applyAlignment="1">
      <alignment/>
    </xf>
    <xf numFmtId="0" fontId="30" fillId="0" borderId="3" xfId="0" applyFont="1" applyBorder="1" applyAlignment="1">
      <alignment wrapText="1"/>
    </xf>
    <xf numFmtId="1" fontId="30" fillId="0" borderId="3" xfId="0" applyNumberFormat="1" applyFont="1" applyBorder="1" applyAlignment="1">
      <alignment wrapText="1"/>
    </xf>
    <xf numFmtId="2" fontId="30" fillId="0" borderId="3" xfId="0" applyNumberFormat="1" applyFont="1" applyBorder="1" applyAlignment="1">
      <alignment wrapText="1"/>
    </xf>
    <xf numFmtId="0" fontId="30" fillId="0" borderId="4" xfId="0" applyFont="1" applyBorder="1" applyAlignment="1">
      <alignment/>
    </xf>
    <xf numFmtId="0" fontId="0" fillId="0" borderId="4" xfId="0" applyBorder="1" applyAlignment="1">
      <alignment/>
    </xf>
    <xf numFmtId="1" fontId="0" fillId="0" borderId="4" xfId="0" applyNumberFormat="1" applyBorder="1" applyAlignment="1">
      <alignment/>
    </xf>
    <xf numFmtId="2" fontId="0" fillId="0" borderId="4" xfId="0" applyNumberFormat="1" applyBorder="1" applyAlignment="1">
      <alignment/>
    </xf>
    <xf numFmtId="9" fontId="0" fillId="0" borderId="4" xfId="25" applyBorder="1" applyAlignment="1">
      <alignment/>
    </xf>
    <xf numFmtId="44" fontId="29" fillId="0" borderId="3" xfId="17" applyBorder="1" applyAlignment="1">
      <alignment/>
    </xf>
    <xf numFmtId="0" fontId="0" fillId="12" borderId="3" xfId="0" applyFill="1" applyBorder="1" applyAlignment="1">
      <alignment/>
    </xf>
    <xf numFmtId="2" fontId="0" fillId="12" borderId="3" xfId="0" applyNumberFormat="1" applyFill="1" applyBorder="1" applyAlignment="1">
      <alignment/>
    </xf>
    <xf numFmtId="1" fontId="0" fillId="12" borderId="3" xfId="0" applyNumberFormat="1" applyFill="1" applyBorder="1" applyAlignment="1">
      <alignment/>
    </xf>
    <xf numFmtId="9" fontId="0" fillId="12" borderId="3" xfId="25" applyFill="1" applyBorder="1" applyAlignment="1">
      <alignment/>
    </xf>
    <xf numFmtId="14" fontId="0" fillId="12" borderId="3" xfId="0" applyNumberFormat="1" applyFill="1" applyBorder="1" applyAlignment="1">
      <alignment/>
    </xf>
    <xf numFmtId="168" fontId="29" fillId="12" borderId="3" xfId="17" applyNumberFormat="1" applyFill="1" applyBorder="1" applyAlignment="1">
      <alignment/>
    </xf>
    <xf numFmtId="0" fontId="30" fillId="11" borderId="3" xfId="0" applyFont="1" applyFill="1" applyBorder="1" applyAlignment="1">
      <alignment wrapText="1"/>
    </xf>
    <xf numFmtId="1" fontId="30" fillId="11" borderId="3" xfId="0" applyNumberFormat="1" applyFont="1" applyFill="1" applyBorder="1" applyAlignment="1">
      <alignment wrapText="1"/>
    </xf>
    <xf numFmtId="2" fontId="30" fillId="11" borderId="3" xfId="0" applyNumberFormat="1" applyFont="1" applyFill="1" applyBorder="1" applyAlignment="1">
      <alignment wrapText="1"/>
    </xf>
    <xf numFmtId="168" fontId="30" fillId="11" borderId="3" xfId="17" applyNumberFormat="1" applyFont="1" applyFill="1" applyBorder="1" applyAlignment="1">
      <alignment wrapText="1"/>
    </xf>
    <xf numFmtId="0" fontId="29" fillId="0" borderId="0" xfId="24" applyFont="1">
      <alignment/>
      <protection/>
    </xf>
    <xf numFmtId="169" fontId="30" fillId="11" borderId="3" xfId="15" applyNumberFormat="1" applyFont="1" applyFill="1" applyBorder="1" applyAlignment="1">
      <alignment/>
    </xf>
    <xf numFmtId="169" fontId="29" fillId="12" borderId="3" xfId="15" applyNumberFormat="1" applyFill="1" applyBorder="1" applyAlignment="1">
      <alignment/>
    </xf>
    <xf numFmtId="0" fontId="17" fillId="13" borderId="13" xfId="0" applyFont="1" applyFill="1" applyBorder="1" applyAlignment="1">
      <alignment horizontal="right"/>
    </xf>
    <xf numFmtId="0" fontId="25" fillId="14" borderId="13" xfId="0" applyFont="1" applyFill="1" applyBorder="1" applyAlignment="1">
      <alignment horizontal="center"/>
    </xf>
    <xf numFmtId="184" fontId="17" fillId="13" borderId="13" xfId="15" applyNumberFormat="1" applyFont="1" applyFill="1" applyBorder="1" applyAlignment="1" applyProtection="1">
      <alignment horizontal="center"/>
      <protection hidden="1"/>
    </xf>
    <xf numFmtId="0" fontId="25" fillId="0" borderId="0" xfId="0" applyFont="1" applyFill="1" applyBorder="1" applyAlignment="1">
      <alignment horizontal="center"/>
    </xf>
    <xf numFmtId="0" fontId="25" fillId="14" borderId="13" xfId="0" applyFont="1" applyFill="1" applyBorder="1" applyAlignment="1">
      <alignment horizontal="right"/>
    </xf>
    <xf numFmtId="165" fontId="27" fillId="3" borderId="3" xfId="0" applyNumberFormat="1" applyFont="1" applyFill="1" applyBorder="1" applyAlignment="1">
      <alignment horizontal="center"/>
    </xf>
    <xf numFmtId="165" fontId="27" fillId="0" borderId="3" xfId="0" applyNumberFormat="1" applyFont="1" applyFill="1" applyBorder="1" applyAlignment="1">
      <alignment horizontal="center"/>
    </xf>
    <xf numFmtId="0" fontId="0" fillId="17" borderId="1" xfId="0" applyFill="1" applyBorder="1" applyAlignment="1">
      <alignment/>
    </xf>
    <xf numFmtId="2" fontId="27" fillId="11" borderId="18" xfId="0" applyNumberFormat="1" applyFont="1" applyFill="1" applyBorder="1" applyAlignment="1">
      <alignment horizontal="center"/>
    </xf>
    <xf numFmtId="165" fontId="27" fillId="11" borderId="9" xfId="0" applyNumberFormat="1" applyFont="1" applyFill="1" applyBorder="1" applyAlignment="1">
      <alignment horizontal="center"/>
    </xf>
    <xf numFmtId="2" fontId="27" fillId="11" borderId="9" xfId="0" applyNumberFormat="1" applyFont="1" applyFill="1" applyBorder="1" applyAlignment="1">
      <alignment horizontal="center"/>
    </xf>
    <xf numFmtId="169" fontId="27" fillId="11" borderId="9" xfId="15" applyNumberFormat="1" applyFont="1" applyFill="1" applyBorder="1" applyAlignment="1">
      <alignment horizontal="center"/>
    </xf>
    <xf numFmtId="0" fontId="24" fillId="0" borderId="33" xfId="0" applyFont="1" applyBorder="1" applyAlignment="1">
      <alignment horizontal="center" wrapText="1"/>
    </xf>
    <xf numFmtId="0" fontId="25" fillId="0" borderId="21" xfId="0" applyFont="1" applyBorder="1" applyAlignment="1">
      <alignment horizontal="center" wrapText="1"/>
    </xf>
    <xf numFmtId="0" fontId="25" fillId="0" borderId="21" xfId="0" applyFont="1" applyBorder="1" applyAlignment="1">
      <alignment horizontal="center"/>
    </xf>
    <xf numFmtId="0" fontId="25" fillId="0" borderId="23" xfId="0" applyFont="1" applyBorder="1" applyAlignment="1">
      <alignment horizontal="center" wrapText="1"/>
    </xf>
    <xf numFmtId="0" fontId="25" fillId="0" borderId="34" xfId="0" applyFont="1" applyBorder="1" applyAlignment="1">
      <alignment horizontal="center"/>
    </xf>
    <xf numFmtId="0" fontId="25" fillId="0" borderId="24" xfId="0" applyFont="1" applyBorder="1" applyAlignment="1">
      <alignment horizontal="center"/>
    </xf>
    <xf numFmtId="0" fontId="25" fillId="0" borderId="28" xfId="0" applyFont="1" applyBorder="1" applyAlignment="1">
      <alignment horizontal="center"/>
    </xf>
    <xf numFmtId="171" fontId="25" fillId="12" borderId="11" xfId="0" applyNumberFormat="1" applyFont="1" applyFill="1" applyBorder="1" applyAlignment="1">
      <alignment horizontal="centerContinuous"/>
    </xf>
    <xf numFmtId="0" fontId="25" fillId="0" borderId="20" xfId="0" applyFont="1" applyBorder="1" applyAlignment="1">
      <alignment horizontal="center"/>
    </xf>
    <xf numFmtId="0" fontId="25" fillId="0" borderId="27" xfId="0" applyFont="1" applyBorder="1" applyAlignment="1">
      <alignment horizontal="center"/>
    </xf>
    <xf numFmtId="0" fontId="25" fillId="0" borderId="35" xfId="0" applyFont="1" applyBorder="1" applyAlignment="1">
      <alignment horizontal="center"/>
    </xf>
    <xf numFmtId="169" fontId="27" fillId="11" borderId="36" xfId="15" applyNumberFormat="1" applyFont="1" applyFill="1" applyBorder="1" applyAlignment="1">
      <alignment horizontal="center"/>
    </xf>
    <xf numFmtId="169" fontId="27" fillId="11" borderId="37" xfId="15" applyNumberFormat="1" applyFont="1" applyFill="1" applyBorder="1" applyAlignment="1">
      <alignment horizontal="center"/>
    </xf>
    <xf numFmtId="169" fontId="27" fillId="3" borderId="25" xfId="15" applyNumberFormat="1" applyFont="1" applyFill="1" applyBorder="1" applyAlignment="1">
      <alignment horizontal="center"/>
    </xf>
    <xf numFmtId="169" fontId="27" fillId="3" borderId="26" xfId="15" applyNumberFormat="1" applyFont="1" applyFill="1" applyBorder="1" applyAlignment="1">
      <alignment horizontal="center"/>
    </xf>
    <xf numFmtId="169" fontId="27" fillId="0" borderId="25" xfId="15" applyNumberFormat="1" applyFont="1" applyBorder="1" applyAlignment="1">
      <alignment horizontal="center"/>
    </xf>
    <xf numFmtId="169" fontId="27" fillId="0" borderId="26" xfId="15" applyNumberFormat="1" applyFont="1" applyBorder="1" applyAlignment="1">
      <alignment horizontal="center"/>
    </xf>
    <xf numFmtId="169" fontId="27" fillId="0" borderId="27" xfId="15" applyNumberFormat="1" applyFont="1" applyBorder="1" applyAlignment="1">
      <alignment horizontal="center"/>
    </xf>
    <xf numFmtId="169" fontId="27" fillId="0" borderId="24" xfId="15" applyNumberFormat="1" applyFont="1" applyBorder="1" applyAlignment="1">
      <alignment horizontal="center"/>
    </xf>
    <xf numFmtId="169" fontId="27" fillId="0" borderId="28" xfId="15" applyNumberFormat="1" applyFont="1" applyBorder="1" applyAlignment="1">
      <alignment horizontal="center"/>
    </xf>
    <xf numFmtId="169" fontId="27" fillId="0" borderId="25" xfId="15" applyNumberFormat="1" applyFont="1" applyFill="1" applyBorder="1" applyAlignment="1">
      <alignment horizontal="center"/>
    </xf>
    <xf numFmtId="169" fontId="27" fillId="0" borderId="26" xfId="15" applyNumberFormat="1" applyFont="1" applyFill="1" applyBorder="1" applyAlignment="1">
      <alignment horizontal="center"/>
    </xf>
    <xf numFmtId="0" fontId="25" fillId="0" borderId="23" xfId="0" applyFont="1" applyBorder="1" applyAlignment="1">
      <alignment horizontal="center"/>
    </xf>
    <xf numFmtId="165" fontId="27" fillId="11" borderId="36" xfId="0" applyNumberFormat="1" applyFont="1" applyFill="1" applyBorder="1" applyAlignment="1">
      <alignment horizontal="center"/>
    </xf>
    <xf numFmtId="2" fontId="27" fillId="11" borderId="37" xfId="0" applyNumberFormat="1" applyFont="1" applyFill="1" applyBorder="1" applyAlignment="1">
      <alignment horizontal="center"/>
    </xf>
    <xf numFmtId="165" fontId="27" fillId="3" borderId="25" xfId="0" applyNumberFormat="1" applyFont="1" applyFill="1" applyBorder="1" applyAlignment="1">
      <alignment horizontal="center"/>
    </xf>
    <xf numFmtId="2" fontId="27" fillId="3" borderId="26" xfId="0" applyNumberFormat="1" applyFont="1" applyFill="1" applyBorder="1" applyAlignment="1">
      <alignment horizontal="center"/>
    </xf>
    <xf numFmtId="165" fontId="27" fillId="0" borderId="25" xfId="0" applyNumberFormat="1" applyFont="1" applyFill="1" applyBorder="1" applyAlignment="1">
      <alignment horizontal="center"/>
    </xf>
    <xf numFmtId="2" fontId="27" fillId="0" borderId="26" xfId="0" applyNumberFormat="1" applyFont="1" applyFill="1" applyBorder="1" applyAlignment="1">
      <alignment horizontal="center"/>
    </xf>
    <xf numFmtId="165" fontId="27" fillId="0" borderId="27" xfId="0" applyNumberFormat="1" applyFont="1" applyFill="1" applyBorder="1" applyAlignment="1">
      <alignment horizontal="center"/>
    </xf>
    <xf numFmtId="165" fontId="27" fillId="0" borderId="24" xfId="0" applyNumberFormat="1" applyFont="1" applyFill="1" applyBorder="1" applyAlignment="1">
      <alignment horizontal="center"/>
    </xf>
    <xf numFmtId="2" fontId="27" fillId="0" borderId="24" xfId="0" applyNumberFormat="1" applyFont="1" applyFill="1" applyBorder="1" applyAlignment="1">
      <alignment horizontal="center"/>
    </xf>
    <xf numFmtId="2" fontId="27" fillId="0" borderId="28" xfId="0" applyNumberFormat="1" applyFont="1" applyFill="1" applyBorder="1" applyAlignment="1">
      <alignment horizontal="center"/>
    </xf>
    <xf numFmtId="0" fontId="25" fillId="0" borderId="38" xfId="0" applyFont="1" applyBorder="1" applyAlignment="1">
      <alignment horizontal="center"/>
    </xf>
    <xf numFmtId="0" fontId="17" fillId="0" borderId="38" xfId="0" applyFont="1" applyBorder="1" applyAlignment="1">
      <alignment horizontal="center"/>
    </xf>
    <xf numFmtId="0" fontId="27" fillId="11" borderId="37" xfId="0" applyNumberFormat="1" applyFont="1" applyFill="1" applyBorder="1" applyAlignment="1">
      <alignment horizontal="center"/>
    </xf>
    <xf numFmtId="2" fontId="27" fillId="0" borderId="39" xfId="0" applyNumberFormat="1" applyFont="1" applyFill="1" applyBorder="1" applyAlignment="1">
      <alignment horizontal="center"/>
    </xf>
    <xf numFmtId="173" fontId="27" fillId="11" borderId="40" xfId="0" applyNumberFormat="1" applyFont="1" applyFill="1" applyBorder="1" applyAlignment="1">
      <alignment/>
    </xf>
    <xf numFmtId="173" fontId="27" fillId="3" borderId="41" xfId="0" applyNumberFormat="1" applyFont="1" applyFill="1" applyBorder="1" applyAlignment="1">
      <alignment/>
    </xf>
    <xf numFmtId="173" fontId="27" fillId="0" borderId="41" xfId="0" applyNumberFormat="1" applyFont="1" applyFill="1" applyBorder="1" applyAlignment="1">
      <alignment/>
    </xf>
    <xf numFmtId="173" fontId="27" fillId="0" borderId="42" xfId="0" applyNumberFormat="1" applyFont="1" applyFill="1" applyBorder="1" applyAlignment="1">
      <alignment/>
    </xf>
    <xf numFmtId="173" fontId="27" fillId="3" borderId="43" xfId="0" applyNumberFormat="1" applyFont="1" applyFill="1" applyBorder="1" applyAlignment="1">
      <alignment/>
    </xf>
    <xf numFmtId="173" fontId="27" fillId="0" borderId="43" xfId="0" applyNumberFormat="1" applyFont="1" applyFill="1" applyBorder="1" applyAlignment="1">
      <alignment/>
    </xf>
    <xf numFmtId="173" fontId="27" fillId="0" borderId="44" xfId="0" applyNumberFormat="1" applyFont="1" applyFill="1" applyBorder="1" applyAlignment="1">
      <alignment/>
    </xf>
    <xf numFmtId="169" fontId="0" fillId="0" borderId="3" xfId="0" applyNumberFormat="1" applyBorder="1" applyAlignment="1">
      <alignment/>
    </xf>
    <xf numFmtId="173" fontId="27" fillId="0" borderId="25" xfId="0" applyNumberFormat="1" applyFont="1" applyFill="1" applyBorder="1" applyAlignment="1">
      <alignment/>
    </xf>
    <xf numFmtId="173" fontId="27" fillId="0" borderId="27" xfId="0" applyNumberFormat="1" applyFont="1" applyFill="1" applyBorder="1" applyAlignment="1">
      <alignment/>
    </xf>
    <xf numFmtId="0" fontId="0" fillId="0" borderId="24" xfId="0" applyBorder="1" applyAlignment="1">
      <alignment/>
    </xf>
    <xf numFmtId="0" fontId="26" fillId="0" borderId="45" xfId="0" applyFont="1" applyBorder="1" applyAlignment="1">
      <alignment/>
    </xf>
    <xf numFmtId="0" fontId="26" fillId="13" borderId="19" xfId="0" applyFont="1" applyFill="1" applyBorder="1" applyAlignment="1">
      <alignment wrapText="1"/>
    </xf>
    <xf numFmtId="9" fontId="17" fillId="0" borderId="3" xfId="25" applyFont="1" applyBorder="1" applyAlignment="1">
      <alignment/>
    </xf>
    <xf numFmtId="169" fontId="0" fillId="0" borderId="3" xfId="25" applyNumberFormat="1" applyBorder="1" applyAlignment="1">
      <alignment/>
    </xf>
    <xf numFmtId="0" fontId="26" fillId="13" borderId="21" xfId="0" applyFont="1" applyFill="1" applyBorder="1" applyAlignment="1">
      <alignment wrapText="1"/>
    </xf>
    <xf numFmtId="0" fontId="26" fillId="13" borderId="23" xfId="0" applyFont="1" applyFill="1" applyBorder="1" applyAlignment="1">
      <alignment wrapText="1"/>
    </xf>
    <xf numFmtId="9" fontId="17" fillId="0" borderId="26" xfId="0" applyNumberFormat="1" applyFont="1" applyBorder="1" applyAlignment="1">
      <alignment/>
    </xf>
    <xf numFmtId="169" fontId="0" fillId="0" borderId="26" xfId="0" applyNumberFormat="1" applyBorder="1" applyAlignment="1">
      <alignment/>
    </xf>
    <xf numFmtId="169" fontId="0" fillId="0" borderId="24" xfId="25" applyNumberFormat="1" applyBorder="1" applyAlignment="1">
      <alignment/>
    </xf>
    <xf numFmtId="169" fontId="0" fillId="0" borderId="28" xfId="0" applyNumberFormat="1" applyBorder="1" applyAlignment="1">
      <alignment/>
    </xf>
    <xf numFmtId="9" fontId="17" fillId="0" borderId="3" xfId="25" applyFont="1" applyBorder="1" applyAlignment="1">
      <alignment horizontal="center"/>
    </xf>
    <xf numFmtId="9" fontId="17" fillId="0" borderId="26" xfId="25" applyFont="1" applyBorder="1" applyAlignment="1">
      <alignment horizontal="center"/>
    </xf>
    <xf numFmtId="183" fontId="0" fillId="0" borderId="3" xfId="15" applyNumberFormat="1" applyFont="1" applyFill="1" applyBorder="1" applyAlignment="1" applyProtection="1">
      <alignment horizontal="center"/>
      <protection hidden="1"/>
    </xf>
    <xf numFmtId="190" fontId="0" fillId="0" borderId="5" xfId="15" applyNumberFormat="1" applyFont="1" applyFill="1" applyBorder="1" applyAlignment="1" applyProtection="1">
      <alignment horizontal="center"/>
      <protection hidden="1"/>
    </xf>
    <xf numFmtId="183" fontId="0" fillId="0" borderId="25" xfId="15" applyNumberFormat="1" applyFont="1" applyFill="1" applyBorder="1" applyAlignment="1" applyProtection="1">
      <alignment horizontal="center"/>
      <protection hidden="1"/>
    </xf>
    <xf numFmtId="190" fontId="0" fillId="0" borderId="26" xfId="15" applyNumberFormat="1" applyFont="1" applyFill="1" applyBorder="1" applyAlignment="1" applyProtection="1">
      <alignment horizontal="center"/>
      <protection hidden="1"/>
    </xf>
    <xf numFmtId="190" fontId="0" fillId="0" borderId="28" xfId="15" applyNumberFormat="1" applyFont="1" applyFill="1" applyBorder="1" applyAlignment="1" applyProtection="1">
      <alignment horizontal="center"/>
      <protection hidden="1"/>
    </xf>
    <xf numFmtId="183" fontId="0" fillId="0" borderId="41" xfId="15" applyNumberFormat="1" applyFont="1" applyFill="1" applyBorder="1" applyAlignment="1" applyProtection="1">
      <alignment horizontal="center"/>
      <protection hidden="1"/>
    </xf>
    <xf numFmtId="183" fontId="0" fillId="0" borderId="42" xfId="15" applyNumberFormat="1" applyFont="1" applyFill="1" applyBorder="1" applyAlignment="1" applyProtection="1">
      <alignment horizontal="center"/>
      <protection hidden="1"/>
    </xf>
    <xf numFmtId="190" fontId="0" fillId="0" borderId="41" xfId="15" applyNumberFormat="1" applyFont="1" applyFill="1" applyBorder="1" applyAlignment="1" applyProtection="1">
      <alignment horizontal="center"/>
      <protection hidden="1"/>
    </xf>
    <xf numFmtId="190" fontId="0" fillId="0" borderId="42" xfId="15" applyNumberFormat="1" applyFont="1" applyFill="1" applyBorder="1" applyAlignment="1" applyProtection="1">
      <alignment horizontal="center"/>
      <protection hidden="1"/>
    </xf>
    <xf numFmtId="0" fontId="25" fillId="0" borderId="46" xfId="0" applyFont="1" applyBorder="1" applyAlignment="1">
      <alignment horizontal="center"/>
    </xf>
    <xf numFmtId="170" fontId="27" fillId="11" borderId="18" xfId="0" applyNumberFormat="1" applyFont="1" applyFill="1" applyBorder="1" applyAlignment="1">
      <alignment horizontal="center"/>
    </xf>
    <xf numFmtId="170" fontId="27" fillId="18" borderId="7" xfId="0" applyNumberFormat="1" applyFont="1" applyFill="1" applyBorder="1" applyAlignment="1">
      <alignment horizontal="center"/>
    </xf>
    <xf numFmtId="170" fontId="27" fillId="18" borderId="39" xfId="0" applyNumberFormat="1" applyFont="1" applyFill="1" applyBorder="1" applyAlignment="1">
      <alignment horizontal="center"/>
    </xf>
    <xf numFmtId="0" fontId="24" fillId="19" borderId="12" xfId="0" applyFont="1" applyFill="1" applyBorder="1" applyAlignment="1">
      <alignment horizontal="center" wrapText="1"/>
    </xf>
    <xf numFmtId="174" fontId="27" fillId="11" borderId="47" xfId="0" applyNumberFormat="1" applyFont="1" applyFill="1" applyBorder="1" applyAlignment="1">
      <alignment horizontal="right"/>
    </xf>
    <xf numFmtId="174" fontId="27" fillId="3" borderId="43" xfId="0" applyNumberFormat="1" applyFont="1" applyFill="1" applyBorder="1" applyAlignment="1">
      <alignment horizontal="right"/>
    </xf>
    <xf numFmtId="174" fontId="27" fillId="0" borderId="43" xfId="0" applyNumberFormat="1" applyFont="1" applyFill="1" applyBorder="1" applyAlignment="1">
      <alignment horizontal="right"/>
    </xf>
    <xf numFmtId="174" fontId="27" fillId="0" borderId="44" xfId="0" applyNumberFormat="1" applyFont="1" applyFill="1" applyBorder="1" applyAlignment="1">
      <alignment horizontal="right"/>
    </xf>
    <xf numFmtId="0" fontId="24" fillId="0" borderId="48" xfId="0" applyFont="1" applyBorder="1" applyAlignment="1">
      <alignment horizontal="center" wrapText="1"/>
    </xf>
    <xf numFmtId="170" fontId="27" fillId="11" borderId="36" xfId="0" applyNumberFormat="1" applyFont="1" applyFill="1" applyBorder="1" applyAlignment="1">
      <alignment horizontal="center"/>
    </xf>
    <xf numFmtId="170" fontId="27" fillId="18" borderId="25" xfId="0" applyNumberFormat="1" applyFont="1" applyFill="1" applyBorder="1" applyAlignment="1">
      <alignment horizontal="center"/>
    </xf>
    <xf numFmtId="170" fontId="27" fillId="18" borderId="27" xfId="0" applyNumberFormat="1" applyFont="1" applyFill="1" applyBorder="1" applyAlignment="1">
      <alignment horizontal="center"/>
    </xf>
    <xf numFmtId="0" fontId="24" fillId="11" borderId="21" xfId="0" applyFont="1" applyFill="1" applyBorder="1" applyAlignment="1">
      <alignment horizontal="center" wrapText="1"/>
    </xf>
    <xf numFmtId="170" fontId="26" fillId="0" borderId="3" xfId="0" applyNumberFormat="1" applyFont="1" applyBorder="1" applyAlignment="1">
      <alignment/>
    </xf>
    <xf numFmtId="169" fontId="26" fillId="0" borderId="3" xfId="15" applyNumberFormat="1" applyFont="1" applyBorder="1" applyAlignment="1">
      <alignment/>
    </xf>
    <xf numFmtId="169" fontId="26" fillId="0" borderId="3" xfId="0" applyNumberFormat="1" applyFont="1" applyBorder="1" applyAlignment="1">
      <alignment/>
    </xf>
    <xf numFmtId="169" fontId="26" fillId="0" borderId="3" xfId="0" applyNumberFormat="1" applyFont="1" applyBorder="1" applyAlignment="1">
      <alignment horizontal="center"/>
    </xf>
    <xf numFmtId="169" fontId="26" fillId="0" borderId="7" xfId="0" applyNumberFormat="1" applyFont="1" applyBorder="1" applyAlignment="1">
      <alignment/>
    </xf>
    <xf numFmtId="169" fontId="26" fillId="0" borderId="5" xfId="0" applyNumberFormat="1" applyFont="1" applyBorder="1" applyAlignment="1">
      <alignment/>
    </xf>
    <xf numFmtId="183" fontId="0" fillId="0" borderId="3" xfId="0" applyNumberFormat="1" applyBorder="1" applyAlignment="1">
      <alignment/>
    </xf>
    <xf numFmtId="190" fontId="0" fillId="0" borderId="49" xfId="15" applyNumberFormat="1" applyFont="1" applyFill="1" applyBorder="1" applyAlignment="1" applyProtection="1">
      <alignment horizontal="center"/>
      <protection hidden="1"/>
    </xf>
    <xf numFmtId="183" fontId="0" fillId="0" borderId="24" xfId="15" applyNumberFormat="1" applyFont="1" applyFill="1" applyBorder="1" applyAlignment="1" applyProtection="1">
      <alignment horizontal="center"/>
      <protection hidden="1"/>
    </xf>
    <xf numFmtId="175" fontId="20" fillId="0" borderId="3" xfId="0" applyNumberFormat="1" applyFont="1" applyFill="1" applyBorder="1" applyAlignment="1">
      <alignment horizontal="left" vertical="top" wrapText="1"/>
    </xf>
    <xf numFmtId="165" fontId="11" fillId="0" borderId="0" xfId="0" applyNumberFormat="1" applyFont="1" applyAlignment="1">
      <alignment/>
    </xf>
    <xf numFmtId="173" fontId="27" fillId="0" borderId="50" xfId="0" applyNumberFormat="1" applyFont="1" applyFill="1" applyBorder="1" applyAlignment="1">
      <alignment/>
    </xf>
    <xf numFmtId="174" fontId="27" fillId="0" borderId="51" xfId="0" applyNumberFormat="1" applyFont="1" applyFill="1" applyBorder="1" applyAlignment="1">
      <alignment horizontal="right"/>
    </xf>
    <xf numFmtId="170" fontId="27" fillId="18" borderId="52" xfId="0" applyNumberFormat="1" applyFont="1" applyFill="1" applyBorder="1" applyAlignment="1">
      <alignment horizontal="center"/>
    </xf>
    <xf numFmtId="170" fontId="27" fillId="18" borderId="2" xfId="0" applyNumberFormat="1" applyFont="1" applyFill="1" applyBorder="1" applyAlignment="1">
      <alignment horizontal="center"/>
    </xf>
    <xf numFmtId="2" fontId="27" fillId="0" borderId="2" xfId="0" applyNumberFormat="1" applyFont="1" applyFill="1" applyBorder="1" applyAlignment="1">
      <alignment horizontal="center"/>
    </xf>
    <xf numFmtId="2" fontId="27" fillId="0" borderId="53" xfId="0" applyNumberFormat="1" applyFont="1" applyFill="1" applyBorder="1" applyAlignment="1">
      <alignment horizontal="center"/>
    </xf>
    <xf numFmtId="165" fontId="27" fillId="0" borderId="52" xfId="0" applyNumberFormat="1" applyFont="1" applyFill="1" applyBorder="1" applyAlignment="1">
      <alignment horizontal="center"/>
    </xf>
    <xf numFmtId="165" fontId="27" fillId="0" borderId="4" xfId="0" applyNumberFormat="1" applyFont="1" applyFill="1" applyBorder="1" applyAlignment="1">
      <alignment horizontal="center"/>
    </xf>
    <xf numFmtId="2" fontId="27" fillId="0" borderId="4" xfId="0" applyNumberFormat="1" applyFont="1" applyFill="1" applyBorder="1" applyAlignment="1">
      <alignment horizontal="center"/>
    </xf>
    <xf numFmtId="169" fontId="27" fillId="0" borderId="52" xfId="15" applyNumberFormat="1" applyFont="1" applyFill="1" applyBorder="1" applyAlignment="1">
      <alignment horizontal="center"/>
    </xf>
    <xf numFmtId="169" fontId="27" fillId="0" borderId="4" xfId="15" applyNumberFormat="1" applyFont="1" applyFill="1" applyBorder="1" applyAlignment="1">
      <alignment horizontal="center"/>
    </xf>
    <xf numFmtId="169" fontId="27" fillId="0" borderId="53" xfId="15" applyNumberFormat="1" applyFont="1" applyFill="1" applyBorder="1" applyAlignment="1">
      <alignment horizontal="center"/>
    </xf>
    <xf numFmtId="0" fontId="0" fillId="20" borderId="3" xfId="0" applyFill="1" applyBorder="1" applyAlignment="1">
      <alignment/>
    </xf>
    <xf numFmtId="165" fontId="0" fillId="13" borderId="13" xfId="0" applyNumberFormat="1" applyFont="1" applyFill="1" applyBorder="1" applyAlignment="1">
      <alignment/>
    </xf>
    <xf numFmtId="44" fontId="0" fillId="13" borderId="13" xfId="17" applyFill="1" applyBorder="1" applyAlignment="1">
      <alignment/>
    </xf>
    <xf numFmtId="195" fontId="0" fillId="0" borderId="3" xfId="15" applyNumberFormat="1" applyFont="1" applyFill="1" applyBorder="1" applyAlignment="1" applyProtection="1">
      <alignment horizontal="center"/>
      <protection hidden="1"/>
    </xf>
    <xf numFmtId="0" fontId="0" fillId="20" borderId="16" xfId="0" applyFill="1" applyBorder="1" applyAlignment="1">
      <alignment/>
    </xf>
    <xf numFmtId="174" fontId="0" fillId="20" borderId="54" xfId="0" applyNumberFormat="1" applyFill="1" applyBorder="1" applyAlignment="1">
      <alignment/>
    </xf>
    <xf numFmtId="170" fontId="27" fillId="20" borderId="54" xfId="0" applyNumberFormat="1" applyFont="1" applyFill="1" applyBorder="1" applyAlignment="1">
      <alignment horizontal="center"/>
    </xf>
    <xf numFmtId="170" fontId="0" fillId="20" borderId="54" xfId="0" applyNumberFormat="1" applyFill="1" applyBorder="1" applyAlignment="1">
      <alignment/>
    </xf>
    <xf numFmtId="2" fontId="0" fillId="20" borderId="54" xfId="0" applyNumberFormat="1" applyFill="1" applyBorder="1" applyAlignment="1">
      <alignment/>
    </xf>
    <xf numFmtId="169" fontId="0" fillId="20" borderId="54" xfId="15" applyNumberFormat="1" applyFill="1" applyBorder="1" applyAlignment="1">
      <alignment/>
    </xf>
    <xf numFmtId="169" fontId="0" fillId="20" borderId="54" xfId="0" applyNumberFormat="1" applyFill="1" applyBorder="1" applyAlignment="1">
      <alignment/>
    </xf>
    <xf numFmtId="169" fontId="0" fillId="20" borderId="55" xfId="0" applyNumberFormat="1" applyFill="1" applyBorder="1" applyAlignment="1">
      <alignment/>
    </xf>
    <xf numFmtId="178" fontId="0" fillId="0" borderId="0" xfId="15" applyNumberFormat="1" applyAlignment="1">
      <alignment/>
    </xf>
    <xf numFmtId="169" fontId="0" fillId="20" borderId="16" xfId="15" applyNumberFormat="1" applyFill="1" applyBorder="1" applyAlignment="1">
      <alignment/>
    </xf>
    <xf numFmtId="183" fontId="0" fillId="20" borderId="42" xfId="15" applyNumberFormat="1" applyFont="1" applyFill="1" applyBorder="1" applyAlignment="1" applyProtection="1">
      <alignment horizontal="center"/>
      <protection hidden="1"/>
    </xf>
    <xf numFmtId="190" fontId="0" fillId="20" borderId="42" xfId="15" applyNumberFormat="1" applyFont="1" applyFill="1" applyBorder="1" applyAlignment="1" applyProtection="1">
      <alignment horizontal="center"/>
      <protection hidden="1"/>
    </xf>
    <xf numFmtId="183" fontId="0" fillId="20" borderId="27" xfId="15" applyNumberFormat="1" applyFont="1" applyFill="1" applyBorder="1" applyAlignment="1" applyProtection="1">
      <alignment horizontal="center"/>
      <protection hidden="1"/>
    </xf>
    <xf numFmtId="190" fontId="0" fillId="20" borderId="28" xfId="15" applyNumberFormat="1" applyFont="1" applyFill="1" applyBorder="1" applyAlignment="1" applyProtection="1">
      <alignment horizontal="center"/>
      <protection hidden="1"/>
    </xf>
    <xf numFmtId="190" fontId="0" fillId="20" borderId="49" xfId="15" applyNumberFormat="1" applyFont="1" applyFill="1" applyBorder="1" applyAlignment="1" applyProtection="1">
      <alignment horizontal="center"/>
      <protection hidden="1"/>
    </xf>
    <xf numFmtId="183" fontId="0" fillId="20" borderId="24" xfId="15" applyNumberFormat="1" applyFont="1" applyFill="1" applyBorder="1" applyAlignment="1" applyProtection="1">
      <alignment horizontal="center"/>
      <protection hidden="1"/>
    </xf>
    <xf numFmtId="196" fontId="0" fillId="0" borderId="3" xfId="15" applyNumberFormat="1" applyFont="1" applyFill="1" applyBorder="1" applyAlignment="1" applyProtection="1">
      <alignment horizontal="center"/>
      <protection hidden="1"/>
    </xf>
    <xf numFmtId="195" fontId="0" fillId="20" borderId="24" xfId="15" applyNumberFormat="1" applyFont="1" applyFill="1" applyBorder="1" applyAlignment="1" applyProtection="1">
      <alignment horizontal="center"/>
      <protection hidden="1"/>
    </xf>
    <xf numFmtId="169" fontId="20" fillId="0" borderId="3" xfId="15" applyNumberFormat="1" applyFont="1" applyBorder="1" applyAlignment="1">
      <alignment/>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56"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14" fillId="21" borderId="5" xfId="0" applyFont="1" applyFill="1" applyBorder="1" applyAlignment="1">
      <alignment horizontal="center"/>
    </xf>
    <xf numFmtId="0" fontId="14" fillId="21" borderId="7" xfId="0" applyFont="1" applyFill="1" applyBorder="1" applyAlignment="1">
      <alignment horizontal="center"/>
    </xf>
    <xf numFmtId="171" fontId="25" fillId="12" borderId="12" xfId="0" applyNumberFormat="1" applyFont="1" applyFill="1" applyBorder="1" applyAlignment="1">
      <alignment horizontal="center" wrapText="1"/>
    </xf>
    <xf numFmtId="171" fontId="25" fillId="12" borderId="10" xfId="0" applyNumberFormat="1" applyFont="1" applyFill="1" applyBorder="1" applyAlignment="1">
      <alignment horizontal="center" wrapText="1"/>
    </xf>
    <xf numFmtId="171" fontId="25" fillId="12" borderId="11" xfId="0" applyNumberFormat="1" applyFont="1" applyFill="1" applyBorder="1" applyAlignment="1">
      <alignment horizontal="center" wrapText="1"/>
    </xf>
    <xf numFmtId="171" fontId="25" fillId="12" borderId="12" xfId="0" applyNumberFormat="1" applyFont="1" applyFill="1" applyBorder="1" applyAlignment="1">
      <alignment horizontal="center"/>
    </xf>
    <xf numFmtId="171" fontId="25" fillId="12" borderId="10" xfId="0" applyNumberFormat="1" applyFont="1" applyFill="1" applyBorder="1" applyAlignment="1">
      <alignment horizontal="center"/>
    </xf>
    <xf numFmtId="171" fontId="25" fillId="12" borderId="11" xfId="0" applyNumberFormat="1" applyFont="1" applyFill="1" applyBorder="1" applyAlignment="1">
      <alignment horizontal="center"/>
    </xf>
    <xf numFmtId="0" fontId="24" fillId="0" borderId="45" xfId="0" applyFont="1" applyBorder="1" applyAlignment="1">
      <alignment horizontal="center" wrapText="1"/>
    </xf>
    <xf numFmtId="0" fontId="24" fillId="0" borderId="57" xfId="0" applyFont="1" applyBorder="1" applyAlignment="1">
      <alignment horizontal="center" wrapText="1"/>
    </xf>
    <xf numFmtId="173" fontId="25" fillId="0" borderId="45" xfId="0" applyNumberFormat="1" applyFont="1" applyBorder="1" applyAlignment="1">
      <alignment horizontal="center"/>
    </xf>
    <xf numFmtId="173" fontId="25" fillId="0" borderId="57" xfId="0" applyNumberFormat="1" applyFont="1" applyBorder="1" applyAlignment="1">
      <alignment horizontal="center"/>
    </xf>
    <xf numFmtId="173" fontId="25" fillId="0" borderId="19" xfId="0" applyNumberFormat="1" applyFont="1" applyBorder="1" applyAlignment="1">
      <alignment horizontal="center"/>
    </xf>
    <xf numFmtId="173" fontId="25" fillId="0" borderId="58" xfId="0" applyNumberFormat="1" applyFont="1" applyBorder="1" applyAlignment="1">
      <alignment horizontal="center"/>
    </xf>
    <xf numFmtId="0" fontId="26" fillId="13" borderId="59" xfId="0" applyFont="1" applyFill="1" applyBorder="1" applyAlignment="1">
      <alignment horizontal="center" wrapText="1"/>
    </xf>
    <xf numFmtId="0" fontId="26" fillId="13" borderId="60" xfId="0" applyFont="1" applyFill="1" applyBorder="1" applyAlignment="1">
      <alignment horizontal="center" wrapText="1"/>
    </xf>
    <xf numFmtId="0" fontId="26" fillId="13" borderId="61" xfId="0" applyFont="1" applyFill="1" applyBorder="1" applyAlignment="1">
      <alignment horizontal="center" wrapText="1"/>
    </xf>
    <xf numFmtId="0" fontId="26" fillId="13" borderId="21" xfId="0" applyFont="1" applyFill="1" applyBorder="1" applyAlignment="1">
      <alignment horizontal="center" wrapText="1"/>
    </xf>
    <xf numFmtId="0" fontId="26" fillId="13" borderId="23" xfId="0" applyFont="1" applyFill="1" applyBorder="1" applyAlignment="1">
      <alignment horizontal="center" wrapText="1"/>
    </xf>
    <xf numFmtId="0" fontId="26" fillId="13" borderId="20" xfId="0" applyFont="1" applyFill="1" applyBorder="1" applyAlignment="1">
      <alignment horizontal="center" wrapText="1"/>
    </xf>
    <xf numFmtId="0" fontId="24" fillId="13" borderId="59" xfId="0" applyFont="1" applyFill="1" applyBorder="1" applyAlignment="1">
      <alignment horizontal="center"/>
    </xf>
    <xf numFmtId="0" fontId="24" fillId="13" borderId="61" xfId="0" applyFont="1" applyFill="1" applyBorder="1" applyAlignment="1">
      <alignment horizontal="center"/>
    </xf>
    <xf numFmtId="0" fontId="24" fillId="13" borderId="60" xfId="0" applyFont="1" applyFill="1" applyBorder="1" applyAlignment="1">
      <alignment horizontal="center"/>
    </xf>
    <xf numFmtId="0" fontId="26" fillId="13" borderId="12" xfId="0" applyFont="1" applyFill="1" applyBorder="1" applyAlignment="1">
      <alignment horizontal="center"/>
    </xf>
    <xf numFmtId="0" fontId="26" fillId="13" borderId="10" xfId="0" applyFont="1" applyFill="1" applyBorder="1" applyAlignment="1">
      <alignment horizontal="center"/>
    </xf>
    <xf numFmtId="0" fontId="26" fillId="13" borderId="11" xfId="0" applyFont="1" applyFill="1" applyBorder="1" applyAlignment="1">
      <alignment horizontal="center"/>
    </xf>
    <xf numFmtId="171" fontId="25" fillId="12" borderId="45" xfId="0" applyNumberFormat="1" applyFont="1" applyFill="1" applyBorder="1" applyAlignment="1">
      <alignment horizontal="center"/>
    </xf>
    <xf numFmtId="171" fontId="25" fillId="12" borderId="14" xfId="0" applyNumberFormat="1" applyFont="1" applyFill="1" applyBorder="1" applyAlignment="1">
      <alignment horizontal="center"/>
    </xf>
    <xf numFmtId="171" fontId="25" fillId="12" borderId="15" xfId="0" applyNumberFormat="1" applyFont="1" applyFill="1" applyBorder="1" applyAlignment="1">
      <alignment horizontal="center"/>
    </xf>
  </cellXfs>
  <cellStyles count="12">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QualifyingAppliances" xfId="23"/>
    <cellStyle name="Normal_QualifyingAppliances09180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4.emf" /><Relationship Id="rId4" Type="http://schemas.openxmlformats.org/officeDocument/2006/relationships/image" Target="../media/image6.emf" /><Relationship Id="rId5" Type="http://schemas.openxmlformats.org/officeDocument/2006/relationships/image" Target="../media/image2.emf" /><Relationship Id="rId6" Type="http://schemas.openxmlformats.org/officeDocument/2006/relationships/image" Target="../media/image8.emf" /><Relationship Id="rId7" Type="http://schemas.openxmlformats.org/officeDocument/2006/relationships/image" Target="../media/image12.emf" /><Relationship Id="rId8" Type="http://schemas.openxmlformats.org/officeDocument/2006/relationships/image" Target="../media/image5.emf" /><Relationship Id="rId9" Type="http://schemas.openxmlformats.org/officeDocument/2006/relationships/image" Target="../media/image13.emf" /><Relationship Id="rId10" Type="http://schemas.openxmlformats.org/officeDocument/2006/relationships/image" Target="../media/image3.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8"/>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0"/>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1"/>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2"/>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3"/>
        <a:stretch>
          <a:fillRect/>
        </a:stretch>
      </xdr:blipFill>
      <xdr:spPr>
        <a:xfrm>
          <a:off x="6915150" y="1152525"/>
          <a:ext cx="5619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ew%20Plan\Residential%20Resource%20Assessment\PNWResSectorSupplyCurveUni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of Residential Units"/>
      <sheetName val="Housing Units by Climate Zone"/>
      <sheetName val="Total Housing Units"/>
      <sheetName val="Pre-1980 Space Heating Unit"/>
      <sheetName val="Post79 - Pre93 Units"/>
      <sheetName val="Existing Space Heating Units"/>
      <sheetName val="New Space Heating Units"/>
      <sheetName val="DHW &amp; Appliance Units"/>
    </sheetNames>
    <sheetDataSet>
      <sheetData sheetId="0">
        <row r="22">
          <cell r="E22">
            <v>0.6380307253225604</v>
          </cell>
        </row>
        <row r="26">
          <cell r="E26">
            <v>0.8208495645747675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2:AL37"/>
  <sheetViews>
    <sheetView tabSelected="1" workbookViewId="0" topLeftCell="A1">
      <selection activeCell="A1" sqref="A1"/>
    </sheetView>
  </sheetViews>
  <sheetFormatPr defaultColWidth="9.140625" defaultRowHeight="12.75"/>
  <cols>
    <col min="1" max="1" width="33.28125" style="0" customWidth="1"/>
    <col min="2" max="2" width="23.00390625" style="0" customWidth="1"/>
    <col min="3" max="3" width="19.421875" style="0" customWidth="1"/>
    <col min="4" max="4" width="10.8515625" style="0" customWidth="1"/>
    <col min="5" max="5" width="11.57421875" style="0" customWidth="1"/>
    <col min="6" max="6" width="10.8515625" style="0" customWidth="1"/>
    <col min="7" max="7" width="11.5742187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2.0039062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1.7109375" style="0" customWidth="1"/>
  </cols>
  <sheetData>
    <row r="1" ht="13.5" thickBot="1"/>
    <row r="2" spans="1:36" s="76" customFormat="1" ht="33" customHeight="1" thickBot="1">
      <c r="A2" s="388" t="s">
        <v>198</v>
      </c>
      <c r="B2" s="389"/>
      <c r="C2" s="389"/>
      <c r="D2" s="389"/>
      <c r="E2" s="389"/>
      <c r="F2" s="389"/>
      <c r="G2" s="389"/>
      <c r="H2" s="389"/>
      <c r="I2" s="389"/>
      <c r="J2" s="389"/>
      <c r="K2" s="389"/>
      <c r="L2" s="389"/>
      <c r="M2" s="389"/>
      <c r="N2" s="389"/>
      <c r="O2" s="389"/>
      <c r="P2" s="389"/>
      <c r="Q2" s="389"/>
      <c r="R2" s="389"/>
      <c r="S2" s="389"/>
      <c r="T2" s="389"/>
      <c r="U2" s="389"/>
      <c r="V2" s="389"/>
      <c r="W2" s="390"/>
      <c r="X2" s="388" t="s">
        <v>199</v>
      </c>
      <c r="Y2" s="389"/>
      <c r="Z2" s="390"/>
      <c r="AA2" s="389" t="s">
        <v>200</v>
      </c>
      <c r="AB2" s="389"/>
      <c r="AC2" s="389"/>
      <c r="AD2" s="392"/>
      <c r="AE2" s="391" t="s">
        <v>201</v>
      </c>
      <c r="AF2" s="389"/>
      <c r="AG2" s="389"/>
      <c r="AH2" s="392"/>
      <c r="AI2" s="74"/>
      <c r="AJ2" s="75"/>
    </row>
    <row r="3" spans="1:38" s="80" customFormat="1" ht="77.25" customHeight="1" thickBot="1">
      <c r="A3" s="77" t="s">
        <v>202</v>
      </c>
      <c r="B3" s="78" t="s">
        <v>203</v>
      </c>
      <c r="C3" s="78" t="s">
        <v>204</v>
      </c>
      <c r="D3" s="78" t="s">
        <v>205</v>
      </c>
      <c r="E3" s="78" t="s">
        <v>246</v>
      </c>
      <c r="F3" s="78" t="s">
        <v>247</v>
      </c>
      <c r="G3" s="78" t="s">
        <v>248</v>
      </c>
      <c r="H3" s="78" t="s">
        <v>206</v>
      </c>
      <c r="I3" s="78" t="s">
        <v>249</v>
      </c>
      <c r="J3" s="78" t="s">
        <v>207</v>
      </c>
      <c r="K3" s="78" t="s">
        <v>208</v>
      </c>
      <c r="L3" s="78" t="s">
        <v>209</v>
      </c>
      <c r="M3" s="78" t="s">
        <v>210</v>
      </c>
      <c r="N3" s="78" t="s">
        <v>250</v>
      </c>
      <c r="O3" s="78" t="s">
        <v>211</v>
      </c>
      <c r="P3" s="78" t="s">
        <v>251</v>
      </c>
      <c r="Q3" s="78" t="s">
        <v>212</v>
      </c>
      <c r="R3" s="78" t="s">
        <v>213</v>
      </c>
      <c r="S3" s="78" t="s">
        <v>228</v>
      </c>
      <c r="T3" s="78" t="s">
        <v>229</v>
      </c>
      <c r="U3" s="78" t="s">
        <v>230</v>
      </c>
      <c r="V3" s="78" t="s">
        <v>231</v>
      </c>
      <c r="W3" s="78" t="s">
        <v>232</v>
      </c>
      <c r="X3" s="77" t="s">
        <v>233</v>
      </c>
      <c r="Y3" s="77" t="s">
        <v>234</v>
      </c>
      <c r="Z3" s="78" t="s">
        <v>235</v>
      </c>
      <c r="AA3" s="78" t="s">
        <v>236</v>
      </c>
      <c r="AB3" s="78" t="s">
        <v>237</v>
      </c>
      <c r="AC3" s="78" t="s">
        <v>238</v>
      </c>
      <c r="AD3" s="78" t="s">
        <v>239</v>
      </c>
      <c r="AE3" s="78" t="s">
        <v>240</v>
      </c>
      <c r="AF3" s="78" t="s">
        <v>241</v>
      </c>
      <c r="AG3" s="78" t="s">
        <v>242</v>
      </c>
      <c r="AH3" s="79" t="s">
        <v>232</v>
      </c>
      <c r="AI3" s="101" t="s">
        <v>243</v>
      </c>
      <c r="AJ3" s="101" t="s">
        <v>244</v>
      </c>
      <c r="AK3" s="101" t="s">
        <v>685</v>
      </c>
      <c r="AL3" s="76"/>
    </row>
    <row r="4" spans="1:38" s="80" customFormat="1" ht="77.25" customHeight="1">
      <c r="A4" s="88" t="str">
        <f>RECW!B75</f>
        <v>Energy Star Clothes Washer (MEF 1.27) - Gas DHW &amp; Dryer</v>
      </c>
      <c r="B4" s="81" t="str">
        <f>VLOOKUP($A4,LookupTable!$A$3:$C$17,2,0)</f>
        <v>Manufacturer, Dealer or Consumer Rebate </v>
      </c>
      <c r="C4" s="81" t="str">
        <f>VLOOKUP(A4,LookupTable!$A$3:$C$17,3,0)</f>
        <v>Residence w/Gas Water Heat and Gas Dryer</v>
      </c>
      <c r="D4" s="81" t="s">
        <v>252</v>
      </c>
      <c r="E4" s="82">
        <f>RECW!E75</f>
        <v>30</v>
      </c>
      <c r="F4" s="82">
        <f>RECW!F75</f>
        <v>-3</v>
      </c>
      <c r="G4" s="82">
        <f>RECW!G75</f>
        <v>0</v>
      </c>
      <c r="H4" s="83">
        <f>RECW!C75</f>
        <v>14</v>
      </c>
      <c r="I4" s="83" t="s">
        <v>223</v>
      </c>
      <c r="J4" s="102">
        <f>RECW!D75</f>
        <v>80.50641371629229</v>
      </c>
      <c r="K4" s="102">
        <f>RECW!K75</f>
        <v>86.64502776215957</v>
      </c>
      <c r="L4" s="85">
        <f>RECW!J75</f>
        <v>0.06885243952274323</v>
      </c>
      <c r="M4" s="90">
        <f>RECW!L75</f>
        <v>0.0016776382730174344</v>
      </c>
      <c r="N4" s="89">
        <f>RECW!N75/RECW!$K75</f>
        <v>0.3462403691969964</v>
      </c>
      <c r="O4" s="89">
        <f>RECW!O75/RECW!$K75</f>
        <v>-0.34811288423375136</v>
      </c>
      <c r="P4" s="89">
        <f>RECW!P75/RECW!$K75</f>
        <v>0</v>
      </c>
      <c r="Q4" s="89">
        <f>RECW!N75/RECW!$K75</f>
        <v>0.3462403691969964</v>
      </c>
      <c r="R4" s="84">
        <f>RECW!S75/RECW!K75</f>
        <v>0.33923764552078484</v>
      </c>
      <c r="S4" s="84">
        <f>RECW!T75/RECW!K75</f>
        <v>0.0005842801991009221</v>
      </c>
      <c r="T4" s="84">
        <f>RECW!U75/RECW!K75</f>
        <v>0.043535457990053573</v>
      </c>
      <c r="U4" s="84">
        <f aca="true" t="shared" si="0" ref="U4:U9">SUM(R4:T4)</f>
        <v>0.3833573837099393</v>
      </c>
      <c r="V4" s="84">
        <f aca="true" t="shared" si="1" ref="V4:V9">U4-Q4</f>
        <v>0.037117014512942914</v>
      </c>
      <c r="W4" s="85">
        <f aca="true" t="shared" si="2" ref="W4:W9">U4/Q4</f>
        <v>1.107200135556189</v>
      </c>
      <c r="X4" s="85">
        <f>RECW!I75</f>
        <v>0.2678075527198583</v>
      </c>
      <c r="Y4" s="90">
        <f>RECW!M75</f>
        <v>0.0431116446852684</v>
      </c>
      <c r="Z4" s="85">
        <f>RECW!Y75/RECW!K75</f>
        <v>0.10009818331692291</v>
      </c>
      <c r="AA4" s="84" t="s">
        <v>224</v>
      </c>
      <c r="AB4" s="91" t="s">
        <v>225</v>
      </c>
      <c r="AC4" s="84">
        <f>((1-(RECW!O75))+RECW!Z75)/RECW!K75</f>
        <v>2.9613762023764236</v>
      </c>
      <c r="AD4" s="84">
        <f>RECW!AA75/RECW!K75</f>
        <v>0</v>
      </c>
      <c r="AE4" s="84">
        <f>RECW!N75/RECW!K75</f>
        <v>0.3462403691969964</v>
      </c>
      <c r="AF4" s="84">
        <f aca="true" t="shared" si="3" ref="AF4:AF9">U4+Z4+AC4+AD4</f>
        <v>3.4448317694032857</v>
      </c>
      <c r="AG4" s="84">
        <f aca="true" t="shared" si="4" ref="AG4:AG9">AF4-AE4</f>
        <v>3.0985914002062893</v>
      </c>
      <c r="AH4" s="85">
        <f aca="true" t="shared" si="5" ref="AH4:AH9">AF4/AE4</f>
        <v>9.949249353541786</v>
      </c>
      <c r="AI4" s="103" t="s">
        <v>443</v>
      </c>
      <c r="AJ4" s="103" t="s">
        <v>671</v>
      </c>
      <c r="AK4" s="387">
        <f>VLOOKUP(A4,RECW!$B$75:$R$84,17,0)</f>
        <v>16.967741563369856</v>
      </c>
      <c r="AL4" s="76"/>
    </row>
    <row r="5" spans="1:38" s="80" customFormat="1" ht="77.25" customHeight="1">
      <c r="A5" s="88" t="str">
        <f>RECW!B76</f>
        <v>Energy Star Clothes Washer (MEF 1.27) - Gas DHW &amp; Electric Dryer</v>
      </c>
      <c r="B5" s="81" t="str">
        <f>VLOOKUP($A5,LookupTable!$A$3:$C$17,2,0)</f>
        <v>Manufacturer, Dealer or Consumer Rebate </v>
      </c>
      <c r="C5" s="81" t="str">
        <f>VLOOKUP(A5,LookupTable!$A$3:$C$17,3,0)</f>
        <v>Residence w/Gas Water Heat and Electric Dryer</v>
      </c>
      <c r="D5" s="81" t="s">
        <v>252</v>
      </c>
      <c r="E5" s="82">
        <f>RECW!E76</f>
        <v>30</v>
      </c>
      <c r="F5" s="82">
        <f>RECW!F76</f>
        <v>-1.51</v>
      </c>
      <c r="G5" s="82">
        <f>RECW!G76</f>
        <v>0</v>
      </c>
      <c r="H5" s="83">
        <f>RECW!C76</f>
        <v>14</v>
      </c>
      <c r="I5" s="83" t="s">
        <v>223</v>
      </c>
      <c r="J5" s="102">
        <f>RECW!D76</f>
        <v>78.24146784846607</v>
      </c>
      <c r="K5" s="102">
        <f>RECW!K76</f>
        <v>84.2073797719116</v>
      </c>
      <c r="L5" s="85">
        <f>RECW!J76</f>
        <v>0.07009293884038925</v>
      </c>
      <c r="M5" s="90">
        <f>RECW!L76</f>
        <v>0.0016468509179926101</v>
      </c>
      <c r="N5" s="89">
        <f>RECW!N76/RECW!$K76</f>
        <v>0.35626338787305434</v>
      </c>
      <c r="O5" s="89">
        <f>RECW!O76/RECW!$K76</f>
        <v>-0.18064792366770172</v>
      </c>
      <c r="P5" s="89">
        <f>RECW!P76/RECW!$K76</f>
        <v>0</v>
      </c>
      <c r="Q5" s="89">
        <f>RECW!N76/RECW!$K76</f>
        <v>0.35626338787305434</v>
      </c>
      <c r="R5" s="84">
        <f>RECW!S76/RECW!K76</f>
        <v>0.33921899430686414</v>
      </c>
      <c r="S5" s="84">
        <f>RECW!T76/RECW!K76</f>
        <v>0.0005901611480971741</v>
      </c>
      <c r="T5" s="84">
        <f>RECW!U76/RECW!K76</f>
        <v>0.043540715276322535</v>
      </c>
      <c r="U5" s="84">
        <f t="shared" si="0"/>
        <v>0.38334987073128385</v>
      </c>
      <c r="V5" s="84">
        <f t="shared" si="1"/>
        <v>0.02708648285822951</v>
      </c>
      <c r="W5" s="85">
        <f t="shared" si="2"/>
        <v>1.0760293754009915</v>
      </c>
      <c r="X5" s="85">
        <f>RECW!I76</f>
        <v>0.2687572707275808</v>
      </c>
      <c r="Y5" s="90">
        <f>RECW!M76</f>
        <v>0.0419275164604187</v>
      </c>
      <c r="Z5" s="85">
        <f>RECW!Y76/RECW!K76</f>
        <v>0.1001669039158163</v>
      </c>
      <c r="AA5" s="84" t="s">
        <v>224</v>
      </c>
      <c r="AB5" s="91" t="s">
        <v>225</v>
      </c>
      <c r="AC5" s="84">
        <f>((1-(RECW!O76))+RECW!Z76)/RECW!K76</f>
        <v>2.8695603843524395</v>
      </c>
      <c r="AD5" s="84">
        <f>RECW!AA76/RECW!K76</f>
        <v>0</v>
      </c>
      <c r="AE5" s="84">
        <f>RECW!N76/RECW!K76</f>
        <v>0.35626338787305434</v>
      </c>
      <c r="AF5" s="84">
        <f t="shared" si="3"/>
        <v>3.3530771589995396</v>
      </c>
      <c r="AG5" s="84">
        <f t="shared" si="4"/>
        <v>2.9968137711264853</v>
      </c>
      <c r="AH5" s="85">
        <f t="shared" si="5"/>
        <v>9.41179271610791</v>
      </c>
      <c r="AI5" s="103" t="s">
        <v>443</v>
      </c>
      <c r="AJ5" s="103" t="s">
        <v>671</v>
      </c>
      <c r="AK5" s="387">
        <f>VLOOKUP(A5,RECW!$B$75:$R$84,17,0)</f>
        <v>17.458926317402447</v>
      </c>
      <c r="AL5" s="76"/>
    </row>
    <row r="6" spans="1:38" s="80" customFormat="1" ht="77.25" customHeight="1">
      <c r="A6" s="88" t="str">
        <f>RECW!B77</f>
        <v>Energy Star Clothes Washer (MEF 1.27) - Weighted Average DHW &amp; Dryer</v>
      </c>
      <c r="B6" s="81" t="str">
        <f>VLOOKUP($A6,LookupTable!$A$3:$C$17,2,0)</f>
        <v>Manufacturer, Dealer or Consumer Rebate </v>
      </c>
      <c r="C6" s="81" t="str">
        <f>VLOOKUP(A6,LookupTable!$A$3:$C$17,3,0)</f>
        <v>Weighted Averaga All PNW Residences</v>
      </c>
      <c r="D6" s="81" t="s">
        <v>252</v>
      </c>
      <c r="E6" s="82">
        <f>RECW!E77</f>
        <v>30</v>
      </c>
      <c r="F6" s="82">
        <f>RECW!F77</f>
        <v>-1.09</v>
      </c>
      <c r="G6" s="82">
        <f>RECW!G77</f>
        <v>0</v>
      </c>
      <c r="H6" s="83">
        <f>RECW!C77</f>
        <v>14</v>
      </c>
      <c r="I6" s="83" t="s">
        <v>223</v>
      </c>
      <c r="J6" s="102">
        <f>RECW!D77</f>
        <v>149.32327996881477</v>
      </c>
      <c r="K6" s="102">
        <f>RECW!K77</f>
        <v>160.7091800664369</v>
      </c>
      <c r="L6" s="85">
        <f>RECW!J77</f>
        <v>0.05099676921963692</v>
      </c>
      <c r="M6" s="90">
        <f>RECW!L77</f>
        <v>0.002847306073323019</v>
      </c>
      <c r="N6" s="89">
        <f>RECW!N77/RECW!$K77</f>
        <v>0.18667263680302634</v>
      </c>
      <c r="O6" s="89">
        <f>RECW!O77/RECW!$K77</f>
        <v>-0.06823555261361364</v>
      </c>
      <c r="P6" s="89">
        <f>RECW!P77/RECW!$K77</f>
        <v>0</v>
      </c>
      <c r="Q6" s="89">
        <f>RECW!N77/RECW!$K77</f>
        <v>0.18667263680302634</v>
      </c>
      <c r="R6" s="84">
        <f>RECW!S77/RECW!K77</f>
        <v>0.33953457676769927</v>
      </c>
      <c r="S6" s="84">
        <f>RECW!T77/RECW!K77</f>
        <v>0.0005346381438744135</v>
      </c>
      <c r="T6" s="84">
        <f>RECW!U77/RECW!K77</f>
        <v>0.04380031708100815</v>
      </c>
      <c r="U6" s="84">
        <f t="shared" si="0"/>
        <v>0.3838695319925818</v>
      </c>
      <c r="V6" s="84">
        <f t="shared" si="1"/>
        <v>0.19719689518955544</v>
      </c>
      <c r="W6" s="85">
        <f t="shared" si="2"/>
        <v>2.0563781525068086</v>
      </c>
      <c r="X6" s="85">
        <f>RECW!I77</f>
        <v>0.24464167892741878</v>
      </c>
      <c r="Y6" s="90">
        <f>RECW!M77</f>
        <v>0.08197098970413208</v>
      </c>
      <c r="Z6" s="85">
        <f>RECW!Y77/RECW!K77</f>
        <v>0.10261119199786249</v>
      </c>
      <c r="AA6" s="84" t="s">
        <v>224</v>
      </c>
      <c r="AB6" s="91" t="s">
        <v>225</v>
      </c>
      <c r="AC6" s="84">
        <f>((1-(RECW!O77))+RECW!Z77)/RECW!K77</f>
        <v>1.4771548978352174</v>
      </c>
      <c r="AD6" s="84">
        <f>RECW!AA77/RECW!K77</f>
        <v>0</v>
      </c>
      <c r="AE6" s="84">
        <f>RECW!N77/RECW!K77</f>
        <v>0.18667263680302634</v>
      </c>
      <c r="AF6" s="84">
        <f t="shared" si="3"/>
        <v>1.9636356218256616</v>
      </c>
      <c r="AG6" s="84">
        <f t="shared" si="4"/>
        <v>1.7769629850226354</v>
      </c>
      <c r="AH6" s="85">
        <f t="shared" si="5"/>
        <v>10.519140113168568</v>
      </c>
      <c r="AI6" s="103" t="s">
        <v>443</v>
      </c>
      <c r="AJ6" s="103" t="s">
        <v>671</v>
      </c>
      <c r="AK6" s="387">
        <f>VLOOKUP(A6,RECW!$B$75:$R$84,17,0)</f>
        <v>15.152030080223415</v>
      </c>
      <c r="AL6" s="76"/>
    </row>
    <row r="7" spans="1:38" s="80" customFormat="1" ht="77.25" customHeight="1">
      <c r="A7" s="88" t="str">
        <f>RECW!B78</f>
        <v>Energy Star Clothes Washer (MEF 1.27) - Electric DHW &amp; Dryer</v>
      </c>
      <c r="B7" s="81" t="str">
        <f>VLOOKUP($A7,LookupTable!$A$3:$C$17,2,0)</f>
        <v>Manufacturer, Dealer or Consumer Rebate </v>
      </c>
      <c r="C7" s="81" t="str">
        <f>VLOOKUP(A7,LookupTable!$A$3:$C$17,3,0)</f>
        <v>Residence w/Electric Water Heat and Electric Dryer</v>
      </c>
      <c r="D7" s="81" t="s">
        <v>252</v>
      </c>
      <c r="E7" s="82">
        <f>RECW!E78</f>
        <v>30</v>
      </c>
      <c r="F7" s="82">
        <f>RECW!F78</f>
        <v>0</v>
      </c>
      <c r="G7" s="82">
        <f>RECW!G78</f>
        <v>0</v>
      </c>
      <c r="H7" s="83">
        <f>RECW!C78</f>
        <v>14</v>
      </c>
      <c r="I7" s="83" t="s">
        <v>223</v>
      </c>
      <c r="J7" s="102">
        <f>RECW!D78</f>
        <v>189.0162089723627</v>
      </c>
      <c r="K7" s="102">
        <f>RECW!K78</f>
        <v>203.4286949065053</v>
      </c>
      <c r="L7" s="85">
        <f>RECW!J78</f>
        <v>0.04659609496593475</v>
      </c>
      <c r="M7" s="90">
        <f>RECW!L78</f>
        <v>0.0035197507619945845</v>
      </c>
      <c r="N7" s="89">
        <f>RECW!N78/RECW!$K78</f>
        <v>0.14747185206709393</v>
      </c>
      <c r="O7" s="89">
        <f>RECW!O78/RECW!$K78</f>
        <v>0</v>
      </c>
      <c r="P7" s="89">
        <f>RECW!P78/RECW!$K78</f>
        <v>0</v>
      </c>
      <c r="Q7" s="89">
        <f>RECW!N78/RECW!$K78</f>
        <v>0.14747185206709393</v>
      </c>
      <c r="R7" s="84">
        <f>RECW!S78/RECW!K78</f>
        <v>0.33960752344605444</v>
      </c>
      <c r="S7" s="84">
        <f>RECW!T78/RECW!K78</f>
        <v>0.0005221150084512739</v>
      </c>
      <c r="T7" s="84">
        <f>RECW!U78/RECW!K78</f>
        <v>0.043862788359604464</v>
      </c>
      <c r="U7" s="84">
        <f t="shared" si="0"/>
        <v>0.38399242681411017</v>
      </c>
      <c r="V7" s="84">
        <f t="shared" si="1"/>
        <v>0.23652057474701624</v>
      </c>
      <c r="W7" s="85">
        <f t="shared" si="2"/>
        <v>2.603835385748113</v>
      </c>
      <c r="X7" s="85">
        <f>RECW!I78</f>
        <v>0.2390104910435939</v>
      </c>
      <c r="Y7" s="90">
        <f>RECW!M78</f>
        <v>0.1043575182557106</v>
      </c>
      <c r="Z7" s="85">
        <f>RECW!Y78/RECW!K78</f>
        <v>0.10320168697767719</v>
      </c>
      <c r="AA7" s="84" t="s">
        <v>224</v>
      </c>
      <c r="AB7" s="91" t="s">
        <v>225</v>
      </c>
      <c r="AC7" s="84">
        <f>((1-(RECW!O78))+RECW!Z78)/RECW!K78</f>
        <v>1.1130498224666354</v>
      </c>
      <c r="AD7" s="84">
        <f>RECW!AA78/RECW!K78</f>
        <v>0</v>
      </c>
      <c r="AE7" s="84">
        <f>RECW!N78/RECW!K78</f>
        <v>0.14747185206709393</v>
      </c>
      <c r="AF7" s="84">
        <f t="shared" si="3"/>
        <v>1.6002439362584227</v>
      </c>
      <c r="AG7" s="84">
        <f t="shared" si="4"/>
        <v>1.4527720841913287</v>
      </c>
      <c r="AH7" s="85">
        <f t="shared" si="5"/>
        <v>10.851182200725153</v>
      </c>
      <c r="AI7" s="103" t="s">
        <v>443</v>
      </c>
      <c r="AJ7" s="103" t="s">
        <v>671</v>
      </c>
      <c r="AK7" s="387">
        <f>VLOOKUP(A7,RECW!$B$75:$R$84,17,0)</f>
        <v>14.66101035602192</v>
      </c>
      <c r="AL7" s="76"/>
    </row>
    <row r="8" spans="1:38" s="80" customFormat="1" ht="77.25" customHeight="1">
      <c r="A8" s="88" t="str">
        <f>RECW!B79</f>
        <v>Energy Star Clothes Washer (MEF 1.27) - Electric DHW/Gas Dryer</v>
      </c>
      <c r="B8" s="81" t="str">
        <f>VLOOKUP($A8,LookupTable!$A$3:$C$17,2,0)</f>
        <v>Manufacturer, Dealer or Consumer Rebate </v>
      </c>
      <c r="C8" s="81" t="str">
        <f>VLOOKUP(A8,LookupTable!$A$3:$C$17,3,0)</f>
        <v>Residence w/Electric Water Heat and Gas Dryer</v>
      </c>
      <c r="D8" s="81" t="s">
        <v>252</v>
      </c>
      <c r="E8" s="82">
        <f>RECW!E79</f>
        <v>30</v>
      </c>
      <c r="F8" s="82">
        <f>RECW!F79</f>
        <v>0.03</v>
      </c>
      <c r="G8" s="82">
        <f>RECW!G79</f>
        <v>0</v>
      </c>
      <c r="H8" s="83">
        <f>RECW!C79</f>
        <v>14</v>
      </c>
      <c r="I8" s="83" t="s">
        <v>223</v>
      </c>
      <c r="J8" s="102">
        <f>RECW!D79</f>
        <v>191.28115484018892</v>
      </c>
      <c r="K8" s="102">
        <f>RECW!K79</f>
        <v>205.86634289675328</v>
      </c>
      <c r="L8" s="85">
        <f>RECW!J79</f>
        <v>0.046352215111255646</v>
      </c>
      <c r="M8" s="90">
        <f>RECW!L79</f>
        <v>0.0035505381170194087</v>
      </c>
      <c r="N8" s="89">
        <f>RECW!N79/RECW!$K79</f>
        <v>0.14572564888132214</v>
      </c>
      <c r="O8" s="89">
        <f>RECW!O79/RECW!$K79</f>
        <v>0.0012703788772624202</v>
      </c>
      <c r="P8" s="89">
        <f>RECW!P79/RECW!$K79</f>
        <v>0</v>
      </c>
      <c r="Q8" s="89">
        <f>RECW!N79/RECW!$K79</f>
        <v>0.14572564888132214</v>
      </c>
      <c r="R8" s="84">
        <f>RECW!S79/RECW!K79</f>
        <v>0.3396107728245747</v>
      </c>
      <c r="S8" s="84">
        <f>RECW!T79/RECW!K79</f>
        <v>0.000520445563856008</v>
      </c>
      <c r="T8" s="84">
        <f>RECW!U79/RECW!K79</f>
        <v>0.043856762029600996</v>
      </c>
      <c r="U8" s="84">
        <f t="shared" si="0"/>
        <v>0.38398798041803167</v>
      </c>
      <c r="V8" s="84">
        <f t="shared" si="1"/>
        <v>0.23826233153670953</v>
      </c>
      <c r="W8" s="85">
        <f t="shared" si="2"/>
        <v>2.63500614590331</v>
      </c>
      <c r="X8" s="85">
        <f>RECW!I79</f>
        <v>0.23896300311868707</v>
      </c>
      <c r="Y8" s="90">
        <f>RECW!M79</f>
        <v>0.1055416464805603</v>
      </c>
      <c r="Z8" s="85">
        <f>RECW!Y79/RECW!K79</f>
        <v>0.10313683384448234</v>
      </c>
      <c r="AA8" s="84" t="s">
        <v>224</v>
      </c>
      <c r="AB8" s="91" t="s">
        <v>225</v>
      </c>
      <c r="AC8" s="84">
        <f>((1-(RECW!O79))+RECW!Z79)/RECW!K79</f>
        <v>1.0985999037743464</v>
      </c>
      <c r="AD8" s="84">
        <f>RECW!AA79/RECW!K79</f>
        <v>0</v>
      </c>
      <c r="AE8" s="84">
        <f>RECW!N79/RECW!K79</f>
        <v>0.14572564888132214</v>
      </c>
      <c r="AF8" s="84">
        <f t="shared" si="3"/>
        <v>1.5857247180368603</v>
      </c>
      <c r="AG8" s="84">
        <f t="shared" si="4"/>
        <v>1.4399990691555382</v>
      </c>
      <c r="AH8" s="85">
        <f t="shared" si="5"/>
        <v>10.881575962844142</v>
      </c>
      <c r="AI8" s="103" t="s">
        <v>443</v>
      </c>
      <c r="AJ8" s="103" t="s">
        <v>671</v>
      </c>
      <c r="AK8" s="387">
        <f>VLOOKUP(A8,RECW!$B$75:$R$84,17,0)</f>
        <v>14.61370553497832</v>
      </c>
      <c r="AL8" s="76"/>
    </row>
    <row r="9" spans="1:38" s="80" customFormat="1" ht="77.25" customHeight="1">
      <c r="A9" s="88" t="str">
        <f>RECW!B80</f>
        <v>Energy Star Clothes Washer (MEF 2.2) - Electric DHW &amp; Dryer</v>
      </c>
      <c r="B9" s="81" t="str">
        <f>VLOOKUP($A9,LookupTable!$A$3:$C$17,2,0)</f>
        <v>Manufacturer, Dealer or Consumer Rebate </v>
      </c>
      <c r="C9" s="81" t="str">
        <f>VLOOKUP(A9,LookupTable!$A$3:$C$17,3,0)</f>
        <v>Residence w/Electric Water Heat and Electric Dryer</v>
      </c>
      <c r="D9" s="81" t="s">
        <v>252</v>
      </c>
      <c r="E9" s="82">
        <f>RECW!E80</f>
        <v>170</v>
      </c>
      <c r="F9" s="82">
        <f>RECW!F80</f>
        <v>0</v>
      </c>
      <c r="G9" s="82">
        <f>RECW!G80</f>
        <v>0</v>
      </c>
      <c r="H9" s="83">
        <f>RECW!C80</f>
        <v>14</v>
      </c>
      <c r="I9" s="83" t="s">
        <v>223</v>
      </c>
      <c r="J9" s="102">
        <f>RECW!D80</f>
        <v>360.1907850188677</v>
      </c>
      <c r="K9" s="102">
        <f>RECW!K80</f>
        <v>387.6553323765564</v>
      </c>
      <c r="L9" s="85">
        <f>RECW!J80</f>
        <v>0.04201320558786392</v>
      </c>
      <c r="M9" s="90">
        <f>RECW!L80</f>
        <v>0.005817211547013771</v>
      </c>
      <c r="N9" s="89">
        <f>RECW!N80/RECW!$K80</f>
        <v>0.4385339812887547</v>
      </c>
      <c r="O9" s="89">
        <f>RECW!O80/RECW!$K80</f>
        <v>0</v>
      </c>
      <c r="P9" s="89">
        <f>RECW!P80/RECW!$K80</f>
        <v>0</v>
      </c>
      <c r="Q9" s="89">
        <f>RECW!N80/RECW!$K80</f>
        <v>0.4385339812887547</v>
      </c>
      <c r="R9" s="84">
        <f>RECW!S80/RECW!K80</f>
        <v>0.3396377564775688</v>
      </c>
      <c r="S9" s="84">
        <f>RECW!T80/RECW!K80</f>
        <v>0.0004528303921140054</v>
      </c>
      <c r="T9" s="84">
        <f>RECW!U80/RECW!K80</f>
        <v>0.043380777258959224</v>
      </c>
      <c r="U9" s="84">
        <f t="shared" si="0"/>
        <v>0.383471364128642</v>
      </c>
      <c r="V9" s="84">
        <f t="shared" si="1"/>
        <v>-0.05506261716011268</v>
      </c>
      <c r="W9" s="85">
        <f t="shared" si="2"/>
        <v>0.8744393376351457</v>
      </c>
      <c r="X9" s="85">
        <f>RECW!I80</f>
        <v>0.24840164314013694</v>
      </c>
      <c r="Y9" s="90">
        <f>RECW!M80</f>
        <v>0.18920782208442688</v>
      </c>
      <c r="Z9" s="85">
        <f>RECW!Y80/RECW!K80</f>
        <v>0.09819028542333945</v>
      </c>
      <c r="AA9" s="84" t="s">
        <v>224</v>
      </c>
      <c r="AB9" s="91" t="s">
        <v>225</v>
      </c>
      <c r="AC9" s="84">
        <f>((1-(RECW!O80))+RECW!Z80)/RECW!K80</f>
        <v>0.6742730861861511</v>
      </c>
      <c r="AD9" s="84">
        <f>RECW!AA80/RECW!K80</f>
        <v>0</v>
      </c>
      <c r="AE9" s="84">
        <f>RECW!N80/RECW!K80</f>
        <v>0.4385339812887547</v>
      </c>
      <c r="AF9" s="84">
        <f t="shared" si="3"/>
        <v>1.1559347357381327</v>
      </c>
      <c r="AG9" s="84">
        <f t="shared" si="4"/>
        <v>0.7174007544493779</v>
      </c>
      <c r="AH9" s="85">
        <f t="shared" si="5"/>
        <v>2.6359068739464506</v>
      </c>
      <c r="AI9" s="103" t="s">
        <v>443</v>
      </c>
      <c r="AJ9" s="103" t="s">
        <v>671</v>
      </c>
      <c r="AK9" s="387">
        <f>VLOOKUP(A9,RECW!$B$75:$R$84,17,0)</f>
        <v>43.597141265644645</v>
      </c>
      <c r="AL9" s="76"/>
    </row>
    <row r="10" spans="1:38" s="80" customFormat="1" ht="77.25" customHeight="1">
      <c r="A10" s="88" t="str">
        <f>RECW!B81</f>
        <v>Energy Star Clothes Washer (MEF 2.2) - Gas DHW &amp; Electric Dryer</v>
      </c>
      <c r="B10" s="81" t="str">
        <f>VLOOKUP($A10,LookupTable!$A$3:$C$17,2,0)</f>
        <v>Manufacturer, Dealer or Consumer Rebate </v>
      </c>
      <c r="C10" s="81" t="str">
        <f>VLOOKUP(A10,LookupTable!$A$3:$C$17,3,0)</f>
        <v>Residence w/Gas Water Heat and Electric Dryer</v>
      </c>
      <c r="D10" s="81" t="s">
        <v>252</v>
      </c>
      <c r="E10" s="82">
        <f>RECW!E81</f>
        <v>170</v>
      </c>
      <c r="F10" s="82">
        <f>RECW!F81</f>
        <v>-1.11</v>
      </c>
      <c r="G10" s="82">
        <f>RECW!G81</f>
        <v>0</v>
      </c>
      <c r="H10" s="83">
        <f>RECW!C81</f>
        <v>14</v>
      </c>
      <c r="I10" s="83" t="s">
        <v>223</v>
      </c>
      <c r="J10" s="102">
        <f>RECW!D81</f>
        <v>279.0115994411936</v>
      </c>
      <c r="K10" s="102">
        <f>RECW!K81</f>
        <v>300.2862338985846</v>
      </c>
      <c r="L10" s="85">
        <f>RECW!J81</f>
        <v>0.045508481562137604</v>
      </c>
      <c r="M10" s="90">
        <f>RECW!L81</f>
        <v>0.004444692121898774</v>
      </c>
      <c r="N10" s="89">
        <f>RECW!N81/RECW!$K81</f>
        <v>0.5661266387999682</v>
      </c>
      <c r="O10" s="89">
        <f>RECW!O81/RECW!$K81</f>
        <v>-0.03712505772767325</v>
      </c>
      <c r="P10" s="89">
        <f>RECW!P81/RECW!$K81</f>
        <v>0</v>
      </c>
      <c r="Q10" s="89">
        <f>RECW!N81/RECW!$K81</f>
        <v>0.5661266387999682</v>
      </c>
      <c r="R10" s="84">
        <f>RECW!S81/RECW!K81</f>
        <v>0.33956670886293616</v>
      </c>
      <c r="S10" s="84">
        <f>RECW!T81/RECW!K81</f>
        <v>0.0004466555649237442</v>
      </c>
      <c r="T10" s="84">
        <f>RECW!U81/RECW!K81</f>
        <v>0.043174351808390736</v>
      </c>
      <c r="U10" s="84">
        <f>SUM(R10:T10)</f>
        <v>0.38318771623625064</v>
      </c>
      <c r="V10" s="84">
        <f>U10-Q10</f>
        <v>-0.18293892256371752</v>
      </c>
      <c r="W10" s="85">
        <f>U10/Q10</f>
        <v>0.6768586566576387</v>
      </c>
      <c r="X10" s="85">
        <f>RECW!I81</f>
        <v>0.2572470841013095</v>
      </c>
      <c r="Y10" s="90">
        <f>RECW!M81</f>
        <v>0.14345717430114746</v>
      </c>
      <c r="Z10" s="85">
        <f>RECW!Y81/RECW!K81</f>
        <v>0.09610855157181507</v>
      </c>
      <c r="AA10" s="84" t="s">
        <v>224</v>
      </c>
      <c r="AB10" s="91" t="s">
        <v>225</v>
      </c>
      <c r="AC10" s="84">
        <f>((1-(RECW!O81))+RECW!Z81)/RECW!K81</f>
        <v>0.9075797367334926</v>
      </c>
      <c r="AD10" s="84">
        <f>RECW!AA81/RECW!K81</f>
        <v>0</v>
      </c>
      <c r="AE10" s="84">
        <f>RECW!N81/RECW!K81</f>
        <v>0.5661266387999682</v>
      </c>
      <c r="AF10" s="84">
        <f>U10+Z10+AC10+AD10</f>
        <v>1.3868760045415582</v>
      </c>
      <c r="AG10" s="84">
        <f>AF10-AE10</f>
        <v>0.8207493657415901</v>
      </c>
      <c r="AH10" s="85">
        <f>AF10/AE10</f>
        <v>2.449762843665777</v>
      </c>
      <c r="AI10" s="103" t="s">
        <v>443</v>
      </c>
      <c r="AJ10" s="103" t="s">
        <v>671</v>
      </c>
      <c r="AK10" s="387">
        <f>VLOOKUP(A10,RECW!$B$75:$R$84,17,0)</f>
        <v>52.5910375303238</v>
      </c>
      <c r="AL10" s="76"/>
    </row>
    <row r="11" spans="1:38" ht="67.5">
      <c r="A11" s="88" t="str">
        <f>RECW!B82</f>
        <v>Energy Star Clothes Washer (MEF 2.2) - Weighted Average DHW &amp; Dryer</v>
      </c>
      <c r="B11" s="81" t="str">
        <f>VLOOKUP($A11,LookupTable!$A$3:$C$17,2,0)</f>
        <v>Manufacturer, Dealer or Consumer Rebate </v>
      </c>
      <c r="C11" s="81" t="str">
        <f>VLOOKUP(A11,LookupTable!$A$3:$C$17,3,0)</f>
        <v>Weighted Averaga All PNW Residences</v>
      </c>
      <c r="D11" s="81" t="s">
        <v>252</v>
      </c>
      <c r="E11" s="82">
        <f>RECW!E82</f>
        <v>170</v>
      </c>
      <c r="F11" s="82">
        <f>RECW!F82</f>
        <v>-0.66</v>
      </c>
      <c r="G11" s="82">
        <f>RECW!G82</f>
        <v>0</v>
      </c>
      <c r="H11" s="83">
        <f>RECW!C82</f>
        <v>14</v>
      </c>
      <c r="I11" s="83" t="s">
        <v>223</v>
      </c>
      <c r="J11" s="102">
        <f>RECW!D82</f>
        <v>287.050102248106</v>
      </c>
      <c r="K11" s="102">
        <f>RECW!K82</f>
        <v>308.9376725445241</v>
      </c>
      <c r="L11" s="85">
        <f>RECW!J82</f>
        <v>0.045683905482292175</v>
      </c>
      <c r="M11" s="90">
        <f>RECW!L82</f>
        <v>0.004725618983242496</v>
      </c>
      <c r="N11" s="89">
        <f>RECW!N82/RECW!$K82</f>
        <v>0.5502729235794522</v>
      </c>
      <c r="O11" s="89">
        <f>RECW!O82/RECW!$K82</f>
        <v>-0.021603060948102996</v>
      </c>
      <c r="P11" s="89">
        <f>RECW!P82/RECW!$K82</f>
        <v>0</v>
      </c>
      <c r="Q11" s="89">
        <f>RECW!N82/RECW!$K82</f>
        <v>0.5502729235794522</v>
      </c>
      <c r="R11" s="84">
        <f>RECW!S82/RECW!K82</f>
        <v>0.3395755372101592</v>
      </c>
      <c r="S11" s="84">
        <f>RECW!T82/RECW!K82</f>
        <v>0.0004615878062887588</v>
      </c>
      <c r="T11" s="84">
        <f>RECW!U82/RECW!K82</f>
        <v>0.04331224767181763</v>
      </c>
      <c r="U11" s="84">
        <f>SUM(R11:T11)</f>
        <v>0.3833493726882656</v>
      </c>
      <c r="V11" s="84">
        <f>U11-Q11</f>
        <v>-0.16692355089118666</v>
      </c>
      <c r="W11" s="85">
        <f>U11/Q11</f>
        <v>0.6966531629334565</v>
      </c>
      <c r="X11" s="85">
        <f>RECW!I82</f>
        <v>0.2535567055429823</v>
      </c>
      <c r="Y11" s="90">
        <f>RECW!M82</f>
        <v>0.1497713327407837</v>
      </c>
      <c r="Z11" s="85">
        <f>RECW!Y82/RECW!K82</f>
        <v>0.09752884035997572</v>
      </c>
      <c r="AA11" s="84" t="s">
        <v>224</v>
      </c>
      <c r="AB11" s="91" t="s">
        <v>225</v>
      </c>
      <c r="AC11" s="84">
        <f>((1-(RECW!O82))+RECW!Z82)/RECW!K82</f>
        <v>0.8676816734565466</v>
      </c>
      <c r="AD11" s="84">
        <f>RECW!AA82/RECW!K82</f>
        <v>0</v>
      </c>
      <c r="AE11" s="84">
        <f>RECW!N82/RECW!K82</f>
        <v>0.5502729235794522</v>
      </c>
      <c r="AF11" s="84">
        <f>U11+Z11+AC11+AD11</f>
        <v>1.3485598865047879</v>
      </c>
      <c r="AG11" s="84">
        <f>AF11-AE11</f>
        <v>0.7982869629253356</v>
      </c>
      <c r="AH11" s="85">
        <f>AF11/AE11</f>
        <v>2.450710963084618</v>
      </c>
      <c r="AI11" s="103" t="s">
        <v>443</v>
      </c>
      <c r="AJ11" s="103" t="s">
        <v>671</v>
      </c>
      <c r="AK11" s="387">
        <f>VLOOKUP(A11,RECW!$B$75:$R$84,17,0)</f>
        <v>54.44387750130586</v>
      </c>
      <c r="AL11" s="76"/>
    </row>
    <row r="12" spans="1:37" ht="67.5">
      <c r="A12" s="88" t="str">
        <f>RECW!B83</f>
        <v>Energy Star Clothes Washer (MEF 2.2) - Electric DHW/Gas Dryer</v>
      </c>
      <c r="B12" s="81" t="str">
        <f>VLOOKUP($A12,LookupTable!$A$3:$C$17,2,0)</f>
        <v>Manufacturer, Dealer or Consumer Rebate </v>
      </c>
      <c r="C12" s="81" t="str">
        <f>VLOOKUP(A12,LookupTable!$A$3:$C$17,3,0)</f>
        <v>Residence w/Electric Water Heat and Gas Dryer</v>
      </c>
      <c r="D12" s="81" t="s">
        <v>252</v>
      </c>
      <c r="E12" s="82">
        <f>RECW!E83</f>
        <v>170</v>
      </c>
      <c r="F12" s="82">
        <f>F11</f>
        <v>-0.66</v>
      </c>
      <c r="G12" s="82">
        <f>RECW!G83</f>
        <v>0</v>
      </c>
      <c r="H12" s="83">
        <f>RECW!C83</f>
        <v>14</v>
      </c>
      <c r="I12" s="83" t="s">
        <v>223</v>
      </c>
      <c r="J12" s="102">
        <f>RECW!D83</f>
        <v>116.0073095131402</v>
      </c>
      <c r="K12" s="102">
        <f>RECW!K83</f>
        <v>124.85286686351714</v>
      </c>
      <c r="L12" s="85">
        <f>RECW!J83</f>
        <v>0.07571936398744583</v>
      </c>
      <c r="M12" s="90">
        <f>RECW!L83</f>
        <v>0.0024980314030726225</v>
      </c>
      <c r="N12" s="89">
        <f>RECW!N83/RECW!$K83</f>
        <v>1.3616029855425125</v>
      </c>
      <c r="O12" s="89">
        <f>O11</f>
        <v>-0.021603060948102996</v>
      </c>
      <c r="P12" s="89">
        <f>RECW!P83/RECW!$K83</f>
        <v>0</v>
      </c>
      <c r="Q12" s="89">
        <f>RECW!Q83/RECW!$K83</f>
        <v>1.3616029394296054</v>
      </c>
      <c r="R12" s="84">
        <f>RECW!S83/RECW!K83</f>
        <v>0.3391237694390352</v>
      </c>
      <c r="S12" s="84">
        <f>RECW!T83/RECW!K83</f>
        <v>0.000603762150982844</v>
      </c>
      <c r="T12" s="84">
        <f>RECW!U83/RECW!K83</f>
        <v>0.04343739725971845</v>
      </c>
      <c r="U12" s="84">
        <f>SUM(R12:T12)</f>
        <v>0.3831649288497365</v>
      </c>
      <c r="V12" s="84">
        <f>U12-Q12</f>
        <v>-0.9784380105798689</v>
      </c>
      <c r="W12" s="85">
        <f>U12/Q12</f>
        <v>0.28140724270928036</v>
      </c>
      <c r="X12" s="85">
        <f>RECW!I83</f>
        <v>0.2766107259400053</v>
      </c>
      <c r="Y12" s="90">
        <f>RECW!M83</f>
        <v>0.061547040939331055</v>
      </c>
      <c r="Z12" s="85">
        <f>RECW!Y83/RECW!K83</f>
        <v>0.0991708152826328</v>
      </c>
      <c r="AA12" s="84" t="s">
        <v>224</v>
      </c>
      <c r="AB12" s="91" t="s">
        <v>225</v>
      </c>
      <c r="AC12" s="84">
        <f>((1-(RECW!O83))+RECW!Z83)/RECW!K83</f>
        <v>2.319114744824003</v>
      </c>
      <c r="AD12" s="84">
        <f>RECW!AA83/RECW!K83</f>
        <v>0</v>
      </c>
      <c r="AE12" s="84">
        <f>RECW!N83/RECW!K83</f>
        <v>1.3616029855425125</v>
      </c>
      <c r="AF12" s="84">
        <f>U12+Z12+AC12+AD12</f>
        <v>2.8014504889563723</v>
      </c>
      <c r="AG12" s="84">
        <f>AF12-AE12</f>
        <v>1.4398475034138598</v>
      </c>
      <c r="AH12" s="85">
        <f>AF12/AE12</f>
        <v>2.0574650016944345</v>
      </c>
      <c r="AI12" s="103" t="s">
        <v>443</v>
      </c>
      <c r="AJ12" s="103" t="s">
        <v>671</v>
      </c>
      <c r="AK12" s="387">
        <f>VLOOKUP(A12,RECW!$B$75:$R$84,17,0)</f>
        <v>135.3646473050243</v>
      </c>
    </row>
    <row r="13" spans="1:37" ht="67.5">
      <c r="A13" s="88" t="str">
        <f>RECW!B84</f>
        <v>Energy Star Clothes Washer (MEF 2.2) - Gas DHW &amp; Dryer</v>
      </c>
      <c r="B13" s="81" t="str">
        <f>VLOOKUP($A13,LookupTable!$A$3:$C$17,2,0)</f>
        <v>Manufacturer, Dealer or Consumer Rebate </v>
      </c>
      <c r="C13" s="81" t="str">
        <f>VLOOKUP(A13,LookupTable!$A$3:$C$17,3,0)</f>
        <v>Residence w/Gas Water Heat and Gas Dryer</v>
      </c>
      <c r="D13" s="81" t="s">
        <v>252</v>
      </c>
      <c r="E13" s="82">
        <f>RECW!E84</f>
        <v>170</v>
      </c>
      <c r="F13" s="82">
        <f>F12</f>
        <v>-0.66</v>
      </c>
      <c r="G13" s="82">
        <f>RECW!G84</f>
        <v>0</v>
      </c>
      <c r="H13" s="83">
        <f>RECW!C84</f>
        <v>14</v>
      </c>
      <c r="I13" s="83" t="s">
        <v>223</v>
      </c>
      <c r="J13" s="102">
        <f>RECW!D84</f>
        <v>34.82812393546609</v>
      </c>
      <c r="K13" s="102">
        <f>RECW!K84</f>
        <v>37.483768385545375</v>
      </c>
      <c r="L13" s="85">
        <f>RECW!J84</f>
        <v>0.182284414768219</v>
      </c>
      <c r="M13" s="90">
        <f>RECW!L84</f>
        <v>0.0011255119779576257</v>
      </c>
      <c r="N13" s="89">
        <f>RECW!N84/RECW!$K84</f>
        <v>4.5352973726212324</v>
      </c>
      <c r="O13" s="89">
        <f>O12</f>
        <v>-0.021603060948102996</v>
      </c>
      <c r="P13" s="89">
        <f>RECW!P84/RECW!$K84</f>
        <v>0</v>
      </c>
      <c r="Q13" s="89">
        <f>RECW!Q84/RECW!$K84</f>
        <v>4.237884957549157</v>
      </c>
      <c r="R13" s="84">
        <f>RECW!S84/RECW!K84</f>
        <v>0.33735657239176375</v>
      </c>
      <c r="S13" s="84">
        <f>RECW!T84/RECW!K84</f>
        <v>0.0009060942113481012</v>
      </c>
      <c r="T13" s="84">
        <f>RECW!U84/RECW!K84</f>
        <v>0.041915649611576795</v>
      </c>
      <c r="U13" s="84">
        <f>SUM(R13:T13)</f>
        <v>0.3801783162146886</v>
      </c>
      <c r="V13" s="84">
        <f>U13-Q13</f>
        <v>-3.857706641334468</v>
      </c>
      <c r="W13" s="85">
        <f>U13/Q13</f>
        <v>0.0897094470526997</v>
      </c>
      <c r="X13" s="85">
        <f>RECW!I84</f>
        <v>0.4132236255248939</v>
      </c>
      <c r="Y13" s="90">
        <f>RECW!M84</f>
        <v>0.015796391293406487</v>
      </c>
      <c r="Z13" s="85">
        <f>RECW!Y84/RECW!K84</f>
        <v>0.0847793057933072</v>
      </c>
      <c r="AA13" s="84" t="s">
        <v>224</v>
      </c>
      <c r="AB13" s="91" t="s">
        <v>225</v>
      </c>
      <c r="AC13" s="84">
        <f>((1-(RECW!O84))+RECW!Z84)/RECW!K84</f>
        <v>8.319425136922142</v>
      </c>
      <c r="AD13" s="84">
        <f>RECW!AA84/RECW!K84</f>
        <v>0</v>
      </c>
      <c r="AE13" s="84">
        <f>RECW!N84/RECW!K84</f>
        <v>4.5352973726212324</v>
      </c>
      <c r="AF13" s="84">
        <f>U13+Z13+AC13+AD13</f>
        <v>8.784382758930137</v>
      </c>
      <c r="AG13" s="84">
        <f>AF13-AE13</f>
        <v>4.249085386308905</v>
      </c>
      <c r="AH13" s="85">
        <f>AF13/AE13</f>
        <v>1.936892344030154</v>
      </c>
      <c r="AI13" s="103" t="s">
        <v>443</v>
      </c>
      <c r="AJ13" s="103" t="s">
        <v>671</v>
      </c>
      <c r="AK13" s="387">
        <f>VLOOKUP(A13,RECW!$B$75:$R$84,17,0)</f>
        <v>421.3120845899252</v>
      </c>
    </row>
    <row r="36" ht="22.5">
      <c r="A36" s="88" t="s">
        <v>39</v>
      </c>
    </row>
    <row r="37" ht="22.5">
      <c r="A37" s="88" t="s">
        <v>41</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88</v>
      </c>
      <c r="B1" s="2"/>
      <c r="C1"/>
      <c r="D1" s="25" t="s">
        <v>89</v>
      </c>
      <c r="E1" s="25"/>
      <c r="F1" s="26"/>
      <c r="G1" s="27"/>
      <c r="H1" s="26"/>
      <c r="I1" s="26"/>
      <c r="J1"/>
      <c r="K1"/>
    </row>
    <row r="2" spans="1:11" ht="15" customHeight="1">
      <c r="A2" s="17" t="s">
        <v>90</v>
      </c>
      <c r="B2" s="18">
        <v>14</v>
      </c>
      <c r="C2" s="4"/>
      <c r="D2" s="17"/>
      <c r="E2" s="17"/>
      <c r="F2" s="28" t="s">
        <v>107</v>
      </c>
      <c r="G2" s="28" t="s">
        <v>108</v>
      </c>
      <c r="H2" s="28" t="s">
        <v>109</v>
      </c>
      <c r="I2" s="28" t="s">
        <v>91</v>
      </c>
      <c r="J2"/>
      <c r="K2"/>
    </row>
    <row r="3" spans="1:11" ht="15" customHeight="1">
      <c r="A3" s="17" t="s">
        <v>92</v>
      </c>
      <c r="B3" s="18">
        <v>2001</v>
      </c>
      <c r="C3" s="4"/>
      <c r="D3" s="17" t="s">
        <v>93</v>
      </c>
      <c r="E3" s="17"/>
      <c r="F3" s="19">
        <v>0.07</v>
      </c>
      <c r="G3" s="19">
        <v>0.05</v>
      </c>
      <c r="H3" s="19">
        <v>0.0475</v>
      </c>
      <c r="I3" s="19">
        <v>0.05</v>
      </c>
      <c r="J3"/>
      <c r="K3"/>
    </row>
    <row r="4" spans="1:11" ht="15" customHeight="1">
      <c r="A4" s="17" t="s">
        <v>94</v>
      </c>
      <c r="B4" s="18">
        <v>2000</v>
      </c>
      <c r="C4" s="4"/>
      <c r="D4" s="17" t="s">
        <v>95</v>
      </c>
      <c r="E4" s="17"/>
      <c r="F4" s="18">
        <v>10</v>
      </c>
      <c r="G4" s="18">
        <v>10</v>
      </c>
      <c r="H4" s="18">
        <v>15</v>
      </c>
      <c r="I4" s="18">
        <v>1</v>
      </c>
      <c r="J4"/>
      <c r="K4"/>
    </row>
    <row r="5" spans="1:11" ht="15" customHeight="1">
      <c r="A5" s="17" t="s">
        <v>96</v>
      </c>
      <c r="B5" s="18">
        <v>2000</v>
      </c>
      <c r="C5" s="4"/>
      <c r="D5" s="17" t="s">
        <v>110</v>
      </c>
      <c r="E5" s="17"/>
      <c r="F5" s="20">
        <v>0</v>
      </c>
      <c r="G5" s="20">
        <v>0</v>
      </c>
      <c r="H5" s="20">
        <v>1</v>
      </c>
      <c r="I5" s="29"/>
      <c r="J5"/>
      <c r="K5"/>
    </row>
    <row r="6" spans="1:11" ht="15" customHeight="1">
      <c r="A6" s="17" t="s">
        <v>97</v>
      </c>
      <c r="B6" s="19">
        <v>0.0475</v>
      </c>
      <c r="C6" s="4"/>
      <c r="D6" s="5"/>
      <c r="E6" s="5"/>
      <c r="F6" s="5"/>
      <c r="G6" s="5"/>
      <c r="H6" s="5"/>
      <c r="I6" s="5"/>
      <c r="J6"/>
      <c r="K6"/>
    </row>
    <row r="7" spans="1:11" ht="15" customHeight="1">
      <c r="A7" s="17" t="s">
        <v>98</v>
      </c>
      <c r="B7" s="20">
        <v>0</v>
      </c>
      <c r="C7" s="4"/>
      <c r="D7" s="6" t="s">
        <v>99</v>
      </c>
      <c r="E7" s="6"/>
      <c r="F7" s="16" t="b">
        <v>1</v>
      </c>
      <c r="G7" s="5"/>
      <c r="H7" s="5"/>
      <c r="I7"/>
      <c r="K7"/>
    </row>
    <row r="8" spans="1:11" ht="15" customHeight="1">
      <c r="A8" s="17" t="s">
        <v>100</v>
      </c>
      <c r="B8" s="20">
        <v>0</v>
      </c>
      <c r="C8" s="4"/>
      <c r="D8" s="30" t="s">
        <v>253</v>
      </c>
      <c r="E8" s="31" t="b">
        <v>0</v>
      </c>
      <c r="F8" s="16"/>
      <c r="G8" s="5"/>
      <c r="H8" s="5"/>
      <c r="I8"/>
      <c r="J8"/>
      <c r="K8"/>
    </row>
    <row r="9" spans="1:11" ht="15" customHeight="1">
      <c r="A9" s="17" t="s">
        <v>111</v>
      </c>
      <c r="B9" s="21">
        <v>1</v>
      </c>
      <c r="C9" s="4"/>
      <c r="D9" s="92" t="s">
        <v>215</v>
      </c>
      <c r="E9" s="31" t="b">
        <v>1</v>
      </c>
      <c r="F9"/>
      <c r="G9" s="5"/>
      <c r="H9" s="5"/>
      <c r="I9"/>
      <c r="J9"/>
      <c r="K9"/>
    </row>
    <row r="10" spans="1:10" ht="15" customHeight="1">
      <c r="A10" s="17" t="s">
        <v>112</v>
      </c>
      <c r="B10" s="21">
        <v>0</v>
      </c>
      <c r="C10" s="4"/>
      <c r="D10" s="30" t="s">
        <v>435</v>
      </c>
      <c r="E10" s="32" t="b">
        <v>0</v>
      </c>
      <c r="F10" s="8"/>
      <c r="G10" s="9"/>
      <c r="H10" s="5"/>
      <c r="I10"/>
      <c r="J10"/>
    </row>
    <row r="11" spans="1:11" s="10" customFormat="1" ht="15" customHeight="1">
      <c r="A11" s="87" t="s">
        <v>113</v>
      </c>
      <c r="B11" s="21">
        <v>0</v>
      </c>
      <c r="C11" s="4"/>
      <c r="D11" s="30" t="s">
        <v>436</v>
      </c>
      <c r="E11" s="32" t="b">
        <v>0</v>
      </c>
      <c r="F11" s="5"/>
      <c r="G11" s="5"/>
      <c r="H11" s="5"/>
      <c r="I11"/>
      <c r="J11"/>
      <c r="K11" s="3"/>
    </row>
    <row r="12" spans="1:10" ht="15" customHeight="1">
      <c r="A12" s="17" t="s">
        <v>114</v>
      </c>
      <c r="B12" s="18">
        <v>14</v>
      </c>
      <c r="C12" s="4"/>
      <c r="D12" s="30" t="s">
        <v>437</v>
      </c>
      <c r="E12" s="32" t="b">
        <v>0</v>
      </c>
      <c r="F12" s="4"/>
      <c r="G12" s="5"/>
      <c r="H12" s="5"/>
      <c r="I12"/>
      <c r="J12" s="11"/>
    </row>
    <row r="13" spans="1:9" ht="15" customHeight="1">
      <c r="A13" s="34" t="s">
        <v>116</v>
      </c>
      <c r="B13" s="20">
        <v>0.025</v>
      </c>
      <c r="C13" s="4"/>
      <c r="D13" s="17" t="s">
        <v>46</v>
      </c>
      <c r="E13" s="33" t="b">
        <v>0</v>
      </c>
      <c r="F13" s="4"/>
      <c r="G13" s="5"/>
      <c r="H13" s="5"/>
      <c r="I13"/>
    </row>
    <row r="14" spans="1:9" ht="15" customHeight="1">
      <c r="A14" s="34" t="s">
        <v>115</v>
      </c>
      <c r="B14" s="22">
        <v>3</v>
      </c>
      <c r="C14" s="4"/>
      <c r="D14" s="17" t="s">
        <v>438</v>
      </c>
      <c r="E14" s="33" t="b">
        <v>0</v>
      </c>
      <c r="F14" s="5"/>
      <c r="G14" s="5"/>
      <c r="H14" s="5"/>
      <c r="I14"/>
    </row>
    <row r="15" spans="1:9" ht="14.25">
      <c r="A15" s="34" t="s">
        <v>117</v>
      </c>
      <c r="B15" s="20">
        <v>0.05</v>
      </c>
      <c r="C15" s="4"/>
      <c r="D15" s="17" t="s">
        <v>680</v>
      </c>
      <c r="E15" s="33" t="b">
        <v>0</v>
      </c>
      <c r="F15" s="5"/>
      <c r="G15" s="13"/>
      <c r="H15" s="5"/>
      <c r="I15"/>
    </row>
    <row r="16" spans="1:9" ht="14.25">
      <c r="A16" s="34" t="s">
        <v>118</v>
      </c>
      <c r="B16" s="22">
        <v>20</v>
      </c>
      <c r="C16" s="4"/>
      <c r="D16" s="17"/>
      <c r="E16" s="33" t="b">
        <v>0</v>
      </c>
      <c r="F16" s="4"/>
      <c r="G16" s="5"/>
      <c r="H16" s="5"/>
      <c r="I16" s="5"/>
    </row>
    <row r="17" spans="1:9" ht="14.25">
      <c r="A17" s="17" t="s">
        <v>101</v>
      </c>
      <c r="B17" s="23">
        <v>0</v>
      </c>
      <c r="C17" s="4"/>
      <c r="D17" s="17"/>
      <c r="E17" s="33" t="b">
        <v>0</v>
      </c>
      <c r="F17" s="4"/>
      <c r="G17" s="5"/>
      <c r="H17"/>
      <c r="I17" s="5"/>
    </row>
    <row r="18" spans="1:9" ht="14.25">
      <c r="A18" s="17" t="s">
        <v>102</v>
      </c>
      <c r="B18" s="24">
        <v>0.1</v>
      </c>
      <c r="C18" s="4"/>
      <c r="D18" s="5"/>
      <c r="E18" s="5"/>
      <c r="F18" s="4"/>
      <c r="G18" s="5"/>
      <c r="H18" s="5"/>
      <c r="I18" s="5"/>
    </row>
    <row r="19" spans="1:9" ht="15" customHeight="1">
      <c r="A19" s="17" t="s">
        <v>103</v>
      </c>
      <c r="B19" s="24">
        <v>0.2</v>
      </c>
      <c r="C19"/>
      <c r="D19"/>
      <c r="E19"/>
      <c r="F19" s="5"/>
      <c r="G19" s="5"/>
      <c r="H19" s="5"/>
      <c r="I19" s="5"/>
    </row>
    <row r="20" spans="1:9" ht="15" customHeight="1">
      <c r="A20" s="17" t="s">
        <v>104</v>
      </c>
      <c r="B20" s="35">
        <v>0.25</v>
      </c>
      <c r="C20"/>
      <c r="D20"/>
      <c r="E20"/>
      <c r="F20" s="5"/>
      <c r="G20" s="5"/>
      <c r="H20" s="5"/>
      <c r="I20" s="5"/>
    </row>
    <row r="21" spans="1:9" ht="37.5" customHeight="1">
      <c r="A21" s="17" t="s">
        <v>105</v>
      </c>
      <c r="B21" s="393" t="s">
        <v>674</v>
      </c>
      <c r="C21" s="394"/>
      <c r="D21" s="395"/>
      <c r="E21" s="12"/>
      <c r="F21" s="5"/>
      <c r="G21" s="5"/>
      <c r="H21" s="14"/>
      <c r="I21" s="5"/>
    </row>
    <row r="22" spans="1:9" ht="14.25">
      <c r="A22" s="34" t="s">
        <v>87</v>
      </c>
      <c r="B22" s="7" t="s">
        <v>673</v>
      </c>
      <c r="C22" s="4"/>
      <c r="D22" s="4"/>
      <c r="E22" s="4"/>
      <c r="F22" s="5"/>
      <c r="G22" s="5"/>
      <c r="H22" s="5"/>
      <c r="I22" s="5"/>
    </row>
    <row r="23" spans="1:9" ht="14.25">
      <c r="A23" s="17" t="s">
        <v>106</v>
      </c>
      <c r="B23" s="7" t="s">
        <v>255</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AO564"/>
  <sheetViews>
    <sheetView zoomScale="75" zoomScaleNormal="75" workbookViewId="0" topLeftCell="E52">
      <selection activeCell="K99" sqref="K99"/>
    </sheetView>
  </sheetViews>
  <sheetFormatPr defaultColWidth="9.140625" defaultRowHeight="12.75"/>
  <cols>
    <col min="1" max="1" width="65.7109375" style="0" customWidth="1"/>
    <col min="2" max="2" width="93.28125" style="0" customWidth="1"/>
    <col min="4" max="4" width="10.421875" style="0" bestFit="1" customWidth="1"/>
    <col min="7" max="7" width="12.00390625" style="0" customWidth="1"/>
    <col min="11" max="11" width="9.28125" style="0" bestFit="1" customWidth="1"/>
    <col min="15" max="15" width="11.00390625" style="0" customWidth="1"/>
    <col min="22" max="22" width="12.28125" style="0" customWidth="1"/>
  </cols>
  <sheetData>
    <row r="1" spans="1:14" ht="14.25">
      <c r="A1" s="36" t="s">
        <v>214</v>
      </c>
      <c r="B1" s="37"/>
      <c r="C1" s="37"/>
      <c r="D1" s="37"/>
      <c r="E1" s="37"/>
      <c r="F1" s="37"/>
      <c r="G1" s="37"/>
      <c r="H1" s="37"/>
      <c r="I1" s="38"/>
      <c r="J1" s="38"/>
      <c r="K1" s="38"/>
      <c r="L1" s="38"/>
      <c r="M1" s="38"/>
      <c r="N1" s="39"/>
    </row>
    <row r="2" spans="1:14" ht="12.75">
      <c r="A2" s="37" t="s">
        <v>215</v>
      </c>
      <c r="B2" s="37"/>
      <c r="C2" s="37"/>
      <c r="D2" s="37"/>
      <c r="E2" s="37"/>
      <c r="F2" s="37"/>
      <c r="G2" s="37" t="s">
        <v>256</v>
      </c>
      <c r="H2" s="99">
        <v>440.798919677734</v>
      </c>
      <c r="I2" s="38"/>
      <c r="J2" s="38"/>
      <c r="K2" s="38"/>
      <c r="L2" s="38"/>
      <c r="M2" s="38"/>
      <c r="N2" s="39"/>
    </row>
    <row r="3" spans="1:14" ht="12.75">
      <c r="A3" s="37"/>
      <c r="B3" s="37"/>
      <c r="C3" s="37"/>
      <c r="D3" s="37"/>
      <c r="E3" s="37"/>
      <c r="F3" s="37"/>
      <c r="G3" s="37" t="s">
        <v>257</v>
      </c>
      <c r="H3" s="37"/>
      <c r="I3" s="38"/>
      <c r="J3" s="38"/>
      <c r="K3" s="38"/>
      <c r="L3" s="38"/>
      <c r="M3" s="38"/>
      <c r="N3" s="39"/>
    </row>
    <row r="4" spans="1:16" ht="12.75">
      <c r="A4" s="40" t="s">
        <v>119</v>
      </c>
      <c r="B4" s="41"/>
      <c r="C4" s="42"/>
      <c r="D4" s="42"/>
      <c r="E4" s="42"/>
      <c r="F4" s="42"/>
      <c r="G4" s="42"/>
      <c r="H4" s="43"/>
      <c r="I4" s="44" t="s">
        <v>120</v>
      </c>
      <c r="J4" s="45"/>
      <c r="K4" s="45"/>
      <c r="L4" s="45"/>
      <c r="M4" s="45"/>
      <c r="N4" s="45"/>
      <c r="O4" s="396" t="s">
        <v>254</v>
      </c>
      <c r="P4" s="397"/>
    </row>
    <row r="5" spans="1:16" ht="38.25">
      <c r="A5" s="46" t="s">
        <v>121</v>
      </c>
      <c r="B5" s="46" t="s">
        <v>122</v>
      </c>
      <c r="C5" s="46" t="s">
        <v>216</v>
      </c>
      <c r="D5" s="46" t="s">
        <v>217</v>
      </c>
      <c r="E5" s="46" t="s">
        <v>123</v>
      </c>
      <c r="F5" s="46" t="s">
        <v>124</v>
      </c>
      <c r="G5" s="47" t="s">
        <v>125</v>
      </c>
      <c r="H5" s="47" t="s">
        <v>218</v>
      </c>
      <c r="I5" s="47" t="s">
        <v>126</v>
      </c>
      <c r="J5" s="47" t="s">
        <v>127</v>
      </c>
      <c r="K5" s="47" t="s">
        <v>128</v>
      </c>
      <c r="L5" s="47" t="s">
        <v>129</v>
      </c>
      <c r="M5" s="47" t="s">
        <v>130</v>
      </c>
      <c r="N5" s="47" t="s">
        <v>131</v>
      </c>
      <c r="O5" s="104" t="s">
        <v>86</v>
      </c>
      <c r="P5" s="105" t="s">
        <v>125</v>
      </c>
    </row>
    <row r="6" spans="1:30" ht="12.75" customHeight="1">
      <c r="A6" s="5" t="str">
        <f>'Engineering &amp; Economic Data'!A$4</f>
        <v>Energy Star Clothes Washer (MEF 1.27) - Electric DHW &amp; Dryer </v>
      </c>
      <c r="B6" s="5" t="str">
        <f>A6&amp;" - Washer Savings"</f>
        <v>Energy Star Clothes Washer (MEF 1.27) - Electric DHW &amp; Dryer  - Washer Savings</v>
      </c>
      <c r="C6" s="93">
        <f>'Engineering &amp; Economic Data'!H$4+'Engineering &amp; Economic Data'!F$4</f>
        <v>186.1534982603156</v>
      </c>
      <c r="D6" s="94">
        <f>'Engineering &amp; Economic Data'!E$4</f>
        <v>14</v>
      </c>
      <c r="E6" s="95">
        <f>'Engineering &amp; Economic Data'!B$4</f>
        <v>30</v>
      </c>
      <c r="F6" s="96">
        <v>0</v>
      </c>
      <c r="G6" s="97" t="s">
        <v>219</v>
      </c>
      <c r="H6" s="98">
        <f>'Engineering &amp; Economic Data'!P$4+'Engineering &amp; Economic Data'!Q$4</f>
        <v>22.410942049582538</v>
      </c>
      <c r="P6" s="49"/>
      <c r="Q6" s="49"/>
      <c r="R6" s="49"/>
      <c r="S6" s="49"/>
      <c r="T6" s="49"/>
      <c r="U6" s="49"/>
      <c r="V6" s="49"/>
      <c r="W6" s="49"/>
      <c r="X6" s="49"/>
      <c r="Y6" s="49"/>
      <c r="Z6" s="49"/>
      <c r="AA6" s="49"/>
      <c r="AB6" s="49"/>
      <c r="AC6" s="49"/>
      <c r="AD6" s="49"/>
    </row>
    <row r="7" spans="1:30" ht="12.75" customHeight="1">
      <c r="A7" s="5" t="str">
        <f>'Engineering &amp; Economic Data'!A$4</f>
        <v>Energy Star Clothes Washer (MEF 1.27) - Electric DHW &amp; Dryer </v>
      </c>
      <c r="B7" s="5" t="str">
        <f>A6&amp;" - Dryer Savings"</f>
        <v>Energy Star Clothes Washer (MEF 1.27) - Electric DHW &amp; Dryer  - Dryer Savings</v>
      </c>
      <c r="C7" s="93">
        <f>'Engineering &amp; Economic Data'!G$4</f>
        <v>-2.2649458678262135</v>
      </c>
      <c r="D7" s="94">
        <f>'Engineering &amp; Economic Data'!E$4</f>
        <v>14</v>
      </c>
      <c r="E7" s="95">
        <v>0</v>
      </c>
      <c r="F7" s="96">
        <v>0</v>
      </c>
      <c r="G7" s="100" t="s">
        <v>220</v>
      </c>
      <c r="H7" s="99">
        <v>0</v>
      </c>
      <c r="P7" s="49"/>
      <c r="Q7" s="49"/>
      <c r="R7" s="49"/>
      <c r="S7" s="49"/>
      <c r="T7" s="49"/>
      <c r="U7" s="49"/>
      <c r="V7" s="49"/>
      <c r="W7" s="49"/>
      <c r="X7" s="49"/>
      <c r="Y7" s="49"/>
      <c r="Z7" s="49"/>
      <c r="AA7" s="49"/>
      <c r="AB7" s="49"/>
      <c r="AC7" s="49"/>
      <c r="AD7" s="49"/>
    </row>
    <row r="8" spans="1:30" ht="12.75" customHeight="1">
      <c r="A8" s="5" t="str">
        <f>'Engineering &amp; Economic Data'!A4</f>
        <v>Energy Star Clothes Washer (MEF 1.27) - Electric DHW &amp; Dryer </v>
      </c>
      <c r="B8" s="5" t="str">
        <f>A7&amp;" - Waster Water Treatment Savings"</f>
        <v>Energy Star Clothes Washer (MEF 1.27) - Electric DHW &amp; Dryer  - Waster Water Treatment Savings</v>
      </c>
      <c r="C8" s="93">
        <f>'Engineering &amp; Economic Data'!R$4</f>
        <v>5.127656579873335</v>
      </c>
      <c r="D8" s="94">
        <v>14</v>
      </c>
      <c r="E8" s="95">
        <v>0</v>
      </c>
      <c r="F8" s="96">
        <v>0</v>
      </c>
      <c r="G8" s="100" t="s">
        <v>221</v>
      </c>
      <c r="H8" s="99">
        <v>0</v>
      </c>
      <c r="P8" s="49"/>
      <c r="Q8" s="49"/>
      <c r="R8" s="49"/>
      <c r="S8" s="49"/>
      <c r="T8" s="49"/>
      <c r="U8" s="49"/>
      <c r="V8" s="49"/>
      <c r="W8" s="49"/>
      <c r="X8" s="49"/>
      <c r="Y8" s="49"/>
      <c r="Z8" s="49"/>
      <c r="AA8" s="49"/>
      <c r="AB8" s="49"/>
      <c r="AC8" s="49"/>
      <c r="AD8" s="49"/>
    </row>
    <row r="9" spans="1:30" ht="12.75" customHeight="1">
      <c r="A9" s="5" t="str">
        <f>'Engineering &amp; Economic Data'!A$6</f>
        <v>Energy Star Clothes Washer (MEF 2.2) - Electric DHW &amp; Dryer </v>
      </c>
      <c r="B9" s="5" t="str">
        <f>A9&amp;" - Washer Savings"</f>
        <v>Energy Star Clothes Washer (MEF 2.2) - Electric DHW &amp; Dryer  - Washer Savings</v>
      </c>
      <c r="C9" s="93">
        <f>'Engineering &amp; Economic Data'!H$6+'Engineering &amp; Economic Data'!F$6</f>
        <v>107.31258748639848</v>
      </c>
      <c r="D9" s="94">
        <f>'Engineering &amp; Economic Data'!E$4</f>
        <v>14</v>
      </c>
      <c r="E9" s="95">
        <f>'Engineering &amp; Economic Data'!B$6</f>
        <v>170</v>
      </c>
      <c r="F9" s="96">
        <v>0</v>
      </c>
      <c r="G9" s="97" t="s">
        <v>219</v>
      </c>
      <c r="H9" s="98">
        <f>'Engineering &amp; Economic Data'!P$6+'Engineering &amp; Economic Data'!Q$6</f>
        <v>25.88644924958252</v>
      </c>
      <c r="P9" s="49"/>
      <c r="Q9" s="49"/>
      <c r="R9" s="49"/>
      <c r="S9" s="49"/>
      <c r="T9" s="49"/>
      <c r="U9" s="49"/>
      <c r="V9" s="49"/>
      <c r="W9" s="49"/>
      <c r="X9" s="49"/>
      <c r="Y9" s="49"/>
      <c r="Z9" s="49"/>
      <c r="AA9" s="49"/>
      <c r="AB9" s="49"/>
      <c r="AC9" s="49"/>
      <c r="AD9" s="49"/>
    </row>
    <row r="10" spans="1:30" ht="12.75" customHeight="1">
      <c r="A10" s="5" t="str">
        <f>'Engineering &amp; Economic Data'!A$6</f>
        <v>Energy Star Clothes Washer (MEF 2.2) - Electric DHW &amp; Dryer </v>
      </c>
      <c r="B10" s="5" t="str">
        <f>A9&amp;" - Dryer Savings"</f>
        <v>Energy Star Clothes Washer (MEF 2.2) - Electric DHW &amp; Dryer  - Dryer Savings</v>
      </c>
      <c r="C10" s="93">
        <f>'Engineering &amp; Economic Data'!G$6</f>
        <v>244.18347550572753</v>
      </c>
      <c r="D10" s="94">
        <f>'Engineering &amp; Economic Data'!E$4</f>
        <v>14</v>
      </c>
      <c r="E10" s="95">
        <v>0</v>
      </c>
      <c r="F10" s="96">
        <v>0</v>
      </c>
      <c r="G10" s="100" t="s">
        <v>220</v>
      </c>
      <c r="H10" s="99">
        <v>0</v>
      </c>
      <c r="P10" s="49"/>
      <c r="Q10" s="49"/>
      <c r="R10" s="49"/>
      <c r="S10" s="49"/>
      <c r="T10" s="49"/>
      <c r="U10" s="49"/>
      <c r="V10" s="49"/>
      <c r="W10" s="49"/>
      <c r="X10" s="49"/>
      <c r="Y10" s="49"/>
      <c r="Z10" s="49"/>
      <c r="AA10" s="49"/>
      <c r="AB10" s="49"/>
      <c r="AC10" s="49"/>
      <c r="AD10" s="49"/>
    </row>
    <row r="11" spans="1:30" ht="12.75" customHeight="1">
      <c r="A11" s="5" t="str">
        <f>'Engineering &amp; Economic Data'!A6</f>
        <v>Energy Star Clothes Washer (MEF 2.2) - Electric DHW &amp; Dryer </v>
      </c>
      <c r="B11" s="5" t="str">
        <f>A10&amp;" - Waster Water Treatment Savings"</f>
        <v>Energy Star Clothes Washer (MEF 2.2) - Electric DHW &amp; Dryer  - Waster Water Treatment Savings</v>
      </c>
      <c r="C11" s="93">
        <f>'Engineering &amp; Economic Data'!R$6</f>
        <v>8.69472202674172</v>
      </c>
      <c r="D11" s="94">
        <v>14</v>
      </c>
      <c r="E11" s="95">
        <v>0</v>
      </c>
      <c r="F11" s="96">
        <v>0</v>
      </c>
      <c r="G11" s="100" t="s">
        <v>221</v>
      </c>
      <c r="H11" s="99">
        <v>0</v>
      </c>
      <c r="P11" s="49"/>
      <c r="Q11" s="49"/>
      <c r="R11" s="49"/>
      <c r="S11" s="49"/>
      <c r="T11" s="49"/>
      <c r="U11" s="49"/>
      <c r="V11" s="49"/>
      <c r="W11" s="49"/>
      <c r="X11" s="49"/>
      <c r="Y11" s="49"/>
      <c r="Z11" s="49"/>
      <c r="AA11" s="49"/>
      <c r="AB11" s="49"/>
      <c r="AC11" s="49"/>
      <c r="AD11" s="49"/>
    </row>
    <row r="12" spans="1:30" ht="12.75" customHeight="1">
      <c r="A12" s="5" t="str">
        <f>'Engineering &amp; Economic Data'!A$7</f>
        <v>Energy Star Clothes Washer (MEF 1.27) - Electric DHW/Gas Dryer</v>
      </c>
      <c r="B12" s="5" t="str">
        <f>A12&amp;" - Washer Savings"</f>
        <v>Energy Star Clothes Washer (MEF 1.27) - Electric DHW/Gas Dryer - Washer Savings</v>
      </c>
      <c r="C12" s="93">
        <f>'Engineering &amp; Economic Data'!H$7+'Engineering &amp; Economic Data'!F$7</f>
        <v>186.1534982603156</v>
      </c>
      <c r="D12" s="94">
        <f>'Engineering &amp; Economic Data'!E$4</f>
        <v>14</v>
      </c>
      <c r="E12" s="95">
        <f>'Engineering &amp; Economic Data'!B$4</f>
        <v>30</v>
      </c>
      <c r="F12" s="96">
        <v>0</v>
      </c>
      <c r="G12" s="97" t="s">
        <v>219</v>
      </c>
      <c r="H12" s="98">
        <f>'Engineering &amp; Economic Data'!P$4+'Engineering &amp; Economic Data'!Q$4</f>
        <v>22.410942049582538</v>
      </c>
      <c r="P12" s="49"/>
      <c r="Q12" s="49"/>
      <c r="R12" s="49"/>
      <c r="S12" s="49"/>
      <c r="T12" s="49"/>
      <c r="U12" s="49"/>
      <c r="V12" s="49"/>
      <c r="W12" s="49"/>
      <c r="X12" s="49"/>
      <c r="Y12" s="49"/>
      <c r="Z12" s="49"/>
      <c r="AA12" s="49"/>
      <c r="AB12" s="49"/>
      <c r="AC12" s="49"/>
      <c r="AD12" s="49"/>
    </row>
    <row r="13" spans="1:30" ht="12.75" customHeight="1">
      <c r="A13" s="5" t="str">
        <f>'Engineering &amp; Economic Data'!A$7</f>
        <v>Energy Star Clothes Washer (MEF 1.27) - Electric DHW/Gas Dryer</v>
      </c>
      <c r="B13" s="5" t="str">
        <f>A12&amp;" - Dryer Savings"</f>
        <v>Energy Star Clothes Washer (MEF 1.27) - Electric DHW/Gas Dryer - Dryer Savings</v>
      </c>
      <c r="C13" s="377">
        <f>'Engineering &amp; Economic Data'!G$7+0.0000000000000001</f>
        <v>1E-16</v>
      </c>
      <c r="D13" s="94">
        <f>'Engineering &amp; Economic Data'!E$4</f>
        <v>14</v>
      </c>
      <c r="E13" s="95">
        <v>0</v>
      </c>
      <c r="F13" s="96">
        <f>-'Engineering &amp; Economic Data'!N7</f>
        <v>0.025969519306463695</v>
      </c>
      <c r="G13" s="100" t="s">
        <v>220</v>
      </c>
      <c r="H13" s="99">
        <v>0</v>
      </c>
      <c r="P13" s="49"/>
      <c r="Q13" s="49"/>
      <c r="R13" s="49"/>
      <c r="S13" s="49"/>
      <c r="T13" s="49"/>
      <c r="U13" s="49"/>
      <c r="V13" s="49"/>
      <c r="W13" s="49"/>
      <c r="X13" s="49"/>
      <c r="Y13" s="49"/>
      <c r="Z13" s="49"/>
      <c r="AA13" s="49"/>
      <c r="AB13" s="49"/>
      <c r="AC13" s="49"/>
      <c r="AD13" s="49"/>
    </row>
    <row r="14" spans="1:30" ht="12.75" customHeight="1">
      <c r="A14" s="5" t="str">
        <f>'Engineering &amp; Economic Data'!A7</f>
        <v>Energy Star Clothes Washer (MEF 1.27) - Electric DHW/Gas Dryer</v>
      </c>
      <c r="B14" s="5" t="str">
        <f>A13&amp;" - Waster Water Treatment Savings"</f>
        <v>Energy Star Clothes Washer (MEF 1.27) - Electric DHW/Gas Dryer - Waster Water Treatment Savings</v>
      </c>
      <c r="C14" s="93">
        <f>'Engineering &amp; Economic Data'!R$4</f>
        <v>5.127656579873335</v>
      </c>
      <c r="D14" s="94">
        <v>14</v>
      </c>
      <c r="E14" s="95">
        <v>0</v>
      </c>
      <c r="F14" s="96">
        <v>0</v>
      </c>
      <c r="G14" s="100" t="s">
        <v>221</v>
      </c>
      <c r="H14" s="99">
        <v>0</v>
      </c>
      <c r="P14" s="49"/>
      <c r="Q14" s="49"/>
      <c r="R14" s="49"/>
      <c r="S14" s="49"/>
      <c r="T14" s="49"/>
      <c r="U14" s="49"/>
      <c r="V14" s="49"/>
      <c r="W14" s="49"/>
      <c r="X14" s="49"/>
      <c r="Y14" s="49"/>
      <c r="Z14" s="49"/>
      <c r="AA14" s="49"/>
      <c r="AB14" s="49"/>
      <c r="AC14" s="49"/>
      <c r="AD14" s="49"/>
    </row>
    <row r="15" spans="1:30" ht="12.75" customHeight="1">
      <c r="A15" s="5" t="str">
        <f>'Engineering &amp; Economic Data'!A$9</f>
        <v>Energy Star Clothes Washer (MEF 2.2) - Electric DHW/Gas Dryer</v>
      </c>
      <c r="B15" s="5" t="str">
        <f>A15&amp;" - Washer Savings"</f>
        <v>Energy Star Clothes Washer (MEF 2.2) - Electric DHW/Gas Dryer - Washer Savings</v>
      </c>
      <c r="C15" s="93">
        <f>'Engineering &amp; Economic Data'!H$9+'Engineering &amp; Economic Data'!F$9</f>
        <v>107.31258748639848</v>
      </c>
      <c r="D15" s="94">
        <v>14</v>
      </c>
      <c r="E15" s="95">
        <f>'Engineering &amp; Economic Data'!B$6</f>
        <v>170</v>
      </c>
      <c r="F15" s="96">
        <v>0</v>
      </c>
      <c r="G15" s="97" t="s">
        <v>219</v>
      </c>
      <c r="H15" s="98">
        <f>'Engineering &amp; Economic Data'!P$6+'Engineering &amp; Economic Data'!Q$6</f>
        <v>25.88644924958252</v>
      </c>
      <c r="P15" s="49"/>
      <c r="Q15" s="49"/>
      <c r="R15" s="49"/>
      <c r="S15" s="49"/>
      <c r="T15" s="49"/>
      <c r="U15" s="49"/>
      <c r="V15" s="49"/>
      <c r="W15" s="49"/>
      <c r="X15" s="49"/>
      <c r="Y15" s="49"/>
      <c r="Z15" s="49"/>
      <c r="AA15" s="49"/>
      <c r="AB15" s="49"/>
      <c r="AC15" s="49"/>
      <c r="AD15" s="49"/>
    </row>
    <row r="16" spans="1:30" ht="12.75" customHeight="1">
      <c r="A16" s="5" t="str">
        <f>'Engineering &amp; Economic Data'!A$9</f>
        <v>Energy Star Clothes Washer (MEF 2.2) - Electric DHW/Gas Dryer</v>
      </c>
      <c r="B16" s="5" t="str">
        <f>A15&amp;" - Dryer Savings"</f>
        <v>Energy Star Clothes Washer (MEF 2.2) - Electric DHW/Gas Dryer - Dryer Savings</v>
      </c>
      <c r="C16" s="93">
        <f>'Engineering &amp; Economic Data'!G$9+0.0000000000000001</f>
        <v>1E-16</v>
      </c>
      <c r="D16" s="94">
        <v>14</v>
      </c>
      <c r="E16" s="95">
        <v>0</v>
      </c>
      <c r="F16" s="96">
        <f>-'Engineering &amp; Economic Data'!N9</f>
        <v>-2.799769995188292</v>
      </c>
      <c r="G16" s="100" t="s">
        <v>220</v>
      </c>
      <c r="H16" s="99">
        <v>0</v>
      </c>
      <c r="P16" s="49"/>
      <c r="Q16" s="49"/>
      <c r="R16" s="49"/>
      <c r="S16" s="49"/>
      <c r="T16" s="49"/>
      <c r="U16" s="49"/>
      <c r="V16" s="49"/>
      <c r="W16" s="49"/>
      <c r="X16" s="49"/>
      <c r="Y16" s="49"/>
      <c r="Z16" s="49"/>
      <c r="AA16" s="49"/>
      <c r="AB16" s="49"/>
      <c r="AC16" s="49"/>
      <c r="AD16" s="49"/>
    </row>
    <row r="17" spans="1:30" ht="12.75" customHeight="1">
      <c r="A17" s="5" t="str">
        <f>'Engineering &amp; Economic Data'!A9</f>
        <v>Energy Star Clothes Washer (MEF 2.2) - Electric DHW/Gas Dryer</v>
      </c>
      <c r="B17" s="5" t="str">
        <f>A16&amp;" - Waster Water Treatment Savings"</f>
        <v>Energy Star Clothes Washer (MEF 2.2) - Electric DHW/Gas Dryer - Waster Water Treatment Savings</v>
      </c>
      <c r="C17" s="93">
        <f>'Engineering &amp; Economic Data'!R$6</f>
        <v>8.69472202674172</v>
      </c>
      <c r="D17" s="94">
        <v>14</v>
      </c>
      <c r="E17" s="95">
        <v>0</v>
      </c>
      <c r="F17" s="96">
        <v>0</v>
      </c>
      <c r="G17" s="100" t="s">
        <v>221</v>
      </c>
      <c r="H17" s="99">
        <v>0</v>
      </c>
      <c r="P17" s="49"/>
      <c r="Q17" s="49"/>
      <c r="R17" s="49"/>
      <c r="S17" s="49"/>
      <c r="T17" s="49"/>
      <c r="U17" s="49"/>
      <c r="V17" s="49"/>
      <c r="W17" s="49"/>
      <c r="X17" s="49"/>
      <c r="Y17" s="49"/>
      <c r="Z17" s="49"/>
      <c r="AA17" s="49"/>
      <c r="AB17" s="49"/>
      <c r="AC17" s="49"/>
      <c r="AD17" s="49"/>
    </row>
    <row r="18" spans="1:30" ht="12.75" customHeight="1">
      <c r="A18" s="5" t="str">
        <f>'Engineering &amp; Economic Data'!A$10</f>
        <v>Energy Star Clothes Washer (MEF 1.27) - Gas DHW &amp; Dryer </v>
      </c>
      <c r="B18" s="5" t="str">
        <f>A18&amp;" - Washer Savings"</f>
        <v>Energy Star Clothes Washer (MEF 1.27) - Gas DHW &amp; Dryer  - Washer Savings</v>
      </c>
      <c r="C18" s="93">
        <f>'Engineering &amp; Economic Data'!H$10+'Engineering &amp; Economic Data'!F$10</f>
        <v>75.37875713641895</v>
      </c>
      <c r="D18" s="94">
        <v>14</v>
      </c>
      <c r="E18" s="95">
        <f>'Engineering &amp; Economic Data'!B$4</f>
        <v>30</v>
      </c>
      <c r="F18" s="96">
        <f>-'Engineering &amp; Economic Data'!M10</f>
        <v>-1.512296765823436</v>
      </c>
      <c r="G18" s="97" t="s">
        <v>219</v>
      </c>
      <c r="H18" s="98">
        <f>'Engineering &amp; Economic Data'!P$4+'Engineering &amp; Economic Data'!Q$4</f>
        <v>22.410942049582538</v>
      </c>
      <c r="P18" s="49"/>
      <c r="Q18" s="49"/>
      <c r="R18" s="49"/>
      <c r="S18" s="49"/>
      <c r="T18" s="49"/>
      <c r="U18" s="49"/>
      <c r="V18" s="49"/>
      <c r="W18" s="49"/>
      <c r="X18" s="49"/>
      <c r="Y18" s="49"/>
      <c r="Z18" s="49"/>
      <c r="AA18" s="49"/>
      <c r="AB18" s="49"/>
      <c r="AC18" s="49"/>
      <c r="AD18" s="49"/>
    </row>
    <row r="19" spans="1:30" ht="12.75" customHeight="1">
      <c r="A19" s="5" t="str">
        <f>'Engineering &amp; Economic Data'!A$10</f>
        <v>Energy Star Clothes Washer (MEF 1.27) - Gas DHW &amp; Dryer </v>
      </c>
      <c r="B19" s="5" t="str">
        <f>A18&amp;" - Dryer Savings"</f>
        <v>Energy Star Clothes Washer (MEF 1.27) - Gas DHW &amp; Dryer  - Dryer Savings</v>
      </c>
      <c r="C19" s="93">
        <f>'Engineering &amp; Economic Data'!G$10+0.0000000000000001</f>
        <v>1E-16</v>
      </c>
      <c r="D19" s="94">
        <v>14</v>
      </c>
      <c r="E19" s="95">
        <v>0</v>
      </c>
      <c r="F19" s="96">
        <f>-'Engineering &amp; Economic Data'!N10</f>
        <v>-1.4863272465169726</v>
      </c>
      <c r="G19" s="100" t="s">
        <v>220</v>
      </c>
      <c r="H19" s="99">
        <v>0</v>
      </c>
      <c r="P19" s="49"/>
      <c r="Q19" s="49"/>
      <c r="R19" s="49"/>
      <c r="S19" s="49"/>
      <c r="T19" s="49"/>
      <c r="U19" s="49"/>
      <c r="V19" s="49"/>
      <c r="W19" s="49"/>
      <c r="X19" s="49"/>
      <c r="Y19" s="49"/>
      <c r="Z19" s="49"/>
      <c r="AA19" s="49"/>
      <c r="AB19" s="49"/>
      <c r="AC19" s="49"/>
      <c r="AD19" s="49"/>
    </row>
    <row r="20" spans="1:30" ht="12.75" customHeight="1">
      <c r="A20" s="5" t="str">
        <f>'Engineering &amp; Economic Data'!A10</f>
        <v>Energy Star Clothes Washer (MEF 1.27) - Gas DHW &amp; Dryer </v>
      </c>
      <c r="B20" s="5" t="str">
        <f>A19&amp;" - Waster Water Treatment Savings"</f>
        <v>Energy Star Clothes Washer (MEF 1.27) - Gas DHW &amp; Dryer  - Waster Water Treatment Savings</v>
      </c>
      <c r="C20" s="93">
        <f>'Engineering &amp; Economic Data'!R$4</f>
        <v>5.127656579873335</v>
      </c>
      <c r="D20" s="94">
        <v>14</v>
      </c>
      <c r="E20" s="95">
        <v>0</v>
      </c>
      <c r="F20" s="96">
        <v>0</v>
      </c>
      <c r="G20" s="100" t="s">
        <v>221</v>
      </c>
      <c r="H20" s="99">
        <v>0</v>
      </c>
      <c r="P20" s="49"/>
      <c r="Q20" s="49"/>
      <c r="R20" s="49"/>
      <c r="S20" s="49"/>
      <c r="T20" s="49"/>
      <c r="U20" s="49"/>
      <c r="V20" s="49"/>
      <c r="W20" s="49"/>
      <c r="X20" s="49"/>
      <c r="Y20" s="49"/>
      <c r="Z20" s="49"/>
      <c r="AA20" s="49"/>
      <c r="AB20" s="49"/>
      <c r="AC20" s="49"/>
      <c r="AD20" s="49"/>
    </row>
    <row r="21" spans="1:30" ht="12.75" customHeight="1">
      <c r="A21" s="5" t="str">
        <f>'Engineering &amp; Economic Data'!A$12</f>
        <v>Energy Star Clothes Washer (MEF 2.2) - Gas DHW &amp; Dryer </v>
      </c>
      <c r="B21" s="5" t="str">
        <f>A21&amp;" - Washer Savings"</f>
        <v>Energy Star Clothes Washer (MEF 2.2) - Gas DHW &amp; Dryer  - Washer Savings</v>
      </c>
      <c r="C21" s="93">
        <f>'Engineering &amp; Economic Data'!H$12+'Engineering &amp; Economic Data'!F$12</f>
        <v>26.133401908724366</v>
      </c>
      <c r="D21" s="94">
        <v>14</v>
      </c>
      <c r="E21" s="95">
        <f>'Engineering &amp; Economic Data'!B$6</f>
        <v>170</v>
      </c>
      <c r="F21" s="96">
        <f>-'Engineering &amp; Economic Data'!M12</f>
        <v>-1.1082582415064073</v>
      </c>
      <c r="G21" s="97" t="s">
        <v>219</v>
      </c>
      <c r="H21" s="98">
        <f>'Engineering &amp; Economic Data'!P$6+'Engineering &amp; Economic Data'!Q$6</f>
        <v>25.88644924958252</v>
      </c>
      <c r="P21" s="49"/>
      <c r="Q21" s="49"/>
      <c r="R21" s="49"/>
      <c r="S21" s="49"/>
      <c r="T21" s="49"/>
      <c r="U21" s="49"/>
      <c r="V21" s="49"/>
      <c r="W21" s="49"/>
      <c r="X21" s="49"/>
      <c r="Y21" s="49"/>
      <c r="Z21" s="49"/>
      <c r="AA21" s="49"/>
      <c r="AB21" s="49"/>
      <c r="AC21" s="49"/>
      <c r="AD21" s="49"/>
    </row>
    <row r="22" spans="1:30" ht="12.75" customHeight="1">
      <c r="A22" s="5" t="str">
        <f>'Engineering &amp; Economic Data'!A$12</f>
        <v>Energy Star Clothes Washer (MEF 2.2) - Gas DHW &amp; Dryer </v>
      </c>
      <c r="B22" s="5" t="str">
        <f>A21&amp;" - Dryer Savings"</f>
        <v>Energy Star Clothes Washer (MEF 2.2) - Gas DHW &amp; Dryer  - Dryer Savings</v>
      </c>
      <c r="C22" s="93">
        <f>'Engineering &amp; Economic Data'!G$12+0.0000000000000001</f>
        <v>1E-16</v>
      </c>
      <c r="D22" s="94">
        <v>14</v>
      </c>
      <c r="E22" s="95">
        <v>0</v>
      </c>
      <c r="F22" s="96">
        <f>-'Engineering &amp; Economic Data'!N12</f>
        <v>-3.9080282366946992</v>
      </c>
      <c r="G22" s="100" t="s">
        <v>220</v>
      </c>
      <c r="H22" s="99">
        <v>0</v>
      </c>
      <c r="P22" s="49"/>
      <c r="Q22" s="49"/>
      <c r="R22" s="49"/>
      <c r="S22" s="49"/>
      <c r="T22" s="49"/>
      <c r="U22" s="49"/>
      <c r="V22" s="49"/>
      <c r="W22" s="49"/>
      <c r="X22" s="49"/>
      <c r="Y22" s="49"/>
      <c r="Z22" s="49"/>
      <c r="AA22" s="49"/>
      <c r="AB22" s="49"/>
      <c r="AC22" s="49"/>
      <c r="AD22" s="49"/>
    </row>
    <row r="23" spans="1:30" ht="12.75" customHeight="1">
      <c r="A23" s="5" t="str">
        <f>'Engineering &amp; Economic Data'!A12</f>
        <v>Energy Star Clothes Washer (MEF 2.2) - Gas DHW &amp; Dryer </v>
      </c>
      <c r="B23" s="5" t="str">
        <f>A22&amp;" - Waster Water Treatment Savings"</f>
        <v>Energy Star Clothes Washer (MEF 2.2) - Gas DHW &amp; Dryer  - Waster Water Treatment Savings</v>
      </c>
      <c r="C23" s="93">
        <f>'Engineering &amp; Economic Data'!R$6</f>
        <v>8.69472202674172</v>
      </c>
      <c r="D23" s="94">
        <v>14</v>
      </c>
      <c r="E23" s="95">
        <v>0</v>
      </c>
      <c r="F23" s="96">
        <v>0</v>
      </c>
      <c r="G23" s="100" t="s">
        <v>221</v>
      </c>
      <c r="H23" s="99">
        <v>0</v>
      </c>
      <c r="P23" s="49"/>
      <c r="Q23" s="49"/>
      <c r="R23" s="49"/>
      <c r="S23" s="49"/>
      <c r="T23" s="49"/>
      <c r="U23" s="49"/>
      <c r="V23" s="49"/>
      <c r="W23" s="49"/>
      <c r="X23" s="49"/>
      <c r="Y23" s="49"/>
      <c r="Z23" s="49"/>
      <c r="AA23" s="49"/>
      <c r="AB23" s="49"/>
      <c r="AC23" s="49"/>
      <c r="AD23" s="49"/>
    </row>
    <row r="24" spans="1:30" ht="12.75" customHeight="1">
      <c r="A24" s="5" t="str">
        <f>'Engineering &amp; Economic Data'!A$13</f>
        <v>Energy Star Clothes Washer (MEF 1.27) - Gas DHW &amp; Electric Dryer </v>
      </c>
      <c r="B24" s="5" t="str">
        <f>A24&amp;" - Washer Savings"</f>
        <v>Energy Star Clothes Washer (MEF 1.27) - Gas DHW &amp; Electric Dryer  - Washer Savings</v>
      </c>
      <c r="C24" s="93">
        <f>'Engineering &amp; Economic Data'!H$13+'Engineering &amp; Economic Data'!F$13</f>
        <v>75.37875713641895</v>
      </c>
      <c r="D24" s="94">
        <v>14</v>
      </c>
      <c r="E24" s="95">
        <f>'Engineering &amp; Economic Data'!B$4</f>
        <v>30</v>
      </c>
      <c r="F24" s="96">
        <f>-'Engineering &amp; Economic Data'!M13</f>
        <v>-1.512296765823436</v>
      </c>
      <c r="G24" s="97" t="s">
        <v>219</v>
      </c>
      <c r="H24" s="98">
        <f>'Engineering &amp; Economic Data'!P$4+'Engineering &amp; Economic Data'!Q$4</f>
        <v>22.410942049582538</v>
      </c>
      <c r="P24" s="49"/>
      <c r="Q24" s="49"/>
      <c r="R24" s="49"/>
      <c r="S24" s="49"/>
      <c r="T24" s="49"/>
      <c r="U24" s="49"/>
      <c r="V24" s="49"/>
      <c r="W24" s="49"/>
      <c r="X24" s="49"/>
      <c r="Y24" s="49"/>
      <c r="Z24" s="49"/>
      <c r="AA24" s="49"/>
      <c r="AB24" s="49"/>
      <c r="AC24" s="49"/>
      <c r="AD24" s="49"/>
    </row>
    <row r="25" spans="1:30" ht="12.75" customHeight="1">
      <c r="A25" s="5" t="str">
        <f>'Engineering &amp; Economic Data'!A$13</f>
        <v>Energy Star Clothes Washer (MEF 1.27) - Gas DHW &amp; Electric Dryer </v>
      </c>
      <c r="B25" s="5" t="str">
        <f>A24&amp;" - Dryer Savings"</f>
        <v>Energy Star Clothes Washer (MEF 1.27) - Gas DHW &amp; Electric Dryer  - Dryer Savings</v>
      </c>
      <c r="C25" s="93">
        <f>'Engineering &amp; Economic Data'!G$13</f>
        <v>-2.2649458678262135</v>
      </c>
      <c r="D25" s="94">
        <v>14</v>
      </c>
      <c r="E25" s="95">
        <v>0</v>
      </c>
      <c r="F25" s="96">
        <v>0</v>
      </c>
      <c r="G25" s="100" t="s">
        <v>220</v>
      </c>
      <c r="H25" s="99">
        <v>0</v>
      </c>
      <c r="P25" s="49"/>
      <c r="Q25" s="49"/>
      <c r="R25" s="49"/>
      <c r="S25" s="49"/>
      <c r="T25" s="49"/>
      <c r="U25" s="49"/>
      <c r="V25" s="49"/>
      <c r="W25" s="49"/>
      <c r="X25" s="49"/>
      <c r="Y25" s="49"/>
      <c r="Z25" s="49"/>
      <c r="AA25" s="49"/>
      <c r="AB25" s="49"/>
      <c r="AC25" s="49"/>
      <c r="AD25" s="49"/>
    </row>
    <row r="26" spans="1:30" ht="12.75" customHeight="1">
      <c r="A26" s="5" t="str">
        <f>'Engineering &amp; Economic Data'!A13</f>
        <v>Energy Star Clothes Washer (MEF 1.27) - Gas DHW &amp; Electric Dryer </v>
      </c>
      <c r="B26" s="5" t="str">
        <f>A25&amp;" - Waster Water Treatment Savings"</f>
        <v>Energy Star Clothes Washer (MEF 1.27) - Gas DHW &amp; Electric Dryer  - Waster Water Treatment Savings</v>
      </c>
      <c r="C26" s="93">
        <f>'Engineering &amp; Economic Data'!R$4</f>
        <v>5.127656579873335</v>
      </c>
      <c r="D26" s="94">
        <v>14</v>
      </c>
      <c r="E26" s="95">
        <v>0</v>
      </c>
      <c r="F26" s="96">
        <v>0</v>
      </c>
      <c r="G26" s="100" t="s">
        <v>221</v>
      </c>
      <c r="H26" s="99">
        <v>0</v>
      </c>
      <c r="P26" s="49"/>
      <c r="Q26" s="49"/>
      <c r="R26" s="49"/>
      <c r="S26" s="49"/>
      <c r="T26" s="49"/>
      <c r="U26" s="49"/>
      <c r="V26" s="49"/>
      <c r="W26" s="49"/>
      <c r="X26" s="49"/>
      <c r="Y26" s="49"/>
      <c r="Z26" s="49"/>
      <c r="AA26" s="49"/>
      <c r="AB26" s="49"/>
      <c r="AC26" s="49"/>
      <c r="AD26" s="49"/>
    </row>
    <row r="27" spans="1:8" ht="12.75" customHeight="1">
      <c r="A27" s="5" t="str">
        <f>'Engineering &amp; Economic Data'!A$15</f>
        <v>Energy Star Clothes Washer (MEF 2.2) - Gas DHW &amp; Electric Dryer </v>
      </c>
      <c r="B27" s="5" t="str">
        <f>A27&amp;" - Washer Savings"</f>
        <v>Energy Star Clothes Washer (MEF 2.2) - Gas DHW &amp; Electric Dryer  - Washer Savings</v>
      </c>
      <c r="C27" s="93">
        <f>'Engineering &amp; Economic Data'!H$15+'Engineering &amp; Economic Data'!F$15</f>
        <v>26.133401908724366</v>
      </c>
      <c r="D27" s="94">
        <v>14</v>
      </c>
      <c r="E27" s="95">
        <f>'Engineering &amp; Economic Data'!B$6</f>
        <v>170</v>
      </c>
      <c r="F27" s="96">
        <f>-'Engineering &amp; Economic Data'!M15</f>
        <v>-1.1082582415064073</v>
      </c>
      <c r="G27" s="97" t="s">
        <v>219</v>
      </c>
      <c r="H27" s="99">
        <f>'Engineering &amp; Economic Data'!P$6+'Engineering &amp; Economic Data'!Q$6</f>
        <v>25.88644924958252</v>
      </c>
    </row>
    <row r="28" spans="1:8" ht="12.75" customHeight="1">
      <c r="A28" s="5" t="str">
        <f>'Engineering &amp; Economic Data'!A$15</f>
        <v>Energy Star Clothes Washer (MEF 2.2) - Gas DHW &amp; Electric Dryer </v>
      </c>
      <c r="B28" s="5" t="str">
        <f>A27&amp;" - Dryer Savings"</f>
        <v>Energy Star Clothes Washer (MEF 2.2) - Gas DHW &amp; Electric Dryer  - Dryer Savings</v>
      </c>
      <c r="C28" s="93">
        <f>'Engineering &amp; Economic Data'!G$15</f>
        <v>244.18347550572753</v>
      </c>
      <c r="D28" s="94">
        <v>14</v>
      </c>
      <c r="E28" s="95">
        <v>0</v>
      </c>
      <c r="F28" s="96">
        <v>0</v>
      </c>
      <c r="G28" s="100" t="s">
        <v>220</v>
      </c>
      <c r="H28" s="99">
        <v>0</v>
      </c>
    </row>
    <row r="29" spans="1:8" ht="12.75" customHeight="1">
      <c r="A29" s="5" t="str">
        <f>'Engineering &amp; Economic Data'!A15</f>
        <v>Energy Star Clothes Washer (MEF 2.2) - Gas DHW &amp; Electric Dryer </v>
      </c>
      <c r="B29" s="5" t="str">
        <f>A28&amp;" - Waster Water Treatment Savings"</f>
        <v>Energy Star Clothes Washer (MEF 2.2) - Gas DHW &amp; Electric Dryer  - Waster Water Treatment Savings</v>
      </c>
      <c r="C29" s="93">
        <f>'Engineering &amp; Economic Data'!R$6</f>
        <v>8.69472202674172</v>
      </c>
      <c r="D29" s="94">
        <v>14</v>
      </c>
      <c r="E29" s="95">
        <v>0</v>
      </c>
      <c r="F29" s="96">
        <v>0</v>
      </c>
      <c r="G29" s="100" t="s">
        <v>221</v>
      </c>
      <c r="H29" s="99">
        <v>0</v>
      </c>
    </row>
    <row r="30" spans="1:8" ht="12.75" customHeight="1">
      <c r="A30" s="5" t="str">
        <f>'Engineering &amp; Economic Data'!A$16</f>
        <v>Energy Star Clothes Washer (MEF 1.27) - Weighted Average DHW &amp; Dryer</v>
      </c>
      <c r="B30" s="5" t="str">
        <f>A30&amp;" - Washer Savings"</f>
        <v>Energy Star Clothes Washer (MEF 1.27) - Weighted Average DHW &amp; Dryer - Washer Savings</v>
      </c>
      <c r="C30" s="93">
        <f>'Engineering &amp; Economic Data'!H$16+'Engineering &amp; Economic Data'!F$16</f>
        <v>146.0564455631176</v>
      </c>
      <c r="D30" s="94">
        <v>14</v>
      </c>
      <c r="E30" s="95">
        <f>'Engineering &amp; Economic Data'!B$4</f>
        <v>30</v>
      </c>
      <c r="F30" s="96">
        <f>-'Engineering &amp; Economic Data'!M16</f>
        <v>-0.5474049634221468</v>
      </c>
      <c r="G30" s="97" t="s">
        <v>219</v>
      </c>
      <c r="H30" s="99">
        <f>'Engineering &amp; Economic Data'!P$4+'Engineering &amp; Economic Data'!Q$4</f>
        <v>22.410942049582538</v>
      </c>
    </row>
    <row r="31" spans="1:8" ht="12.75" customHeight="1">
      <c r="A31" s="5" t="str">
        <f>'Engineering &amp; Economic Data'!A$16</f>
        <v>Energy Star Clothes Washer (MEF 1.27) - Weighted Average DHW &amp; Dryer</v>
      </c>
      <c r="B31" s="5" t="str">
        <f>A30&amp;" - Dryer Savings"</f>
        <v>Energy Star Clothes Washer (MEF 1.27) - Weighted Average DHW &amp; Dryer - Dryer Savings</v>
      </c>
      <c r="C31" s="93">
        <f>'Engineering &amp; Economic Data'!G$16</f>
        <v>-1.8591798293905664</v>
      </c>
      <c r="D31" s="94">
        <v>14</v>
      </c>
      <c r="E31" s="95">
        <v>0</v>
      </c>
      <c r="F31" s="96">
        <f>-'Engineering &amp; Economic Data'!N16</f>
        <v>-0.54275251273061</v>
      </c>
      <c r="G31" s="100" t="s">
        <v>220</v>
      </c>
      <c r="H31" s="99">
        <v>0</v>
      </c>
    </row>
    <row r="32" spans="1:8" ht="12.75" customHeight="1">
      <c r="A32" s="5" t="str">
        <f>'Engineering &amp; Economic Data'!A16</f>
        <v>Energy Star Clothes Washer (MEF 1.27) - Weighted Average DHW &amp; Dryer</v>
      </c>
      <c r="B32" s="5" t="str">
        <f>A31&amp;" - Waster Water Treatment Savings"</f>
        <v>Energy Star Clothes Washer (MEF 1.27) - Weighted Average DHW &amp; Dryer - Waster Water Treatment Savings</v>
      </c>
      <c r="C32" s="93">
        <f>'Engineering &amp; Economic Data'!R$4</f>
        <v>5.127656579873335</v>
      </c>
      <c r="D32" s="94">
        <v>14</v>
      </c>
      <c r="E32" s="95">
        <v>0</v>
      </c>
      <c r="F32" s="96">
        <v>0</v>
      </c>
      <c r="G32" s="100" t="s">
        <v>221</v>
      </c>
      <c r="H32" s="99">
        <v>0</v>
      </c>
    </row>
    <row r="33" spans="1:8" ht="12.75" customHeight="1">
      <c r="A33" s="5" t="str">
        <f>'Engineering &amp; Economic Data'!A$18</f>
        <v>Energy Star Clothes Washer (MEF 2.2) - Weighted Average DHW &amp; Dryer</v>
      </c>
      <c r="B33" s="5" t="str">
        <f>A33&amp;" - Washer Savings"</f>
        <v>Energy Star Clothes Washer (MEF 2.2) - Weighted Average DHW &amp; Dryer - Washer Savings</v>
      </c>
      <c r="C33" s="93">
        <f>'Engineering &amp; Economic Data'!H$18+'Engineering &amp; Economic Data'!F$18</f>
        <v>77.92821656394253</v>
      </c>
      <c r="D33" s="94">
        <v>14</v>
      </c>
      <c r="E33" s="95">
        <f>'Engineering &amp; Economic Data'!B$6</f>
        <v>170</v>
      </c>
      <c r="F33" s="96">
        <f>-'Engineering &amp; Economic Data'!M18</f>
        <v>-0.08090181698076969</v>
      </c>
      <c r="G33" s="97" t="s">
        <v>219</v>
      </c>
      <c r="H33" s="99">
        <f>'Engineering &amp; Economic Data'!P$6+'Engineering &amp; Economic Data'!Q$6</f>
        <v>25.88644924958252</v>
      </c>
    </row>
    <row r="34" spans="1:8" ht="12.75" customHeight="1">
      <c r="A34" s="5" t="str">
        <f>'Engineering &amp; Economic Data'!A$18</f>
        <v>Energy Star Clothes Washer (MEF 2.2) - Weighted Average DHW &amp; Dryer</v>
      </c>
      <c r="B34" s="5" t="str">
        <f>A33&amp;" - Dryer Savings"</f>
        <v>Energy Star Clothes Washer (MEF 2.2) - Weighted Average DHW &amp; Dryer - Dryer Savings</v>
      </c>
      <c r="C34" s="93">
        <f>'Engineering &amp; Economic Data'!G$18</f>
        <v>200.43789954522984</v>
      </c>
      <c r="D34" s="94">
        <v>14</v>
      </c>
      <c r="E34" s="95">
        <v>0</v>
      </c>
      <c r="F34" s="96">
        <f>-'Engineering &amp; Economic Data'!N18</f>
        <v>-0.5824818307092532</v>
      </c>
      <c r="G34" s="100" t="s">
        <v>220</v>
      </c>
      <c r="H34" s="99">
        <v>0</v>
      </c>
    </row>
    <row r="35" spans="1:8" ht="12.75" customHeight="1">
      <c r="A35" s="5" t="str">
        <f>'Engineering &amp; Economic Data'!A$18</f>
        <v>Energy Star Clothes Washer (MEF 2.2) - Weighted Average DHW &amp; Dryer</v>
      </c>
      <c r="B35" s="5" t="str">
        <f>A34&amp;" - Waster Water Treatment Savings"</f>
        <v>Energy Star Clothes Washer (MEF 2.2) - Weighted Average DHW &amp; Dryer - Waster Water Treatment Savings</v>
      </c>
      <c r="C35" s="93">
        <f>'Engineering &amp; Economic Data'!R$6</f>
        <v>8.69472202674172</v>
      </c>
      <c r="D35" s="94">
        <v>14</v>
      </c>
      <c r="E35" s="95">
        <v>0</v>
      </c>
      <c r="F35" s="96">
        <v>0</v>
      </c>
      <c r="G35" s="100" t="s">
        <v>221</v>
      </c>
      <c r="H35" s="99">
        <v>0</v>
      </c>
    </row>
    <row r="36" ht="12.75" customHeight="1"/>
    <row r="37" ht="12.75" customHeight="1" thickBot="1"/>
    <row r="38" spans="1:4" ht="12.75" customHeight="1" thickBot="1">
      <c r="A38" s="86" t="s">
        <v>684</v>
      </c>
      <c r="B38" s="50"/>
      <c r="C38" s="50"/>
      <c r="D38" s="51"/>
    </row>
    <row r="39" spans="1:41" ht="12.75" customHeight="1" thickBot="1">
      <c r="A39" s="52" t="s">
        <v>226</v>
      </c>
      <c r="B39" s="53"/>
      <c r="C39" s="54" t="s">
        <v>165</v>
      </c>
      <c r="D39" s="56"/>
      <c r="E39" s="56"/>
      <c r="F39" s="56"/>
      <c r="G39" s="56"/>
      <c r="H39" s="56"/>
      <c r="I39" s="56"/>
      <c r="J39" s="55"/>
      <c r="K39" s="54" t="s">
        <v>132</v>
      </c>
      <c r="L39" s="56"/>
      <c r="M39" s="55"/>
      <c r="N39" s="54" t="s">
        <v>133</v>
      </c>
      <c r="O39" s="56"/>
      <c r="P39" s="56"/>
      <c r="Q39" s="55"/>
      <c r="R39" s="54" t="s">
        <v>134</v>
      </c>
      <c r="S39" s="55"/>
      <c r="T39" s="54" t="s">
        <v>135</v>
      </c>
      <c r="U39" s="56"/>
      <c r="V39" s="56"/>
      <c r="W39" s="56"/>
      <c r="X39" s="55"/>
      <c r="Y39" s="54" t="s">
        <v>136</v>
      </c>
      <c r="Z39" s="56"/>
      <c r="AA39" s="56"/>
      <c r="AB39" s="56"/>
      <c r="AC39" s="55"/>
      <c r="AD39" s="54" t="s">
        <v>166</v>
      </c>
      <c r="AE39" s="56"/>
      <c r="AF39" s="56"/>
      <c r="AG39" s="56"/>
      <c r="AH39" s="56"/>
      <c r="AI39" s="55"/>
      <c r="AJ39" s="54" t="s">
        <v>167</v>
      </c>
      <c r="AK39" s="56"/>
      <c r="AL39" s="56"/>
      <c r="AM39" s="56"/>
      <c r="AN39" s="56"/>
      <c r="AO39" s="55"/>
    </row>
    <row r="40" spans="1:41" ht="51">
      <c r="A40" s="57" t="s">
        <v>138</v>
      </c>
      <c r="B40" s="58" t="s">
        <v>139</v>
      </c>
      <c r="C40" s="59" t="s">
        <v>168</v>
      </c>
      <c r="D40" s="59" t="s">
        <v>169</v>
      </c>
      <c r="E40" s="59" t="s">
        <v>170</v>
      </c>
      <c r="F40" s="59" t="s">
        <v>171</v>
      </c>
      <c r="G40" s="59" t="s">
        <v>245</v>
      </c>
      <c r="H40" s="59" t="s">
        <v>173</v>
      </c>
      <c r="I40" s="59" t="s">
        <v>174</v>
      </c>
      <c r="J40" s="59" t="s">
        <v>175</v>
      </c>
      <c r="K40" s="59" t="s">
        <v>176</v>
      </c>
      <c r="L40" s="59" t="s">
        <v>177</v>
      </c>
      <c r="M40" s="59" t="s">
        <v>178</v>
      </c>
      <c r="N40" s="59" t="s">
        <v>107</v>
      </c>
      <c r="O40" s="59" t="s">
        <v>108</v>
      </c>
      <c r="P40" s="59" t="s">
        <v>109</v>
      </c>
      <c r="Q40" s="59" t="s">
        <v>91</v>
      </c>
      <c r="R40" s="59" t="s">
        <v>140</v>
      </c>
      <c r="S40" s="59" t="s">
        <v>91</v>
      </c>
      <c r="T40" s="59" t="s">
        <v>107</v>
      </c>
      <c r="U40" s="59" t="s">
        <v>108</v>
      </c>
      <c r="V40" s="59" t="s">
        <v>109</v>
      </c>
      <c r="W40" s="59" t="s">
        <v>91</v>
      </c>
      <c r="X40" s="59" t="s">
        <v>144</v>
      </c>
      <c r="Y40" s="59" t="s">
        <v>107</v>
      </c>
      <c r="Z40" s="59" t="s">
        <v>108</v>
      </c>
      <c r="AA40" s="59" t="s">
        <v>109</v>
      </c>
      <c r="AB40" s="59" t="s">
        <v>91</v>
      </c>
      <c r="AC40" s="59" t="s">
        <v>144</v>
      </c>
      <c r="AD40" s="59" t="s">
        <v>179</v>
      </c>
      <c r="AE40" s="59" t="s">
        <v>180</v>
      </c>
      <c r="AF40" s="59" t="s">
        <v>143</v>
      </c>
      <c r="AG40" s="59" t="s">
        <v>181</v>
      </c>
      <c r="AH40" s="59" t="s">
        <v>182</v>
      </c>
      <c r="AI40" s="59" t="s">
        <v>183</v>
      </c>
      <c r="AJ40" s="59" t="s">
        <v>184</v>
      </c>
      <c r="AK40" s="59" t="s">
        <v>141</v>
      </c>
      <c r="AL40" s="59" t="s">
        <v>142</v>
      </c>
      <c r="AM40" s="59" t="s">
        <v>185</v>
      </c>
      <c r="AN40" s="59" t="s">
        <v>186</v>
      </c>
      <c r="AO40" s="59" t="s">
        <v>187</v>
      </c>
    </row>
    <row r="41" spans="1:41" ht="12.75" customHeight="1">
      <c r="A41" t="s">
        <v>47</v>
      </c>
      <c r="B41" t="s">
        <v>48</v>
      </c>
      <c r="C41" s="49">
        <v>14</v>
      </c>
      <c r="D41" s="49">
        <v>186.1534982603156</v>
      </c>
      <c r="E41" s="49">
        <v>30</v>
      </c>
      <c r="F41" s="49">
        <v>0</v>
      </c>
      <c r="G41" s="49">
        <v>0</v>
      </c>
      <c r="H41" s="49" t="s">
        <v>219</v>
      </c>
      <c r="I41" s="49">
        <v>0.218</v>
      </c>
      <c r="J41" s="49">
        <v>0.029999999329447746</v>
      </c>
      <c r="K41" s="49">
        <v>200.34770250266462</v>
      </c>
      <c r="L41" s="60">
        <v>0.0031473497867372203</v>
      </c>
      <c r="M41" s="49">
        <v>0.10491166190286572</v>
      </c>
      <c r="N41" s="49"/>
      <c r="O41" s="49"/>
      <c r="P41" s="49">
        <v>30.000006401454133</v>
      </c>
      <c r="Q41" s="49">
        <v>0</v>
      </c>
      <c r="R41" s="49">
        <v>0</v>
      </c>
      <c r="S41" s="49">
        <v>0</v>
      </c>
      <c r="T41" s="49">
        <v>0</v>
      </c>
      <c r="U41" s="49">
        <v>0</v>
      </c>
      <c r="V41" s="49">
        <v>30.000006401454133</v>
      </c>
      <c r="W41" s="49">
        <v>0</v>
      </c>
      <c r="X41" s="49">
        <v>30.000006401454133</v>
      </c>
      <c r="Y41" s="49">
        <v>0</v>
      </c>
      <c r="Z41" s="49">
        <v>0</v>
      </c>
      <c r="AA41" s="49">
        <v>14.886470794677734</v>
      </c>
      <c r="AB41" s="49">
        <v>0</v>
      </c>
      <c r="AC41" s="49">
        <v>14.886470967081753</v>
      </c>
      <c r="AD41" s="49">
        <v>68.09456700826314</v>
      </c>
      <c r="AE41" s="49">
        <v>0.09497547993980227</v>
      </c>
      <c r="AF41" s="49">
        <v>8.83338451385498</v>
      </c>
      <c r="AG41" s="49">
        <v>77.0186202368129</v>
      </c>
      <c r="AH41" s="49">
        <v>30.000006401454133</v>
      </c>
      <c r="AI41" s="48">
        <v>2.567286793414808</v>
      </c>
      <c r="AJ41" s="49">
        <v>21.10566520690918</v>
      </c>
      <c r="AK41" s="49">
        <v>225.42627275030506</v>
      </c>
      <c r="AL41" s="49">
        <v>0</v>
      </c>
      <c r="AM41" s="49">
        <v>323.5505676269531</v>
      </c>
      <c r="AN41" s="49">
        <v>30.000006401454133</v>
      </c>
      <c r="AO41" s="48">
        <v>10.785017013549805</v>
      </c>
    </row>
    <row r="42" spans="1:41" ht="12.75" customHeight="1">
      <c r="A42" t="s">
        <v>47</v>
      </c>
      <c r="B42" t="s">
        <v>49</v>
      </c>
      <c r="C42" s="49">
        <v>14</v>
      </c>
      <c r="D42" s="49">
        <v>-2.2649458678262135</v>
      </c>
      <c r="E42" s="49">
        <v>0</v>
      </c>
      <c r="F42" s="49">
        <v>0</v>
      </c>
      <c r="G42" s="49">
        <v>0</v>
      </c>
      <c r="H42" s="49" t="s">
        <v>220</v>
      </c>
      <c r="I42" s="49">
        <v>0.235</v>
      </c>
      <c r="J42" s="49">
        <v>0.026000000536441803</v>
      </c>
      <c r="K42" s="49">
        <v>-2.437647990247962</v>
      </c>
      <c r="L42" s="60">
        <v>-3.078735502482429E-05</v>
      </c>
      <c r="M42" s="49">
        <v>-0.0011841290149849227</v>
      </c>
      <c r="N42" s="49"/>
      <c r="O42" s="49"/>
      <c r="P42" s="49">
        <v>0</v>
      </c>
      <c r="Q42" s="49">
        <v>0</v>
      </c>
      <c r="R42" s="49">
        <v>0</v>
      </c>
      <c r="S42" s="49">
        <v>0</v>
      </c>
      <c r="T42" s="49">
        <v>0</v>
      </c>
      <c r="U42" s="49">
        <v>0</v>
      </c>
      <c r="V42" s="49">
        <v>0</v>
      </c>
      <c r="W42" s="49">
        <v>0</v>
      </c>
      <c r="X42" s="49">
        <v>0</v>
      </c>
      <c r="Y42" s="49">
        <v>0</v>
      </c>
      <c r="Z42" s="49">
        <v>0</v>
      </c>
      <c r="AA42" s="49">
        <v>0</v>
      </c>
      <c r="AB42" s="49">
        <v>0</v>
      </c>
      <c r="AC42" s="49">
        <v>0</v>
      </c>
      <c r="AD42" s="49">
        <v>-0.8285125346740178</v>
      </c>
      <c r="AE42" s="49">
        <v>-0.0009290495234694121</v>
      </c>
      <c r="AF42" s="49">
        <v>-0.10568150132894516</v>
      </c>
      <c r="AG42" s="49">
        <v>-0.935080956776979</v>
      </c>
      <c r="AH42" s="49">
        <v>0</v>
      </c>
      <c r="AI42" s="48">
        <v>9999</v>
      </c>
      <c r="AJ42" s="49">
        <v>-0.23821783065795898</v>
      </c>
      <c r="AK42" s="49">
        <v>0</v>
      </c>
      <c r="AL42" s="49">
        <v>0</v>
      </c>
      <c r="AM42" s="49">
        <v>-1.1732988357543945</v>
      </c>
      <c r="AN42" s="49">
        <v>0</v>
      </c>
      <c r="AO42" s="48">
        <v>9999</v>
      </c>
    </row>
    <row r="43" spans="1:41" ht="12.75" customHeight="1">
      <c r="A43" t="s">
        <v>47</v>
      </c>
      <c r="B43" t="s">
        <v>50</v>
      </c>
      <c r="C43" s="49">
        <v>14</v>
      </c>
      <c r="D43" s="49">
        <v>5.127656579873335</v>
      </c>
      <c r="E43" s="49">
        <v>0</v>
      </c>
      <c r="F43" s="49">
        <v>0</v>
      </c>
      <c r="G43" s="49">
        <v>0</v>
      </c>
      <c r="H43" s="49" t="s">
        <v>221</v>
      </c>
      <c r="I43" s="49">
        <v>1</v>
      </c>
      <c r="J43" s="49">
        <v>0.6399999856948853</v>
      </c>
      <c r="K43" s="49">
        <v>5.518640394088677</v>
      </c>
      <c r="L43" s="60">
        <v>0.0004031883302821882</v>
      </c>
      <c r="M43" s="49">
        <v>0.0006299817801471092</v>
      </c>
      <c r="N43" s="49"/>
      <c r="O43" s="49"/>
      <c r="P43" s="49">
        <v>0</v>
      </c>
      <c r="Q43" s="49">
        <v>0</v>
      </c>
      <c r="R43" s="49">
        <v>0</v>
      </c>
      <c r="S43" s="49">
        <v>0</v>
      </c>
      <c r="T43" s="49">
        <v>0</v>
      </c>
      <c r="U43" s="49">
        <v>0</v>
      </c>
      <c r="V43" s="49">
        <v>0</v>
      </c>
      <c r="W43" s="49">
        <v>0</v>
      </c>
      <c r="X43" s="49">
        <v>0</v>
      </c>
      <c r="Y43" s="49">
        <v>0</v>
      </c>
      <c r="Z43" s="49">
        <v>0</v>
      </c>
      <c r="AA43" s="49">
        <v>0</v>
      </c>
      <c r="AB43" s="49">
        <v>0</v>
      </c>
      <c r="AC43" s="49">
        <v>0</v>
      </c>
      <c r="AD43" s="49">
        <v>1.819860801472133</v>
      </c>
      <c r="AE43" s="49">
        <v>0.012166745919390088</v>
      </c>
      <c r="AF43" s="49">
        <v>0.19524657726287842</v>
      </c>
      <c r="AG43" s="49">
        <v>2.026722410480344</v>
      </c>
      <c r="AH43" s="49">
        <v>0</v>
      </c>
      <c r="AI43" s="48">
        <v>9999</v>
      </c>
      <c r="AJ43" s="49">
        <v>0.12673693895339966</v>
      </c>
      <c r="AK43" s="49">
        <v>0</v>
      </c>
      <c r="AL43" s="49">
        <v>0</v>
      </c>
      <c r="AM43" s="49">
        <v>2.153459310531616</v>
      </c>
      <c r="AN43" s="49">
        <v>0</v>
      </c>
      <c r="AO43" s="48">
        <v>9999</v>
      </c>
    </row>
    <row r="44" spans="1:41" ht="12.75" customHeight="1">
      <c r="A44" t="s">
        <v>52</v>
      </c>
      <c r="B44" t="s">
        <v>53</v>
      </c>
      <c r="C44" s="49">
        <v>14</v>
      </c>
      <c r="D44" s="49">
        <v>107.31258748639848</v>
      </c>
      <c r="E44" s="49">
        <v>170</v>
      </c>
      <c r="F44" s="49">
        <v>0</v>
      </c>
      <c r="G44" s="49">
        <v>0</v>
      </c>
      <c r="H44" s="49" t="s">
        <v>219</v>
      </c>
      <c r="I44" s="49">
        <v>0.218</v>
      </c>
      <c r="J44" s="49">
        <v>0.029999999329447746</v>
      </c>
      <c r="K44" s="49">
        <v>115.49517228223635</v>
      </c>
      <c r="L44" s="60">
        <v>0.0018143642343332613</v>
      </c>
      <c r="M44" s="49">
        <v>0.06047880916291543</v>
      </c>
      <c r="N44" s="49"/>
      <c r="O44" s="49"/>
      <c r="P44" s="49">
        <v>170.00003627490676</v>
      </c>
      <c r="Q44" s="49">
        <v>0</v>
      </c>
      <c r="R44" s="49">
        <v>0</v>
      </c>
      <c r="S44" s="49">
        <v>0</v>
      </c>
      <c r="T44" s="49">
        <v>0</v>
      </c>
      <c r="U44" s="49">
        <v>0</v>
      </c>
      <c r="V44" s="49">
        <v>170.00003627490676</v>
      </c>
      <c r="W44" s="49">
        <v>0</v>
      </c>
      <c r="X44" s="49">
        <v>170.00003627490676</v>
      </c>
      <c r="Y44" s="49">
        <v>0</v>
      </c>
      <c r="Z44" s="49">
        <v>0</v>
      </c>
      <c r="AA44" s="49">
        <v>146.33221435546875</v>
      </c>
      <c r="AB44" s="49">
        <v>0</v>
      </c>
      <c r="AC44" s="49">
        <v>146.33221851260828</v>
      </c>
      <c r="AD44" s="49">
        <v>39.2547239117906</v>
      </c>
      <c r="AE44" s="49">
        <v>0.05475086203241915</v>
      </c>
      <c r="AF44" s="49">
        <v>5.092213153839111</v>
      </c>
      <c r="AG44" s="49">
        <v>44.39920519096118</v>
      </c>
      <c r="AH44" s="49">
        <v>170.00003627490676</v>
      </c>
      <c r="AI44" s="69">
        <v>0.26117173951165107</v>
      </c>
      <c r="AJ44" s="49">
        <v>12.166858673095703</v>
      </c>
      <c r="AK44" s="49">
        <v>260.38555733805885</v>
      </c>
      <c r="AL44" s="49">
        <v>0</v>
      </c>
      <c r="AM44" s="49">
        <v>316.9516296386719</v>
      </c>
      <c r="AN44" s="49">
        <v>170.00003627490676</v>
      </c>
      <c r="AO44" s="48">
        <v>1.864421010017395</v>
      </c>
    </row>
    <row r="45" spans="1:41" ht="12.75" customHeight="1">
      <c r="A45" t="s">
        <v>52</v>
      </c>
      <c r="B45" t="s">
        <v>54</v>
      </c>
      <c r="C45" s="49">
        <v>14</v>
      </c>
      <c r="D45" s="49">
        <v>244.18347550572753</v>
      </c>
      <c r="E45" s="49">
        <v>0</v>
      </c>
      <c r="F45" s="49">
        <v>0</v>
      </c>
      <c r="G45" s="49">
        <v>0</v>
      </c>
      <c r="H45" s="49" t="s">
        <v>220</v>
      </c>
      <c r="I45" s="49">
        <v>0.235</v>
      </c>
      <c r="J45" s="49">
        <v>0.026000000536441803</v>
      </c>
      <c r="K45" s="49">
        <v>262.80246551303924</v>
      </c>
      <c r="L45" s="60">
        <v>0.0033191801439411486</v>
      </c>
      <c r="M45" s="49">
        <v>0.12766077213302207</v>
      </c>
      <c r="N45" s="49"/>
      <c r="O45" s="49"/>
      <c r="P45" s="49">
        <v>0</v>
      </c>
      <c r="Q45" s="49">
        <v>0</v>
      </c>
      <c r="R45" s="49">
        <v>0</v>
      </c>
      <c r="S45" s="49">
        <v>0</v>
      </c>
      <c r="T45" s="49">
        <v>0</v>
      </c>
      <c r="U45" s="49">
        <v>0</v>
      </c>
      <c r="V45" s="49">
        <v>0</v>
      </c>
      <c r="W45" s="49">
        <v>0</v>
      </c>
      <c r="X45" s="49">
        <v>0</v>
      </c>
      <c r="Y45" s="49">
        <v>0</v>
      </c>
      <c r="Z45" s="49">
        <v>0</v>
      </c>
      <c r="AA45" s="49">
        <v>0</v>
      </c>
      <c r="AB45" s="49">
        <v>0</v>
      </c>
      <c r="AC45" s="49">
        <v>0</v>
      </c>
      <c r="AD45" s="49">
        <v>89.32181253891389</v>
      </c>
      <c r="AE45" s="49">
        <v>0.10016069027531727</v>
      </c>
      <c r="AF45" s="49">
        <v>11.39350700378418</v>
      </c>
      <c r="AG45" s="49">
        <v>100.81093833879113</v>
      </c>
      <c r="AH45" s="49">
        <v>0</v>
      </c>
      <c r="AI45" s="48">
        <v>9999</v>
      </c>
      <c r="AJ45" s="49">
        <v>25.682228088378906</v>
      </c>
      <c r="AK45" s="49">
        <v>0</v>
      </c>
      <c r="AL45" s="49">
        <v>0</v>
      </c>
      <c r="AM45" s="49">
        <v>126.4931640625</v>
      </c>
      <c r="AN45" s="49">
        <v>0</v>
      </c>
      <c r="AO45" s="48">
        <v>9999</v>
      </c>
    </row>
    <row r="46" spans="1:41" ht="12.75" customHeight="1">
      <c r="A46" t="s">
        <v>52</v>
      </c>
      <c r="B46" t="s">
        <v>55</v>
      </c>
      <c r="C46" s="49">
        <v>14</v>
      </c>
      <c r="D46" s="49">
        <v>8.69472202674172</v>
      </c>
      <c r="E46" s="49">
        <v>0</v>
      </c>
      <c r="F46" s="49">
        <v>0</v>
      </c>
      <c r="G46" s="49">
        <v>0</v>
      </c>
      <c r="H46" s="49" t="s">
        <v>221</v>
      </c>
      <c r="I46" s="49">
        <v>1</v>
      </c>
      <c r="J46" s="49">
        <v>0.6399999856948853</v>
      </c>
      <c r="K46" s="49">
        <v>9.357694581280777</v>
      </c>
      <c r="L46" s="60">
        <v>0.000683667168739361</v>
      </c>
      <c r="M46" s="49">
        <v>0.0010682299750320522</v>
      </c>
      <c r="N46" s="49"/>
      <c r="O46" s="49"/>
      <c r="P46" s="49">
        <v>0</v>
      </c>
      <c r="Q46" s="49">
        <v>0</v>
      </c>
      <c r="R46" s="49">
        <v>0</v>
      </c>
      <c r="S46" s="49">
        <v>0</v>
      </c>
      <c r="T46" s="49">
        <v>0</v>
      </c>
      <c r="U46" s="49">
        <v>0</v>
      </c>
      <c r="V46" s="49">
        <v>0</v>
      </c>
      <c r="W46" s="49">
        <v>0</v>
      </c>
      <c r="X46" s="49">
        <v>0</v>
      </c>
      <c r="Y46" s="49">
        <v>0</v>
      </c>
      <c r="Z46" s="49">
        <v>0</v>
      </c>
      <c r="AA46" s="49">
        <v>0</v>
      </c>
      <c r="AB46" s="49">
        <v>0</v>
      </c>
      <c r="AC46" s="49">
        <v>0</v>
      </c>
      <c r="AD46" s="49">
        <v>3.0858509242353462</v>
      </c>
      <c r="AE46" s="49">
        <v>0.020630569167661407</v>
      </c>
      <c r="AF46" s="49">
        <v>0.33107027411460876</v>
      </c>
      <c r="AG46" s="49">
        <v>3.436616252178997</v>
      </c>
      <c r="AH46" s="49">
        <v>0</v>
      </c>
      <c r="AI46" s="48">
        <v>9999</v>
      </c>
      <c r="AJ46" s="49">
        <v>0.21490176022052765</v>
      </c>
      <c r="AK46" s="49">
        <v>0</v>
      </c>
      <c r="AL46" s="49">
        <v>0</v>
      </c>
      <c r="AM46" s="49">
        <v>3.6515181064605713</v>
      </c>
      <c r="AN46" s="49">
        <v>0</v>
      </c>
      <c r="AO46" s="48">
        <v>9999</v>
      </c>
    </row>
    <row r="47" spans="1:41" ht="12.75" customHeight="1">
      <c r="A47" t="s">
        <v>44</v>
      </c>
      <c r="B47" t="s">
        <v>56</v>
      </c>
      <c r="C47" s="49">
        <v>14</v>
      </c>
      <c r="D47" s="49">
        <v>186.1534982603156</v>
      </c>
      <c r="E47" s="49">
        <v>30</v>
      </c>
      <c r="F47" s="49">
        <v>0</v>
      </c>
      <c r="G47" s="49">
        <v>0</v>
      </c>
      <c r="H47" s="49" t="s">
        <v>219</v>
      </c>
      <c r="I47" s="49">
        <v>0.218</v>
      </c>
      <c r="J47" s="49">
        <v>0.029999999329447746</v>
      </c>
      <c r="K47" s="49">
        <v>200.34770250266462</v>
      </c>
      <c r="L47" s="60">
        <v>0.0031473497867372203</v>
      </c>
      <c r="M47" s="49">
        <v>0.10491166190286572</v>
      </c>
      <c r="N47" s="49"/>
      <c r="O47" s="49"/>
      <c r="P47" s="49">
        <v>30.000006401454133</v>
      </c>
      <c r="Q47" s="49">
        <v>0</v>
      </c>
      <c r="R47" s="49">
        <v>0</v>
      </c>
      <c r="S47" s="49">
        <v>0</v>
      </c>
      <c r="T47" s="49">
        <v>0</v>
      </c>
      <c r="U47" s="49">
        <v>0</v>
      </c>
      <c r="V47" s="49">
        <v>30.000006401454133</v>
      </c>
      <c r="W47" s="49">
        <v>0</v>
      </c>
      <c r="X47" s="49">
        <v>30.000006401454133</v>
      </c>
      <c r="Y47" s="49">
        <v>0</v>
      </c>
      <c r="Z47" s="49">
        <v>0</v>
      </c>
      <c r="AA47" s="49">
        <v>14.886470794677734</v>
      </c>
      <c r="AB47" s="49">
        <v>0</v>
      </c>
      <c r="AC47" s="49">
        <v>14.886470967081753</v>
      </c>
      <c r="AD47" s="49">
        <v>68.09456700826314</v>
      </c>
      <c r="AE47" s="49">
        <v>0.09497547993980227</v>
      </c>
      <c r="AF47" s="49">
        <v>8.83338451385498</v>
      </c>
      <c r="AG47" s="49">
        <v>77.0186202368129</v>
      </c>
      <c r="AH47" s="49">
        <v>30.000006401454133</v>
      </c>
      <c r="AI47" s="48">
        <v>2.567286793414808</v>
      </c>
      <c r="AJ47" s="49">
        <v>21.10566520690918</v>
      </c>
      <c r="AK47" s="49">
        <v>225.42627275030506</v>
      </c>
      <c r="AL47" s="49">
        <v>0</v>
      </c>
      <c r="AM47" s="49">
        <v>323.5505676269531</v>
      </c>
      <c r="AN47" s="49">
        <v>30.000006401454133</v>
      </c>
      <c r="AO47" s="48">
        <v>10.785017013549805</v>
      </c>
    </row>
    <row r="48" spans="1:41" ht="12.75" customHeight="1">
      <c r="A48" t="s">
        <v>44</v>
      </c>
      <c r="B48" t="s">
        <v>57</v>
      </c>
      <c r="C48" s="49">
        <v>14</v>
      </c>
      <c r="D48" s="49">
        <v>1E-16</v>
      </c>
      <c r="E48" s="49">
        <v>0</v>
      </c>
      <c r="F48" s="49">
        <v>0.03</v>
      </c>
      <c r="G48" s="49">
        <v>0</v>
      </c>
      <c r="H48" s="49" t="s">
        <v>220</v>
      </c>
      <c r="I48" s="49">
        <v>0.235</v>
      </c>
      <c r="J48" s="49">
        <v>0.026000000536441803</v>
      </c>
      <c r="K48" s="49">
        <v>1.07625E-16</v>
      </c>
      <c r="L48" s="60">
        <v>1.3592976089257502E-21</v>
      </c>
      <c r="M48" s="49">
        <v>5.228067618770038E-20</v>
      </c>
      <c r="N48" s="49"/>
      <c r="O48" s="49"/>
      <c r="P48" s="49">
        <v>0</v>
      </c>
      <c r="Q48" s="49">
        <v>0</v>
      </c>
      <c r="R48" s="49">
        <v>0</v>
      </c>
      <c r="S48" s="49">
        <v>0.26152825355529785</v>
      </c>
      <c r="T48" s="49">
        <v>0</v>
      </c>
      <c r="U48" s="49">
        <v>0</v>
      </c>
      <c r="V48" s="49">
        <v>0</v>
      </c>
      <c r="W48" s="49">
        <v>0.26152825355529785</v>
      </c>
      <c r="X48" s="49">
        <v>0.26152825355529785</v>
      </c>
      <c r="Y48" s="49">
        <v>0</v>
      </c>
      <c r="Z48" s="49">
        <v>0</v>
      </c>
      <c r="AA48" s="49">
        <v>0</v>
      </c>
      <c r="AB48" s="49">
        <v>2.415795752539259E+17</v>
      </c>
      <c r="AC48" s="49">
        <v>2.4157958066080534E+17</v>
      </c>
      <c r="AD48" s="49">
        <v>3.6579794088817794E-17</v>
      </c>
      <c r="AE48" s="49">
        <v>4.1018619326256554E-20</v>
      </c>
      <c r="AF48" s="49">
        <v>4.665961640060037E-18</v>
      </c>
      <c r="AG48" s="49">
        <v>4.1284914314812044E-17</v>
      </c>
      <c r="AH48" s="49">
        <v>0</v>
      </c>
      <c r="AI48" s="48">
        <v>9999</v>
      </c>
      <c r="AJ48" s="49">
        <v>1.0517594043986234E-17</v>
      </c>
      <c r="AK48" s="49">
        <v>0</v>
      </c>
      <c r="AL48" s="49">
        <v>0</v>
      </c>
      <c r="AM48" s="49">
        <v>5.180250680721103E-17</v>
      </c>
      <c r="AN48" s="49">
        <v>0.26152825355529785</v>
      </c>
      <c r="AO48" s="69">
        <v>1.9807614008635597E-16</v>
      </c>
    </row>
    <row r="49" spans="1:41" ht="12.75" customHeight="1">
      <c r="A49" t="s">
        <v>44</v>
      </c>
      <c r="B49" t="s">
        <v>58</v>
      </c>
      <c r="C49" s="49">
        <v>14</v>
      </c>
      <c r="D49" s="49">
        <v>5.127656579873335</v>
      </c>
      <c r="E49" s="49">
        <v>0</v>
      </c>
      <c r="F49" s="49">
        <v>0</v>
      </c>
      <c r="G49" s="49">
        <v>0</v>
      </c>
      <c r="H49" s="49" t="s">
        <v>221</v>
      </c>
      <c r="I49" s="49">
        <v>1</v>
      </c>
      <c r="J49" s="49">
        <v>0.6399999856948853</v>
      </c>
      <c r="K49" s="49">
        <v>5.518640394088677</v>
      </c>
      <c r="L49" s="60">
        <v>0.0004031883302821882</v>
      </c>
      <c r="M49" s="49">
        <v>0.0006299817801471092</v>
      </c>
      <c r="N49" s="49"/>
      <c r="O49" s="49"/>
      <c r="P49" s="49">
        <v>0</v>
      </c>
      <c r="Q49" s="49">
        <v>0</v>
      </c>
      <c r="R49" s="49">
        <v>0</v>
      </c>
      <c r="S49" s="49">
        <v>0</v>
      </c>
      <c r="T49" s="49">
        <v>0</v>
      </c>
      <c r="U49" s="49">
        <v>0</v>
      </c>
      <c r="V49" s="49">
        <v>0</v>
      </c>
      <c r="W49" s="49">
        <v>0</v>
      </c>
      <c r="X49" s="49">
        <v>0</v>
      </c>
      <c r="Y49" s="49">
        <v>0</v>
      </c>
      <c r="Z49" s="49">
        <v>0</v>
      </c>
      <c r="AA49" s="49">
        <v>0</v>
      </c>
      <c r="AB49" s="49">
        <v>0</v>
      </c>
      <c r="AC49" s="49">
        <v>0</v>
      </c>
      <c r="AD49" s="49">
        <v>1.819860801472133</v>
      </c>
      <c r="AE49" s="49">
        <v>0.012166745919390088</v>
      </c>
      <c r="AF49" s="49">
        <v>0.19524657726287842</v>
      </c>
      <c r="AG49" s="49">
        <v>2.026722410480344</v>
      </c>
      <c r="AH49" s="49">
        <v>0</v>
      </c>
      <c r="AI49" s="48">
        <v>9999</v>
      </c>
      <c r="AJ49" s="49">
        <v>0.12673693895339966</v>
      </c>
      <c r="AK49" s="49">
        <v>0</v>
      </c>
      <c r="AL49" s="49">
        <v>0</v>
      </c>
      <c r="AM49" s="49">
        <v>2.153459310531616</v>
      </c>
      <c r="AN49" s="49">
        <v>0</v>
      </c>
      <c r="AO49" s="48">
        <v>9999</v>
      </c>
    </row>
    <row r="50" spans="1:41" ht="12.75" customHeight="1">
      <c r="A50" t="s">
        <v>30</v>
      </c>
      <c r="B50" t="s">
        <v>59</v>
      </c>
      <c r="C50" s="49">
        <v>14</v>
      </c>
      <c r="D50" s="49">
        <v>107.31258748639848</v>
      </c>
      <c r="E50" s="49">
        <v>170</v>
      </c>
      <c r="F50" s="49">
        <v>0</v>
      </c>
      <c r="G50" s="49">
        <v>0</v>
      </c>
      <c r="H50" s="49" t="s">
        <v>219</v>
      </c>
      <c r="I50" s="49">
        <v>0.218</v>
      </c>
      <c r="J50" s="49">
        <v>0.029999999329447746</v>
      </c>
      <c r="K50" s="49">
        <v>115.49517228223635</v>
      </c>
      <c r="L50" s="60">
        <v>0.0018143642343332613</v>
      </c>
      <c r="M50" s="49">
        <v>0.06047880916291543</v>
      </c>
      <c r="N50" s="49"/>
      <c r="O50" s="49"/>
      <c r="P50" s="49">
        <v>170.00003627490676</v>
      </c>
      <c r="Q50" s="49">
        <v>0</v>
      </c>
      <c r="R50" s="49">
        <v>0</v>
      </c>
      <c r="S50" s="49">
        <v>0</v>
      </c>
      <c r="T50" s="49">
        <v>0</v>
      </c>
      <c r="U50" s="49">
        <v>0</v>
      </c>
      <c r="V50" s="49">
        <v>170.00003627490676</v>
      </c>
      <c r="W50" s="49">
        <v>0</v>
      </c>
      <c r="X50" s="49">
        <v>170.00003627490676</v>
      </c>
      <c r="Y50" s="49">
        <v>0</v>
      </c>
      <c r="Z50" s="49">
        <v>0</v>
      </c>
      <c r="AA50" s="49">
        <v>146.33221435546875</v>
      </c>
      <c r="AB50" s="49">
        <v>0</v>
      </c>
      <c r="AC50" s="49">
        <v>146.33221851260828</v>
      </c>
      <c r="AD50" s="49">
        <v>39.2547239117906</v>
      </c>
      <c r="AE50" s="49">
        <v>0.05475086203241915</v>
      </c>
      <c r="AF50" s="49">
        <v>5.092213153839111</v>
      </c>
      <c r="AG50" s="49">
        <v>44.39920519096118</v>
      </c>
      <c r="AH50" s="49">
        <v>170.00003627490676</v>
      </c>
      <c r="AI50" s="69">
        <v>0.26117173951165107</v>
      </c>
      <c r="AJ50" s="49">
        <v>12.166858673095703</v>
      </c>
      <c r="AK50" s="49">
        <v>260.38555733805885</v>
      </c>
      <c r="AL50" s="49">
        <v>0</v>
      </c>
      <c r="AM50" s="49">
        <v>316.9516296386719</v>
      </c>
      <c r="AN50" s="49">
        <v>170.00003627490676</v>
      </c>
      <c r="AO50" s="48">
        <v>1.864421010017395</v>
      </c>
    </row>
    <row r="51" spans="1:41" ht="12.75" customHeight="1">
      <c r="A51" t="s">
        <v>30</v>
      </c>
      <c r="B51" t="s">
        <v>60</v>
      </c>
      <c r="C51" s="49">
        <v>14</v>
      </c>
      <c r="D51" s="49">
        <v>1E-16</v>
      </c>
      <c r="E51" s="49">
        <v>0</v>
      </c>
      <c r="F51" s="49">
        <v>-2.8</v>
      </c>
      <c r="G51" s="49">
        <v>0</v>
      </c>
      <c r="H51" s="49" t="s">
        <v>220</v>
      </c>
      <c r="I51" s="49">
        <v>0.235</v>
      </c>
      <c r="J51" s="49">
        <v>0.026000000536441803</v>
      </c>
      <c r="K51" s="49">
        <v>1.07625E-16</v>
      </c>
      <c r="L51" s="60">
        <v>1.3592976089257502E-21</v>
      </c>
      <c r="M51" s="49">
        <v>5.228067618770038E-20</v>
      </c>
      <c r="N51" s="49"/>
      <c r="O51" s="49"/>
      <c r="P51" s="49">
        <v>0</v>
      </c>
      <c r="Q51" s="49">
        <v>0</v>
      </c>
      <c r="R51" s="49">
        <v>0</v>
      </c>
      <c r="S51" s="49">
        <v>-28.162567138671875</v>
      </c>
      <c r="T51" s="49">
        <v>0</v>
      </c>
      <c r="U51" s="49">
        <v>0</v>
      </c>
      <c r="V51" s="49">
        <v>0</v>
      </c>
      <c r="W51" s="49">
        <v>-28.162567138671875</v>
      </c>
      <c r="X51" s="49">
        <v>0</v>
      </c>
      <c r="Y51" s="49">
        <v>0</v>
      </c>
      <c r="Z51" s="49">
        <v>0</v>
      </c>
      <c r="AA51" s="49">
        <v>0</v>
      </c>
      <c r="AB51" s="49">
        <v>-2.601440113271505E+19</v>
      </c>
      <c r="AC51" s="49">
        <v>-2.6014402142801707E+19</v>
      </c>
      <c r="AD51" s="49">
        <v>3.6579794088817794E-17</v>
      </c>
      <c r="AE51" s="49">
        <v>4.1018619326256554E-20</v>
      </c>
      <c r="AF51" s="49">
        <v>4.665961640060037E-18</v>
      </c>
      <c r="AG51" s="49">
        <v>4.1284914314812044E-17</v>
      </c>
      <c r="AH51" s="49">
        <v>0</v>
      </c>
      <c r="AI51" s="48">
        <v>9999</v>
      </c>
      <c r="AJ51" s="49">
        <v>1.0517594043986234E-17</v>
      </c>
      <c r="AK51" s="49">
        <v>0</v>
      </c>
      <c r="AL51" s="49">
        <v>0</v>
      </c>
      <c r="AM51" s="49">
        <v>28.162567138671875</v>
      </c>
      <c r="AN51" s="49">
        <v>0</v>
      </c>
      <c r="AO51" s="48">
        <v>9999</v>
      </c>
    </row>
    <row r="52" spans="1:41" ht="12.75" customHeight="1">
      <c r="A52" t="s">
        <v>30</v>
      </c>
      <c r="B52" t="s">
        <v>61</v>
      </c>
      <c r="C52" s="49">
        <v>14</v>
      </c>
      <c r="D52" s="49">
        <v>8.69472202674172</v>
      </c>
      <c r="E52" s="49">
        <v>0</v>
      </c>
      <c r="F52" s="49">
        <v>0</v>
      </c>
      <c r="G52" s="49">
        <v>0</v>
      </c>
      <c r="H52" s="49" t="s">
        <v>221</v>
      </c>
      <c r="I52" s="49">
        <v>1</v>
      </c>
      <c r="J52" s="49">
        <v>0.6399999856948853</v>
      </c>
      <c r="K52" s="49">
        <v>9.357694581280777</v>
      </c>
      <c r="L52" s="60">
        <v>0.000683667168739361</v>
      </c>
      <c r="M52" s="49">
        <v>0.0010682299750320522</v>
      </c>
      <c r="N52" s="49"/>
      <c r="O52" s="49"/>
      <c r="P52" s="49">
        <v>0</v>
      </c>
      <c r="Q52" s="49">
        <v>0</v>
      </c>
      <c r="R52" s="49">
        <v>0</v>
      </c>
      <c r="S52" s="49">
        <v>0</v>
      </c>
      <c r="T52" s="49">
        <v>0</v>
      </c>
      <c r="U52" s="49">
        <v>0</v>
      </c>
      <c r="V52" s="49">
        <v>0</v>
      </c>
      <c r="W52" s="49">
        <v>0</v>
      </c>
      <c r="X52" s="49">
        <v>0</v>
      </c>
      <c r="Y52" s="49">
        <v>0</v>
      </c>
      <c r="Z52" s="49">
        <v>0</v>
      </c>
      <c r="AA52" s="49">
        <v>0</v>
      </c>
      <c r="AB52" s="49">
        <v>0</v>
      </c>
      <c r="AC52" s="49">
        <v>0</v>
      </c>
      <c r="AD52" s="49">
        <v>3.0858509242353462</v>
      </c>
      <c r="AE52" s="49">
        <v>0.020630569167661407</v>
      </c>
      <c r="AF52" s="49">
        <v>0.33107027411460876</v>
      </c>
      <c r="AG52" s="49">
        <v>3.436616252178997</v>
      </c>
      <c r="AH52" s="49">
        <v>0</v>
      </c>
      <c r="AI52" s="48">
        <v>9999</v>
      </c>
      <c r="AJ52" s="49">
        <v>0.21490176022052765</v>
      </c>
      <c r="AK52" s="49">
        <v>0</v>
      </c>
      <c r="AL52" s="49">
        <v>0</v>
      </c>
      <c r="AM52" s="49">
        <v>3.6515181064605713</v>
      </c>
      <c r="AN52" s="49">
        <v>0</v>
      </c>
      <c r="AO52" s="48">
        <v>9999</v>
      </c>
    </row>
    <row r="53" spans="1:41" ht="12.75" customHeight="1">
      <c r="A53" t="s">
        <v>62</v>
      </c>
      <c r="B53" t="s">
        <v>63</v>
      </c>
      <c r="C53" s="49">
        <v>14</v>
      </c>
      <c r="D53" s="49">
        <v>75.37875713641895</v>
      </c>
      <c r="E53" s="49">
        <v>30</v>
      </c>
      <c r="F53" s="49">
        <v>-1.51</v>
      </c>
      <c r="G53" s="49">
        <v>0</v>
      </c>
      <c r="H53" s="49" t="s">
        <v>219</v>
      </c>
      <c r="I53" s="49">
        <v>0.218</v>
      </c>
      <c r="J53" s="49">
        <v>0.029999999329447746</v>
      </c>
      <c r="K53" s="49">
        <v>81.1263873680709</v>
      </c>
      <c r="L53" s="60">
        <v>0.0012744499427352462</v>
      </c>
      <c r="M53" s="49">
        <v>0.04248166570738076</v>
      </c>
      <c r="N53" s="49"/>
      <c r="O53" s="49"/>
      <c r="P53" s="49">
        <v>30.000006401454133</v>
      </c>
      <c r="Q53" s="49">
        <v>0</v>
      </c>
      <c r="R53" s="49">
        <v>0</v>
      </c>
      <c r="S53" s="49">
        <v>-15.211888313293457</v>
      </c>
      <c r="T53" s="49">
        <v>0</v>
      </c>
      <c r="U53" s="49">
        <v>0</v>
      </c>
      <c r="V53" s="49">
        <v>30.000006401454133</v>
      </c>
      <c r="W53" s="49">
        <v>-15.211888313293457</v>
      </c>
      <c r="X53" s="49">
        <v>14.788118088160676</v>
      </c>
      <c r="Y53" s="49">
        <v>0</v>
      </c>
      <c r="Z53" s="49">
        <v>0</v>
      </c>
      <c r="AA53" s="49">
        <v>36.76325607299805</v>
      </c>
      <c r="AB53" s="49">
        <v>-18.641281127929688</v>
      </c>
      <c r="AC53" s="49">
        <v>18.121975832639123</v>
      </c>
      <c r="AD53" s="49">
        <v>27.573394412645918</v>
      </c>
      <c r="AE53" s="49">
        <v>0.03845822777010567</v>
      </c>
      <c r="AF53" s="49">
        <v>3.5768842697143555</v>
      </c>
      <c r="AG53" s="49">
        <v>31.1869929804461</v>
      </c>
      <c r="AH53" s="49">
        <v>30.000006401454133</v>
      </c>
      <c r="AI53" s="48">
        <v>1.0395662108570227</v>
      </c>
      <c r="AJ53" s="49">
        <v>8.546273231506348</v>
      </c>
      <c r="AK53" s="49">
        <v>225.42627275030506</v>
      </c>
      <c r="AL53" s="49">
        <v>0</v>
      </c>
      <c r="AM53" s="49">
        <v>265.1595458984375</v>
      </c>
      <c r="AN53" s="49">
        <v>14.788118088160676</v>
      </c>
      <c r="AO53" s="48">
        <v>17.930580139160156</v>
      </c>
    </row>
    <row r="54" spans="1:41" ht="12.75" customHeight="1">
      <c r="A54" t="s">
        <v>62</v>
      </c>
      <c r="B54" t="s">
        <v>64</v>
      </c>
      <c r="C54" s="49">
        <v>14</v>
      </c>
      <c r="D54" s="49">
        <v>1E-16</v>
      </c>
      <c r="E54" s="49">
        <v>0</v>
      </c>
      <c r="F54" s="49">
        <v>-1.49</v>
      </c>
      <c r="G54" s="49">
        <v>0</v>
      </c>
      <c r="H54" s="49" t="s">
        <v>220</v>
      </c>
      <c r="I54" s="49">
        <v>0.235</v>
      </c>
      <c r="J54" s="49">
        <v>0.026000000536441803</v>
      </c>
      <c r="K54" s="49">
        <v>1.07625E-16</v>
      </c>
      <c r="L54" s="60">
        <v>1.3592976089257502E-21</v>
      </c>
      <c r="M54" s="49">
        <v>5.228067618770038E-20</v>
      </c>
      <c r="N54" s="49"/>
      <c r="O54" s="49"/>
      <c r="P54" s="49">
        <v>0</v>
      </c>
      <c r="Q54" s="49">
        <v>0</v>
      </c>
      <c r="R54" s="49">
        <v>0</v>
      </c>
      <c r="S54" s="49">
        <v>-14.950362205505371</v>
      </c>
      <c r="T54" s="49">
        <v>0</v>
      </c>
      <c r="U54" s="49">
        <v>0</v>
      </c>
      <c r="V54" s="49">
        <v>0</v>
      </c>
      <c r="W54" s="49">
        <v>-14.950362205505371</v>
      </c>
      <c r="X54" s="49">
        <v>0</v>
      </c>
      <c r="Y54" s="49">
        <v>0</v>
      </c>
      <c r="Z54" s="49">
        <v>0</v>
      </c>
      <c r="AA54" s="49">
        <v>0</v>
      </c>
      <c r="AB54" s="49">
        <v>-1.380998919016887E+19</v>
      </c>
      <c r="AC54" s="49">
        <v>-1.3809988722956382E+19</v>
      </c>
      <c r="AD54" s="49">
        <v>3.6579794088817794E-17</v>
      </c>
      <c r="AE54" s="49">
        <v>4.1018619326256554E-20</v>
      </c>
      <c r="AF54" s="49">
        <v>4.665961640060037E-18</v>
      </c>
      <c r="AG54" s="49">
        <v>4.1284914314812044E-17</v>
      </c>
      <c r="AH54" s="49">
        <v>0</v>
      </c>
      <c r="AI54" s="48">
        <v>9999</v>
      </c>
      <c r="AJ54" s="49">
        <v>1.0517594043986234E-17</v>
      </c>
      <c r="AK54" s="49">
        <v>0</v>
      </c>
      <c r="AL54" s="49">
        <v>0</v>
      </c>
      <c r="AM54" s="49">
        <v>14.950362205505371</v>
      </c>
      <c r="AN54" s="49">
        <v>0</v>
      </c>
      <c r="AO54" s="48">
        <v>9999</v>
      </c>
    </row>
    <row r="55" spans="1:41" ht="12.75" customHeight="1">
      <c r="A55" t="s">
        <v>62</v>
      </c>
      <c r="B55" t="s">
        <v>65</v>
      </c>
      <c r="C55" s="49">
        <v>14</v>
      </c>
      <c r="D55" s="49">
        <v>5.127656579873335</v>
      </c>
      <c r="E55" s="49">
        <v>0</v>
      </c>
      <c r="F55" s="49">
        <v>0</v>
      </c>
      <c r="G55" s="49">
        <v>0</v>
      </c>
      <c r="H55" s="49" t="s">
        <v>221</v>
      </c>
      <c r="I55" s="49">
        <v>1</v>
      </c>
      <c r="J55" s="49">
        <v>0.6399999856948853</v>
      </c>
      <c r="K55" s="49">
        <v>5.518640394088677</v>
      </c>
      <c r="L55" s="60">
        <v>0.0004031883302821882</v>
      </c>
      <c r="M55" s="49">
        <v>0.0006299817801471092</v>
      </c>
      <c r="N55" s="49"/>
      <c r="O55" s="49"/>
      <c r="P55" s="49">
        <v>0</v>
      </c>
      <c r="Q55" s="49">
        <v>0</v>
      </c>
      <c r="R55" s="49">
        <v>0</v>
      </c>
      <c r="S55" s="49">
        <v>0</v>
      </c>
      <c r="T55" s="49">
        <v>0</v>
      </c>
      <c r="U55" s="49">
        <v>0</v>
      </c>
      <c r="V55" s="49">
        <v>0</v>
      </c>
      <c r="W55" s="49">
        <v>0</v>
      </c>
      <c r="X55" s="49">
        <v>0</v>
      </c>
      <c r="Y55" s="49">
        <v>0</v>
      </c>
      <c r="Z55" s="49">
        <v>0</v>
      </c>
      <c r="AA55" s="49">
        <v>0</v>
      </c>
      <c r="AB55" s="49">
        <v>0</v>
      </c>
      <c r="AC55" s="49">
        <v>0</v>
      </c>
      <c r="AD55" s="49">
        <v>1.819860801472133</v>
      </c>
      <c r="AE55" s="49">
        <v>0.012166745919390088</v>
      </c>
      <c r="AF55" s="49">
        <v>0.19524657726287842</v>
      </c>
      <c r="AG55" s="49">
        <v>2.026722410480344</v>
      </c>
      <c r="AH55" s="49">
        <v>0</v>
      </c>
      <c r="AI55" s="48">
        <v>9999</v>
      </c>
      <c r="AJ55" s="49">
        <v>0.12673693895339966</v>
      </c>
      <c r="AK55" s="49">
        <v>0</v>
      </c>
      <c r="AL55" s="49">
        <v>0</v>
      </c>
      <c r="AM55" s="49">
        <v>2.153459310531616</v>
      </c>
      <c r="AN55" s="49">
        <v>0</v>
      </c>
      <c r="AO55" s="48">
        <v>9999</v>
      </c>
    </row>
    <row r="56" spans="1:41" ht="12.75" customHeight="1">
      <c r="A56" t="s">
        <v>67</v>
      </c>
      <c r="B56" t="s">
        <v>68</v>
      </c>
      <c r="C56" s="49">
        <v>14</v>
      </c>
      <c r="D56" s="49">
        <v>26.133401908724366</v>
      </c>
      <c r="E56" s="49">
        <v>170</v>
      </c>
      <c r="F56" s="49">
        <v>-1.11</v>
      </c>
      <c r="G56" s="49">
        <v>0</v>
      </c>
      <c r="H56" s="49" t="s">
        <v>219</v>
      </c>
      <c r="I56" s="49">
        <v>0.218</v>
      </c>
      <c r="J56" s="49">
        <v>0.029999999329447746</v>
      </c>
      <c r="K56" s="49">
        <v>28.1260738042646</v>
      </c>
      <c r="L56" s="60">
        <v>0.00044184480921826476</v>
      </c>
      <c r="M56" s="49">
        <v>0.014728160636475536</v>
      </c>
      <c r="N56" s="49"/>
      <c r="O56" s="49"/>
      <c r="P56" s="49">
        <v>170.00003627490676</v>
      </c>
      <c r="Q56" s="49">
        <v>0</v>
      </c>
      <c r="R56" s="49">
        <v>0</v>
      </c>
      <c r="S56" s="49">
        <v>-11.148143768310547</v>
      </c>
      <c r="T56" s="49">
        <v>0</v>
      </c>
      <c r="U56" s="49">
        <v>0</v>
      </c>
      <c r="V56" s="49">
        <v>170.00003627490676</v>
      </c>
      <c r="W56" s="49">
        <v>-11.148143768310547</v>
      </c>
      <c r="X56" s="49">
        <v>158.85189250659622</v>
      </c>
      <c r="Y56" s="49">
        <v>0</v>
      </c>
      <c r="Z56" s="49">
        <v>0</v>
      </c>
      <c r="AA56" s="49">
        <v>600.8895874023438</v>
      </c>
      <c r="AB56" s="49">
        <v>-39.40471649169922</v>
      </c>
      <c r="AC56" s="49">
        <v>561.4848660983627</v>
      </c>
      <c r="AD56" s="49">
        <v>9.559544698638996</v>
      </c>
      <c r="AE56" s="49">
        <v>0.013333256758194184</v>
      </c>
      <c r="AF56" s="49">
        <v>1.2400861978530884</v>
      </c>
      <c r="AG56" s="49">
        <v>10.812359542388132</v>
      </c>
      <c r="AH56" s="49">
        <v>170.00003627490676</v>
      </c>
      <c r="AI56" s="69">
        <v>0.06360210138369314</v>
      </c>
      <c r="AJ56" s="49">
        <v>2.9629461765289307</v>
      </c>
      <c r="AK56" s="49">
        <v>260.38555733805885</v>
      </c>
      <c r="AL56" s="49">
        <v>0</v>
      </c>
      <c r="AM56" s="49">
        <v>274.1608581542969</v>
      </c>
      <c r="AN56" s="49">
        <v>158.85189250659622</v>
      </c>
      <c r="AO56" s="48">
        <v>1.725889801979065</v>
      </c>
    </row>
    <row r="57" spans="1:41" ht="12.75" customHeight="1">
      <c r="A57" t="s">
        <v>67</v>
      </c>
      <c r="B57" t="s">
        <v>69</v>
      </c>
      <c r="C57" s="49">
        <v>14</v>
      </c>
      <c r="D57" s="49">
        <v>1E-16</v>
      </c>
      <c r="E57" s="49">
        <v>0</v>
      </c>
      <c r="F57" s="49">
        <v>-3.91</v>
      </c>
      <c r="G57" s="49">
        <v>0</v>
      </c>
      <c r="H57" s="49" t="s">
        <v>220</v>
      </c>
      <c r="I57" s="49">
        <v>0.235</v>
      </c>
      <c r="J57" s="49">
        <v>0.026000000536441803</v>
      </c>
      <c r="K57" s="49">
        <v>1.07625E-16</v>
      </c>
      <c r="L57" s="60">
        <v>1.3592976089257502E-21</v>
      </c>
      <c r="M57" s="49">
        <v>5.228067618770038E-20</v>
      </c>
      <c r="N57" s="49"/>
      <c r="O57" s="49"/>
      <c r="P57" s="49">
        <v>0</v>
      </c>
      <c r="Q57" s="49">
        <v>0</v>
      </c>
      <c r="R57" s="49">
        <v>0</v>
      </c>
      <c r="S57" s="49">
        <v>-39.3097038269043</v>
      </c>
      <c r="T57" s="49">
        <v>0</v>
      </c>
      <c r="U57" s="49">
        <v>0</v>
      </c>
      <c r="V57" s="49">
        <v>0</v>
      </c>
      <c r="W57" s="49">
        <v>-39.3097038269043</v>
      </c>
      <c r="X57" s="49">
        <v>0</v>
      </c>
      <c r="Y57" s="49">
        <v>0</v>
      </c>
      <c r="Z57" s="49">
        <v>0</v>
      </c>
      <c r="AA57" s="49">
        <v>0</v>
      </c>
      <c r="AB57" s="49">
        <v>-3.6311265954186134E+19</v>
      </c>
      <c r="AC57" s="49">
        <v>-3.631126517807018E+19</v>
      </c>
      <c r="AD57" s="49">
        <v>3.6579794088817794E-17</v>
      </c>
      <c r="AE57" s="49">
        <v>4.1018619326256554E-20</v>
      </c>
      <c r="AF57" s="49">
        <v>4.665961640060037E-18</v>
      </c>
      <c r="AG57" s="49">
        <v>4.1284914314812044E-17</v>
      </c>
      <c r="AH57" s="49">
        <v>0</v>
      </c>
      <c r="AI57" s="48">
        <v>9999</v>
      </c>
      <c r="AJ57" s="49">
        <v>1.0517594043986234E-17</v>
      </c>
      <c r="AK57" s="49">
        <v>0</v>
      </c>
      <c r="AL57" s="49">
        <v>0</v>
      </c>
      <c r="AM57" s="49">
        <v>39.3097038269043</v>
      </c>
      <c r="AN57" s="49">
        <v>0</v>
      </c>
      <c r="AO57" s="48">
        <v>9999</v>
      </c>
    </row>
    <row r="58" spans="1:41" ht="12.75" customHeight="1">
      <c r="A58" t="s">
        <v>67</v>
      </c>
      <c r="B58" t="s">
        <v>70</v>
      </c>
      <c r="C58" s="49">
        <v>14</v>
      </c>
      <c r="D58" s="49">
        <v>8.69472202674172</v>
      </c>
      <c r="E58" s="49">
        <v>0</v>
      </c>
      <c r="F58" s="49">
        <v>0</v>
      </c>
      <c r="G58" s="49">
        <v>0</v>
      </c>
      <c r="H58" s="49" t="s">
        <v>221</v>
      </c>
      <c r="I58" s="49">
        <v>1</v>
      </c>
      <c r="J58" s="49">
        <v>0.6399999856948853</v>
      </c>
      <c r="K58" s="49">
        <v>9.357694581280777</v>
      </c>
      <c r="L58" s="60">
        <v>0.000683667168739361</v>
      </c>
      <c r="M58" s="49">
        <v>0.0010682299750320522</v>
      </c>
      <c r="N58" s="49"/>
      <c r="O58" s="49"/>
      <c r="P58" s="49">
        <v>0</v>
      </c>
      <c r="Q58" s="49">
        <v>0</v>
      </c>
      <c r="R58" s="49">
        <v>0</v>
      </c>
      <c r="S58" s="49">
        <v>0</v>
      </c>
      <c r="T58" s="49">
        <v>0</v>
      </c>
      <c r="U58" s="49">
        <v>0</v>
      </c>
      <c r="V58" s="49">
        <v>0</v>
      </c>
      <c r="W58" s="49">
        <v>0</v>
      </c>
      <c r="X58" s="49">
        <v>0</v>
      </c>
      <c r="Y58" s="49">
        <v>0</v>
      </c>
      <c r="Z58" s="49">
        <v>0</v>
      </c>
      <c r="AA58" s="49">
        <v>0</v>
      </c>
      <c r="AB58" s="49">
        <v>0</v>
      </c>
      <c r="AC58" s="49">
        <v>0</v>
      </c>
      <c r="AD58" s="49">
        <v>3.0858509242353462</v>
      </c>
      <c r="AE58" s="49">
        <v>0.020630569167661407</v>
      </c>
      <c r="AF58" s="49">
        <v>0.33107027411460876</v>
      </c>
      <c r="AG58" s="49">
        <v>3.436616252178997</v>
      </c>
      <c r="AH58" s="49">
        <v>0</v>
      </c>
      <c r="AI58" s="48">
        <v>9999</v>
      </c>
      <c r="AJ58" s="49">
        <v>0.21490176022052765</v>
      </c>
      <c r="AK58" s="49">
        <v>0</v>
      </c>
      <c r="AL58" s="49">
        <v>0</v>
      </c>
      <c r="AM58" s="49">
        <v>3.6515181064605713</v>
      </c>
      <c r="AN58" s="49">
        <v>0</v>
      </c>
      <c r="AO58" s="48">
        <v>9999</v>
      </c>
    </row>
    <row r="59" spans="1:41" ht="12.75" customHeight="1">
      <c r="A59" t="s">
        <v>71</v>
      </c>
      <c r="B59" t="s">
        <v>72</v>
      </c>
      <c r="C59" s="49">
        <v>14</v>
      </c>
      <c r="D59" s="49">
        <v>75.37875713641895</v>
      </c>
      <c r="E59" s="49">
        <v>30</v>
      </c>
      <c r="F59" s="49">
        <v>-1.51</v>
      </c>
      <c r="G59" s="49">
        <v>0</v>
      </c>
      <c r="H59" s="49" t="s">
        <v>219</v>
      </c>
      <c r="I59" s="49">
        <v>0.218</v>
      </c>
      <c r="J59" s="49">
        <v>0.029999999329447746</v>
      </c>
      <c r="K59" s="49">
        <v>81.1263873680709</v>
      </c>
      <c r="L59" s="60">
        <v>0.0012744499427352462</v>
      </c>
      <c r="M59" s="49">
        <v>0.04248166570738076</v>
      </c>
      <c r="N59" s="49"/>
      <c r="O59" s="49"/>
      <c r="P59" s="49">
        <v>30.000006401454133</v>
      </c>
      <c r="Q59" s="49">
        <v>0</v>
      </c>
      <c r="R59" s="49">
        <v>0</v>
      </c>
      <c r="S59" s="49">
        <v>-15.211888313293457</v>
      </c>
      <c r="T59" s="49">
        <v>0</v>
      </c>
      <c r="U59" s="49">
        <v>0</v>
      </c>
      <c r="V59" s="49">
        <v>30.000006401454133</v>
      </c>
      <c r="W59" s="49">
        <v>-15.211888313293457</v>
      </c>
      <c r="X59" s="49">
        <v>14.788118088160676</v>
      </c>
      <c r="Y59" s="49">
        <v>0</v>
      </c>
      <c r="Z59" s="49">
        <v>0</v>
      </c>
      <c r="AA59" s="49">
        <v>36.76325607299805</v>
      </c>
      <c r="AB59" s="49">
        <v>-18.641281127929688</v>
      </c>
      <c r="AC59" s="49">
        <v>18.121975832639123</v>
      </c>
      <c r="AD59" s="49">
        <v>27.573394412645918</v>
      </c>
      <c r="AE59" s="49">
        <v>0.03845822777010567</v>
      </c>
      <c r="AF59" s="49">
        <v>3.5768842697143555</v>
      </c>
      <c r="AG59" s="49">
        <v>31.1869929804461</v>
      </c>
      <c r="AH59" s="49">
        <v>30.000006401454133</v>
      </c>
      <c r="AI59" s="48">
        <v>1.0395662108570227</v>
      </c>
      <c r="AJ59" s="49">
        <v>8.546273231506348</v>
      </c>
      <c r="AK59" s="49">
        <v>225.42627275030506</v>
      </c>
      <c r="AL59" s="49">
        <v>0</v>
      </c>
      <c r="AM59" s="49">
        <v>265.1595458984375</v>
      </c>
      <c r="AN59" s="49">
        <v>14.788118088160676</v>
      </c>
      <c r="AO59" s="48">
        <v>17.930580139160156</v>
      </c>
    </row>
    <row r="60" spans="1:41" ht="12.75" customHeight="1">
      <c r="A60" t="s">
        <v>71</v>
      </c>
      <c r="B60" t="s">
        <v>73</v>
      </c>
      <c r="C60" s="49">
        <v>14</v>
      </c>
      <c r="D60" s="49">
        <v>-2.2649458678262135</v>
      </c>
      <c r="E60" s="49">
        <v>0</v>
      </c>
      <c r="F60" s="49">
        <v>0</v>
      </c>
      <c r="G60" s="49">
        <v>0</v>
      </c>
      <c r="H60" s="49" t="s">
        <v>220</v>
      </c>
      <c r="I60" s="49">
        <v>0.235</v>
      </c>
      <c r="J60" s="49">
        <v>0.026000000536441803</v>
      </c>
      <c r="K60" s="49">
        <v>-2.437647990247962</v>
      </c>
      <c r="L60" s="60">
        <v>-3.078735502482429E-05</v>
      </c>
      <c r="M60" s="49">
        <v>-0.0011841290149849227</v>
      </c>
      <c r="N60" s="49"/>
      <c r="O60" s="49"/>
      <c r="P60" s="49">
        <v>0</v>
      </c>
      <c r="Q60" s="49">
        <v>0</v>
      </c>
      <c r="R60" s="49">
        <v>0</v>
      </c>
      <c r="S60" s="49">
        <v>0</v>
      </c>
      <c r="T60" s="49">
        <v>0</v>
      </c>
      <c r="U60" s="49">
        <v>0</v>
      </c>
      <c r="V60" s="49">
        <v>0</v>
      </c>
      <c r="W60" s="49">
        <v>0</v>
      </c>
      <c r="X60" s="49">
        <v>0</v>
      </c>
      <c r="Y60" s="49">
        <v>0</v>
      </c>
      <c r="Z60" s="49">
        <v>0</v>
      </c>
      <c r="AA60" s="49">
        <v>0</v>
      </c>
      <c r="AB60" s="49">
        <v>0</v>
      </c>
      <c r="AC60" s="49">
        <v>0</v>
      </c>
      <c r="AD60" s="49">
        <v>-0.8285125346740178</v>
      </c>
      <c r="AE60" s="49">
        <v>-0.0009290495234694121</v>
      </c>
      <c r="AF60" s="49">
        <v>-0.10568150132894516</v>
      </c>
      <c r="AG60" s="49">
        <v>-0.935080956776979</v>
      </c>
      <c r="AH60" s="49">
        <v>0</v>
      </c>
      <c r="AI60" s="48">
        <v>9999</v>
      </c>
      <c r="AJ60" s="49">
        <v>-0.23821783065795898</v>
      </c>
      <c r="AK60" s="49">
        <v>0</v>
      </c>
      <c r="AL60" s="49">
        <v>0</v>
      </c>
      <c r="AM60" s="49">
        <v>-1.1732988357543945</v>
      </c>
      <c r="AN60" s="49">
        <v>0</v>
      </c>
      <c r="AO60" s="48">
        <v>9999</v>
      </c>
    </row>
    <row r="61" spans="1:41" ht="12.75" customHeight="1">
      <c r="A61" t="s">
        <v>71</v>
      </c>
      <c r="B61" t="s">
        <v>74</v>
      </c>
      <c r="C61" s="49">
        <v>14</v>
      </c>
      <c r="D61" s="49">
        <v>5.127656579873335</v>
      </c>
      <c r="E61" s="49">
        <v>0</v>
      </c>
      <c r="F61" s="49">
        <v>0</v>
      </c>
      <c r="G61" s="49">
        <v>0</v>
      </c>
      <c r="H61" s="49" t="s">
        <v>221</v>
      </c>
      <c r="I61" s="49">
        <v>1</v>
      </c>
      <c r="J61" s="49">
        <v>0.6399999856948853</v>
      </c>
      <c r="K61" s="49">
        <v>5.518640394088677</v>
      </c>
      <c r="L61" s="60">
        <v>0.0004031883302821882</v>
      </c>
      <c r="M61" s="49">
        <v>0.0006299817801471092</v>
      </c>
      <c r="N61" s="49"/>
      <c r="O61" s="49"/>
      <c r="P61" s="49">
        <v>0</v>
      </c>
      <c r="Q61" s="49">
        <v>0</v>
      </c>
      <c r="R61" s="49">
        <v>0</v>
      </c>
      <c r="S61" s="49">
        <v>0</v>
      </c>
      <c r="T61" s="49">
        <v>0</v>
      </c>
      <c r="U61" s="49">
        <v>0</v>
      </c>
      <c r="V61" s="49">
        <v>0</v>
      </c>
      <c r="W61" s="49">
        <v>0</v>
      </c>
      <c r="X61" s="49">
        <v>0</v>
      </c>
      <c r="Y61" s="49">
        <v>0</v>
      </c>
      <c r="Z61" s="49">
        <v>0</v>
      </c>
      <c r="AA61" s="49">
        <v>0</v>
      </c>
      <c r="AB61" s="49">
        <v>0</v>
      </c>
      <c r="AC61" s="49">
        <v>0</v>
      </c>
      <c r="AD61" s="49">
        <v>1.819860801472133</v>
      </c>
      <c r="AE61" s="49">
        <v>0.012166745919390088</v>
      </c>
      <c r="AF61" s="49">
        <v>0.19524657726287842</v>
      </c>
      <c r="AG61" s="49">
        <v>2.026722410480344</v>
      </c>
      <c r="AH61" s="49">
        <v>0</v>
      </c>
      <c r="AI61" s="48">
        <v>9999</v>
      </c>
      <c r="AJ61" s="49">
        <v>0.12673693895339966</v>
      </c>
      <c r="AK61" s="49">
        <v>0</v>
      </c>
      <c r="AL61" s="49">
        <v>0</v>
      </c>
      <c r="AM61" s="49">
        <v>2.153459310531616</v>
      </c>
      <c r="AN61" s="49">
        <v>0</v>
      </c>
      <c r="AO61" s="48">
        <v>9999</v>
      </c>
    </row>
    <row r="62" spans="1:41" ht="12.75" customHeight="1">
      <c r="A62" t="s">
        <v>76</v>
      </c>
      <c r="B62" t="s">
        <v>77</v>
      </c>
      <c r="C62" s="49">
        <v>14</v>
      </c>
      <c r="D62" s="49">
        <v>26.133401908724366</v>
      </c>
      <c r="E62" s="49">
        <v>170</v>
      </c>
      <c r="F62" s="49">
        <v>-1.11</v>
      </c>
      <c r="G62" s="49">
        <v>0</v>
      </c>
      <c r="H62" s="49" t="s">
        <v>219</v>
      </c>
      <c r="I62" s="49">
        <v>0.218</v>
      </c>
      <c r="J62" s="49">
        <v>0.029999999329447746</v>
      </c>
      <c r="K62" s="49">
        <v>28.1260738042646</v>
      </c>
      <c r="L62" s="60">
        <v>0.00044184480921826476</v>
      </c>
      <c r="M62" s="49">
        <v>0.014728160636475536</v>
      </c>
      <c r="N62" s="49"/>
      <c r="O62" s="49"/>
      <c r="P62" s="49">
        <v>170.00003627490676</v>
      </c>
      <c r="Q62" s="49">
        <v>0</v>
      </c>
      <c r="R62" s="49">
        <v>0</v>
      </c>
      <c r="S62" s="49">
        <v>-11.148143768310547</v>
      </c>
      <c r="T62" s="49">
        <v>0</v>
      </c>
      <c r="U62" s="49">
        <v>0</v>
      </c>
      <c r="V62" s="49">
        <v>170.00003627490676</v>
      </c>
      <c r="W62" s="49">
        <v>-11.148143768310547</v>
      </c>
      <c r="X62" s="49">
        <v>158.85189250659622</v>
      </c>
      <c r="Y62" s="49">
        <v>0</v>
      </c>
      <c r="Z62" s="49">
        <v>0</v>
      </c>
      <c r="AA62" s="49">
        <v>600.8895874023438</v>
      </c>
      <c r="AB62" s="49">
        <v>-39.40471649169922</v>
      </c>
      <c r="AC62" s="49">
        <v>561.4848660983627</v>
      </c>
      <c r="AD62" s="49">
        <v>9.559544698638996</v>
      </c>
      <c r="AE62" s="49">
        <v>0.013333256758194184</v>
      </c>
      <c r="AF62" s="49">
        <v>1.2400861978530884</v>
      </c>
      <c r="AG62" s="49">
        <v>10.812359542388132</v>
      </c>
      <c r="AH62" s="49">
        <v>170.00003627490676</v>
      </c>
      <c r="AI62" s="69">
        <v>0.06360210138369314</v>
      </c>
      <c r="AJ62" s="49">
        <v>2.9629461765289307</v>
      </c>
      <c r="AK62" s="49">
        <v>260.38555733805885</v>
      </c>
      <c r="AL62" s="49">
        <v>0</v>
      </c>
      <c r="AM62" s="49">
        <v>274.1608581542969</v>
      </c>
      <c r="AN62" s="49">
        <v>158.85189250659622</v>
      </c>
      <c r="AO62" s="48">
        <v>1.725889801979065</v>
      </c>
    </row>
    <row r="63" spans="1:41" ht="12.75" customHeight="1">
      <c r="A63" t="s">
        <v>76</v>
      </c>
      <c r="B63" t="s">
        <v>78</v>
      </c>
      <c r="C63" s="49">
        <v>14</v>
      </c>
      <c r="D63" s="49">
        <v>244.18347550572753</v>
      </c>
      <c r="E63" s="49">
        <v>0</v>
      </c>
      <c r="F63" s="49">
        <v>0</v>
      </c>
      <c r="G63" s="49">
        <v>0</v>
      </c>
      <c r="H63" s="49" t="s">
        <v>220</v>
      </c>
      <c r="I63" s="49">
        <v>0.235</v>
      </c>
      <c r="J63" s="49">
        <v>0.026000000536441803</v>
      </c>
      <c r="K63" s="49">
        <v>262.80246551303924</v>
      </c>
      <c r="L63" s="60">
        <v>0.0033191801439411486</v>
      </c>
      <c r="M63" s="49">
        <v>0.12766077213302207</v>
      </c>
      <c r="N63" s="49"/>
      <c r="O63" s="49"/>
      <c r="P63" s="49">
        <v>0</v>
      </c>
      <c r="Q63" s="49">
        <v>0</v>
      </c>
      <c r="R63" s="49">
        <v>0</v>
      </c>
      <c r="S63" s="49">
        <v>0</v>
      </c>
      <c r="T63" s="49">
        <v>0</v>
      </c>
      <c r="U63" s="49">
        <v>0</v>
      </c>
      <c r="V63" s="49">
        <v>0</v>
      </c>
      <c r="W63" s="49">
        <v>0</v>
      </c>
      <c r="X63" s="49">
        <v>0</v>
      </c>
      <c r="Y63" s="49">
        <v>0</v>
      </c>
      <c r="Z63" s="49">
        <v>0</v>
      </c>
      <c r="AA63" s="49">
        <v>0</v>
      </c>
      <c r="AB63" s="49">
        <v>0</v>
      </c>
      <c r="AC63" s="49">
        <v>0</v>
      </c>
      <c r="AD63" s="49">
        <v>89.32181253891389</v>
      </c>
      <c r="AE63" s="49">
        <v>0.10016069027531727</v>
      </c>
      <c r="AF63" s="49">
        <v>11.39350700378418</v>
      </c>
      <c r="AG63" s="49">
        <v>100.81093833879113</v>
      </c>
      <c r="AH63" s="49">
        <v>0</v>
      </c>
      <c r="AI63" s="48">
        <v>9999</v>
      </c>
      <c r="AJ63" s="49">
        <v>25.682228088378906</v>
      </c>
      <c r="AK63" s="49">
        <v>0</v>
      </c>
      <c r="AL63" s="49">
        <v>0</v>
      </c>
      <c r="AM63" s="49">
        <v>126.4931640625</v>
      </c>
      <c r="AN63" s="49">
        <v>0</v>
      </c>
      <c r="AO63" s="48">
        <v>9999</v>
      </c>
    </row>
    <row r="64" spans="1:41" ht="12.75" customHeight="1">
      <c r="A64" t="s">
        <v>76</v>
      </c>
      <c r="B64" t="s">
        <v>79</v>
      </c>
      <c r="C64" s="49">
        <v>14</v>
      </c>
      <c r="D64" s="49">
        <v>8.69472202674172</v>
      </c>
      <c r="E64" s="49">
        <v>0</v>
      </c>
      <c r="F64" s="49">
        <v>0</v>
      </c>
      <c r="G64" s="49">
        <v>0</v>
      </c>
      <c r="H64" s="49" t="s">
        <v>221</v>
      </c>
      <c r="I64" s="49">
        <v>1</v>
      </c>
      <c r="J64" s="49">
        <v>0.6399999856948853</v>
      </c>
      <c r="K64" s="49">
        <v>9.357694581280777</v>
      </c>
      <c r="L64" s="60">
        <v>0.000683667168739361</v>
      </c>
      <c r="M64" s="49">
        <v>0.0010682299750320522</v>
      </c>
      <c r="N64" s="49"/>
      <c r="O64" s="49"/>
      <c r="P64" s="49">
        <v>0</v>
      </c>
      <c r="Q64" s="49">
        <v>0</v>
      </c>
      <c r="R64" s="49">
        <v>0</v>
      </c>
      <c r="S64" s="49">
        <v>0</v>
      </c>
      <c r="T64" s="49">
        <v>0</v>
      </c>
      <c r="U64" s="49">
        <v>0</v>
      </c>
      <c r="V64" s="49">
        <v>0</v>
      </c>
      <c r="W64" s="49">
        <v>0</v>
      </c>
      <c r="X64" s="49">
        <v>0</v>
      </c>
      <c r="Y64" s="49">
        <v>0</v>
      </c>
      <c r="Z64" s="49">
        <v>0</v>
      </c>
      <c r="AA64" s="49">
        <v>0</v>
      </c>
      <c r="AB64" s="49">
        <v>0</v>
      </c>
      <c r="AC64" s="49">
        <v>0</v>
      </c>
      <c r="AD64" s="49">
        <v>3.0858509242353462</v>
      </c>
      <c r="AE64" s="49">
        <v>0.020630569167661407</v>
      </c>
      <c r="AF64" s="49">
        <v>0.33107027411460876</v>
      </c>
      <c r="AG64" s="49">
        <v>3.436616252178997</v>
      </c>
      <c r="AH64" s="49">
        <v>0</v>
      </c>
      <c r="AI64" s="48">
        <v>9999</v>
      </c>
      <c r="AJ64" s="49">
        <v>0.21490176022052765</v>
      </c>
      <c r="AK64" s="49">
        <v>0</v>
      </c>
      <c r="AL64" s="49">
        <v>0</v>
      </c>
      <c r="AM64" s="49">
        <v>3.6515181064605713</v>
      </c>
      <c r="AN64" s="49">
        <v>0</v>
      </c>
      <c r="AO64" s="48">
        <v>9999</v>
      </c>
    </row>
    <row r="65" spans="1:41" ht="12.75" customHeight="1">
      <c r="A65" t="s">
        <v>39</v>
      </c>
      <c r="B65" t="s">
        <v>80</v>
      </c>
      <c r="C65" s="49">
        <v>14</v>
      </c>
      <c r="D65" s="49">
        <v>146.0547153973369</v>
      </c>
      <c r="E65" s="49">
        <v>30</v>
      </c>
      <c r="F65" s="49">
        <v>-0.55</v>
      </c>
      <c r="G65" s="49">
        <v>0</v>
      </c>
      <c r="H65" s="49" t="s">
        <v>219</v>
      </c>
      <c r="I65" s="49">
        <v>0.218</v>
      </c>
      <c r="J65" s="49">
        <v>0.029999999329447746</v>
      </c>
      <c r="K65" s="49">
        <v>157.19138744638383</v>
      </c>
      <c r="L65" s="60">
        <v>0.00246938833625868</v>
      </c>
      <c r="M65" s="49">
        <v>0.08231294638179372</v>
      </c>
      <c r="N65" s="49"/>
      <c r="O65" s="49"/>
      <c r="P65" s="49">
        <v>30.000006401454133</v>
      </c>
      <c r="Q65" s="49">
        <v>0</v>
      </c>
      <c r="R65" s="49">
        <v>0</v>
      </c>
      <c r="S65" s="49">
        <v>-5.5061750411987305</v>
      </c>
      <c r="T65" s="49">
        <v>0</v>
      </c>
      <c r="U65" s="49">
        <v>0</v>
      </c>
      <c r="V65" s="49">
        <v>30.000006401454133</v>
      </c>
      <c r="W65" s="49">
        <v>-5.5061750411987305</v>
      </c>
      <c r="X65" s="49">
        <v>24.493831360255403</v>
      </c>
      <c r="Y65" s="49">
        <v>0</v>
      </c>
      <c r="Z65" s="49">
        <v>0</v>
      </c>
      <c r="AA65" s="49">
        <v>18.97349739074707</v>
      </c>
      <c r="AB65" s="49">
        <v>-3.4823789596557617</v>
      </c>
      <c r="AC65" s="49">
        <v>15.491117569389104</v>
      </c>
      <c r="AD65" s="49">
        <v>53.42651466366222</v>
      </c>
      <c r="AE65" s="49">
        <v>0.07451708843491806</v>
      </c>
      <c r="AF65" s="49">
        <v>6.930610656738281</v>
      </c>
      <c r="AG65" s="49">
        <v>60.42826335134778</v>
      </c>
      <c r="AH65" s="49">
        <v>30.000006401454133</v>
      </c>
      <c r="AI65" s="48">
        <v>2.0142750152352886</v>
      </c>
      <c r="AJ65" s="49">
        <v>16.559354782104492</v>
      </c>
      <c r="AK65" s="49">
        <v>225.42627275030506</v>
      </c>
      <c r="AL65" s="49">
        <v>0</v>
      </c>
      <c r="AM65" s="49">
        <v>302.41387939453125</v>
      </c>
      <c r="AN65" s="49">
        <v>24.493831360255403</v>
      </c>
      <c r="AO65" s="48">
        <v>12.346531867980957</v>
      </c>
    </row>
    <row r="66" spans="1:41" ht="12.75" customHeight="1">
      <c r="A66" t="s">
        <v>39</v>
      </c>
      <c r="B66" t="s">
        <v>81</v>
      </c>
      <c r="C66" s="49">
        <v>14</v>
      </c>
      <c r="D66" s="49">
        <v>-1.8590920083954645</v>
      </c>
      <c r="E66" s="49">
        <v>0</v>
      </c>
      <c r="F66" s="49">
        <v>-0.54</v>
      </c>
      <c r="G66" s="49">
        <v>0</v>
      </c>
      <c r="H66" s="49" t="s">
        <v>220</v>
      </c>
      <c r="I66" s="49">
        <v>0.235</v>
      </c>
      <c r="J66" s="49">
        <v>0.026000000536441803</v>
      </c>
      <c r="K66" s="49">
        <v>-2.0008477740356185</v>
      </c>
      <c r="L66" s="60">
        <v>-2.527059321784925E-05</v>
      </c>
      <c r="M66" s="49">
        <v>-0.0009719458729406483</v>
      </c>
      <c r="N66" s="49"/>
      <c r="O66" s="49"/>
      <c r="P66" s="49">
        <v>0</v>
      </c>
      <c r="Q66" s="49">
        <v>0</v>
      </c>
      <c r="R66" s="49">
        <v>0</v>
      </c>
      <c r="S66" s="49">
        <v>-5.459904670715332</v>
      </c>
      <c r="T66" s="49">
        <v>0</v>
      </c>
      <c r="U66" s="49">
        <v>0</v>
      </c>
      <c r="V66" s="49">
        <v>0</v>
      </c>
      <c r="W66" s="49">
        <v>-5.459904670715332</v>
      </c>
      <c r="X66" s="49">
        <v>0</v>
      </c>
      <c r="Y66" s="49">
        <v>0</v>
      </c>
      <c r="Z66" s="49">
        <v>0</v>
      </c>
      <c r="AA66" s="49">
        <v>0</v>
      </c>
      <c r="AB66" s="49">
        <v>271.2850036621094</v>
      </c>
      <c r="AC66" s="49">
        <v>271.28500263793046</v>
      </c>
      <c r="AD66" s="49">
        <v>-0.6800520285927287</v>
      </c>
      <c r="AE66" s="49">
        <v>-0.0007625738738485927</v>
      </c>
      <c r="AF66" s="49">
        <v>-0.086744524538517</v>
      </c>
      <c r="AG66" s="49">
        <v>-0.7675245472729494</v>
      </c>
      <c r="AH66" s="49">
        <v>0</v>
      </c>
      <c r="AI66" s="48">
        <v>9999</v>
      </c>
      <c r="AJ66" s="49">
        <v>-0.19553178548812866</v>
      </c>
      <c r="AK66" s="49">
        <v>0</v>
      </c>
      <c r="AL66" s="49">
        <v>0</v>
      </c>
      <c r="AM66" s="49">
        <v>4.496848106384277</v>
      </c>
      <c r="AN66" s="49">
        <v>0</v>
      </c>
      <c r="AO66" s="48">
        <v>9999</v>
      </c>
    </row>
    <row r="67" spans="1:41" ht="12.75" customHeight="1">
      <c r="A67" t="s">
        <v>39</v>
      </c>
      <c r="B67" t="s">
        <v>82</v>
      </c>
      <c r="C67" s="49">
        <v>14</v>
      </c>
      <c r="D67" s="49">
        <v>5.127656579873335</v>
      </c>
      <c r="E67" s="49">
        <v>0</v>
      </c>
      <c r="F67" s="49">
        <v>0</v>
      </c>
      <c r="G67" s="49">
        <v>0</v>
      </c>
      <c r="H67" s="49" t="s">
        <v>221</v>
      </c>
      <c r="I67" s="49">
        <v>1</v>
      </c>
      <c r="J67" s="49">
        <v>0.6399999856948853</v>
      </c>
      <c r="K67" s="49">
        <v>5.518640394088677</v>
      </c>
      <c r="L67" s="60">
        <v>0.0004031883302821882</v>
      </c>
      <c r="M67" s="49">
        <v>0.0006299817801471092</v>
      </c>
      <c r="N67" s="49"/>
      <c r="O67" s="49"/>
      <c r="P67" s="49">
        <v>0</v>
      </c>
      <c r="Q67" s="49">
        <v>0</v>
      </c>
      <c r="R67" s="49">
        <v>0</v>
      </c>
      <c r="S67" s="49">
        <v>0</v>
      </c>
      <c r="T67" s="49">
        <v>0</v>
      </c>
      <c r="U67" s="49">
        <v>0</v>
      </c>
      <c r="V67" s="49">
        <v>0</v>
      </c>
      <c r="W67" s="49">
        <v>0</v>
      </c>
      <c r="X67" s="49">
        <v>0</v>
      </c>
      <c r="Y67" s="49">
        <v>0</v>
      </c>
      <c r="Z67" s="49">
        <v>0</v>
      </c>
      <c r="AA67" s="49">
        <v>0</v>
      </c>
      <c r="AB67" s="49">
        <v>0</v>
      </c>
      <c r="AC67" s="49">
        <v>0</v>
      </c>
      <c r="AD67" s="49">
        <v>1.819860801472133</v>
      </c>
      <c r="AE67" s="49">
        <v>0.012166745919390088</v>
      </c>
      <c r="AF67" s="49">
        <v>0.19524657726287842</v>
      </c>
      <c r="AG67" s="49">
        <v>2.026722410480344</v>
      </c>
      <c r="AH67" s="49">
        <v>0</v>
      </c>
      <c r="AI67" s="48">
        <v>9999</v>
      </c>
      <c r="AJ67" s="49">
        <v>0.12673693895339966</v>
      </c>
      <c r="AK67" s="49">
        <v>0</v>
      </c>
      <c r="AL67" s="49">
        <v>0</v>
      </c>
      <c r="AM67" s="49">
        <v>2.153459310531616</v>
      </c>
      <c r="AN67" s="49">
        <v>0</v>
      </c>
      <c r="AO67" s="48">
        <v>9999</v>
      </c>
    </row>
    <row r="68" spans="1:41" ht="12.75" customHeight="1">
      <c r="A68" t="s">
        <v>41</v>
      </c>
      <c r="B68" t="s">
        <v>83</v>
      </c>
      <c r="C68" s="49">
        <v>14</v>
      </c>
      <c r="D68" s="49">
        <v>77.92694864449118</v>
      </c>
      <c r="E68" s="49">
        <v>170</v>
      </c>
      <c r="F68" s="49">
        <v>-0.08</v>
      </c>
      <c r="G68" s="49">
        <v>0</v>
      </c>
      <c r="H68" s="49" t="s">
        <v>219</v>
      </c>
      <c r="I68" s="49">
        <v>0.218</v>
      </c>
      <c r="J68" s="49">
        <v>0.029999999329447746</v>
      </c>
      <c r="K68" s="49">
        <v>83.86887847863362</v>
      </c>
      <c r="L68" s="60">
        <v>0.0013175329364713162</v>
      </c>
      <c r="M68" s="49">
        <v>0.04391776553068243</v>
      </c>
      <c r="N68" s="49"/>
      <c r="O68" s="49"/>
      <c r="P68" s="49">
        <v>170.00003627490676</v>
      </c>
      <c r="Q68" s="49">
        <v>0</v>
      </c>
      <c r="R68" s="49">
        <v>0</v>
      </c>
      <c r="S68" s="49">
        <v>-0.8137550950050354</v>
      </c>
      <c r="T68" s="49">
        <v>0</v>
      </c>
      <c r="U68" s="49">
        <v>0</v>
      </c>
      <c r="V68" s="49">
        <v>170.00003627490676</v>
      </c>
      <c r="W68" s="49">
        <v>-0.8137550950050354</v>
      </c>
      <c r="X68" s="49">
        <v>169.18628117990173</v>
      </c>
      <c r="Y68" s="49">
        <v>0</v>
      </c>
      <c r="Z68" s="49">
        <v>0</v>
      </c>
      <c r="AA68" s="49">
        <v>201.512939453125</v>
      </c>
      <c r="AB68" s="49">
        <v>-0.9646009206771851</v>
      </c>
      <c r="AC68" s="49">
        <v>200.5483451989732</v>
      </c>
      <c r="AD68" s="49">
        <v>28.505517628260474</v>
      </c>
      <c r="AE68" s="49">
        <v>0.03975831460016489</v>
      </c>
      <c r="AF68" s="49">
        <v>3.697801351547241</v>
      </c>
      <c r="AG68" s="49">
        <v>32.24127441088858</v>
      </c>
      <c r="AH68" s="49">
        <v>170.00003627490676</v>
      </c>
      <c r="AI68" s="69">
        <v>0.18965451488934548</v>
      </c>
      <c r="AJ68" s="49">
        <v>8.83518123626709</v>
      </c>
      <c r="AK68" s="49">
        <v>260.38555733805885</v>
      </c>
      <c r="AL68" s="49">
        <v>0</v>
      </c>
      <c r="AM68" s="49">
        <v>301.4620056152344</v>
      </c>
      <c r="AN68" s="49">
        <v>169.18628117990173</v>
      </c>
      <c r="AO68" s="48">
        <v>1.7818348407745361</v>
      </c>
    </row>
    <row r="69" spans="1:41" ht="12.75" customHeight="1">
      <c r="A69" t="s">
        <v>41</v>
      </c>
      <c r="B69" t="s">
        <v>84</v>
      </c>
      <c r="C69" s="49">
        <v>14</v>
      </c>
      <c r="D69" s="49">
        <v>200.42843157687312</v>
      </c>
      <c r="E69" s="49">
        <v>0</v>
      </c>
      <c r="F69" s="49">
        <v>-0.58</v>
      </c>
      <c r="G69" s="49">
        <v>0</v>
      </c>
      <c r="H69" s="49" t="s">
        <v>220</v>
      </c>
      <c r="I69" s="49">
        <v>0.235</v>
      </c>
      <c r="J69" s="49">
        <v>0.026000000536441803</v>
      </c>
      <c r="K69" s="49">
        <v>215.7110994846097</v>
      </c>
      <c r="L69" s="60">
        <v>0.0027244188780318193</v>
      </c>
      <c r="M69" s="49">
        <v>0.10478533930079165</v>
      </c>
      <c r="N69" s="49"/>
      <c r="O69" s="49"/>
      <c r="P69" s="49">
        <v>0</v>
      </c>
      <c r="Q69" s="49">
        <v>0</v>
      </c>
      <c r="R69" s="49">
        <v>0</v>
      </c>
      <c r="S69" s="49">
        <v>-5.860244274139404</v>
      </c>
      <c r="T69" s="49">
        <v>0</v>
      </c>
      <c r="U69" s="49">
        <v>0</v>
      </c>
      <c r="V69" s="49">
        <v>0</v>
      </c>
      <c r="W69" s="49">
        <v>-5.860244274139404</v>
      </c>
      <c r="X69" s="49">
        <v>0</v>
      </c>
      <c r="Y69" s="49">
        <v>0</v>
      </c>
      <c r="Z69" s="49">
        <v>0</v>
      </c>
      <c r="AA69" s="49">
        <v>0</v>
      </c>
      <c r="AB69" s="49">
        <v>-2.7008347511291504</v>
      </c>
      <c r="AC69" s="49">
        <v>-2.7008346744734544</v>
      </c>
      <c r="AD69" s="49">
        <v>73.3163075662672</v>
      </c>
      <c r="AE69" s="49">
        <v>0.08221297537010414</v>
      </c>
      <c r="AF69" s="49">
        <v>9.351913452148438</v>
      </c>
      <c r="AG69" s="49">
        <v>82.74670595803126</v>
      </c>
      <c r="AH69" s="49">
        <v>0</v>
      </c>
      <c r="AI69" s="48">
        <v>9999</v>
      </c>
      <c r="AJ69" s="49">
        <v>21.080251693725586</v>
      </c>
      <c r="AK69" s="49">
        <v>0</v>
      </c>
      <c r="AL69" s="49">
        <v>0</v>
      </c>
      <c r="AM69" s="49">
        <v>109.68720245361328</v>
      </c>
      <c r="AN69" s="49">
        <v>0</v>
      </c>
      <c r="AO69" s="48">
        <v>9999</v>
      </c>
    </row>
    <row r="70" spans="1:41" ht="12.75" customHeight="1">
      <c r="A70" t="s">
        <v>41</v>
      </c>
      <c r="B70" t="s">
        <v>85</v>
      </c>
      <c r="C70" s="49">
        <v>14</v>
      </c>
      <c r="D70" s="49">
        <v>8.69472202674172</v>
      </c>
      <c r="E70" s="49">
        <v>0</v>
      </c>
      <c r="F70" s="49">
        <v>0</v>
      </c>
      <c r="G70" s="49">
        <v>0</v>
      </c>
      <c r="H70" s="49" t="s">
        <v>221</v>
      </c>
      <c r="I70" s="49">
        <v>1</v>
      </c>
      <c r="J70" s="49">
        <v>0.6399999856948853</v>
      </c>
      <c r="K70" s="49">
        <v>9.357694581280777</v>
      </c>
      <c r="L70" s="60">
        <v>0.000683667168739361</v>
      </c>
      <c r="M70" s="49">
        <v>0.0010682299750320522</v>
      </c>
      <c r="N70" s="49"/>
      <c r="O70" s="49"/>
      <c r="P70" s="49">
        <v>0</v>
      </c>
      <c r="Q70" s="49">
        <v>0</v>
      </c>
      <c r="R70" s="49">
        <v>0</v>
      </c>
      <c r="S70" s="49">
        <v>0</v>
      </c>
      <c r="T70" s="49">
        <v>0</v>
      </c>
      <c r="U70" s="49">
        <v>0</v>
      </c>
      <c r="V70" s="49">
        <v>0</v>
      </c>
      <c r="W70" s="49">
        <v>0</v>
      </c>
      <c r="X70" s="49">
        <v>0</v>
      </c>
      <c r="Y70" s="49">
        <v>0</v>
      </c>
      <c r="Z70" s="49">
        <v>0</v>
      </c>
      <c r="AA70" s="49">
        <v>0</v>
      </c>
      <c r="AB70" s="49">
        <v>0</v>
      </c>
      <c r="AC70" s="49">
        <v>0</v>
      </c>
      <c r="AD70" s="49">
        <v>3.0858509242353462</v>
      </c>
      <c r="AE70" s="49">
        <v>0.020630569167661407</v>
      </c>
      <c r="AF70" s="49">
        <v>0.33107027411460876</v>
      </c>
      <c r="AG70" s="49">
        <v>3.436616252178997</v>
      </c>
      <c r="AH70" s="49">
        <v>0</v>
      </c>
      <c r="AI70" s="48">
        <v>9999</v>
      </c>
      <c r="AJ70" s="49">
        <v>0.21490176022052765</v>
      </c>
      <c r="AK70" s="49">
        <v>0</v>
      </c>
      <c r="AL70" s="49">
        <v>0</v>
      </c>
      <c r="AM70" s="49">
        <v>3.6515181064605713</v>
      </c>
      <c r="AN70" s="49">
        <v>0</v>
      </c>
      <c r="AO70" s="48">
        <v>9999</v>
      </c>
    </row>
    <row r="71" spans="3:41" ht="12.75" customHeight="1">
      <c r="C71" s="49"/>
      <c r="D71" s="49"/>
      <c r="E71" s="49"/>
      <c r="F71" s="49"/>
      <c r="G71" s="49"/>
      <c r="H71" s="49"/>
      <c r="I71" s="49"/>
      <c r="J71" s="49"/>
      <c r="K71" s="49"/>
      <c r="L71" s="60"/>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61"/>
    </row>
    <row r="72" spans="3:41" ht="12.75" customHeight="1" thickBot="1">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thickBot="1">
      <c r="A73" s="62" t="s">
        <v>227</v>
      </c>
      <c r="B73" s="71"/>
      <c r="C73" s="72" t="s">
        <v>188</v>
      </c>
      <c r="D73" s="63"/>
      <c r="E73" s="63"/>
      <c r="F73" s="63"/>
      <c r="G73" s="63"/>
      <c r="H73" s="63"/>
      <c r="I73" s="63"/>
      <c r="J73" s="64"/>
      <c r="K73" s="72" t="s">
        <v>132</v>
      </c>
      <c r="L73" s="63"/>
      <c r="M73" s="64"/>
      <c r="N73" s="72" t="s">
        <v>189</v>
      </c>
      <c r="O73" s="63"/>
      <c r="P73" s="63"/>
      <c r="Q73" s="63"/>
      <c r="R73" s="73" t="s">
        <v>190</v>
      </c>
      <c r="S73" s="72" t="s">
        <v>166</v>
      </c>
      <c r="T73" s="63"/>
      <c r="U73" s="63"/>
      <c r="V73" s="63"/>
      <c r="W73" s="63"/>
      <c r="X73" s="64"/>
      <c r="Y73" s="72" t="s">
        <v>167</v>
      </c>
      <c r="Z73" s="63"/>
      <c r="AA73" s="63"/>
      <c r="AB73" s="63"/>
      <c r="AC73" s="63"/>
      <c r="AD73" s="64"/>
      <c r="AE73" s="49"/>
      <c r="AF73" s="49"/>
      <c r="AG73" s="49"/>
      <c r="AH73" s="49"/>
      <c r="AI73" s="49"/>
      <c r="AJ73" s="49"/>
      <c r="AK73" s="49"/>
      <c r="AL73" s="49"/>
      <c r="AM73" s="49"/>
      <c r="AN73" s="49"/>
      <c r="AO73" s="49"/>
    </row>
    <row r="74" spans="1:41" ht="51">
      <c r="A74" s="57"/>
      <c r="B74" s="58" t="s">
        <v>138</v>
      </c>
      <c r="C74" s="59" t="s">
        <v>191</v>
      </c>
      <c r="D74" s="59" t="s">
        <v>169</v>
      </c>
      <c r="E74" s="59" t="s">
        <v>170</v>
      </c>
      <c r="F74" s="59" t="s">
        <v>171</v>
      </c>
      <c r="G74" s="59" t="s">
        <v>172</v>
      </c>
      <c r="H74" s="59" t="s">
        <v>173</v>
      </c>
      <c r="I74" s="59" t="s">
        <v>192</v>
      </c>
      <c r="J74" s="59" t="s">
        <v>193</v>
      </c>
      <c r="K74" s="59" t="s">
        <v>176</v>
      </c>
      <c r="L74" s="59" t="s">
        <v>177</v>
      </c>
      <c r="M74" s="59" t="s">
        <v>178</v>
      </c>
      <c r="N74" s="59" t="s">
        <v>133</v>
      </c>
      <c r="O74" s="59" t="s">
        <v>194</v>
      </c>
      <c r="P74" s="59" t="s">
        <v>195</v>
      </c>
      <c r="Q74" s="59" t="s">
        <v>196</v>
      </c>
      <c r="R74" s="59" t="s">
        <v>197</v>
      </c>
      <c r="S74" s="59" t="s">
        <v>179</v>
      </c>
      <c r="T74" s="59" t="s">
        <v>180</v>
      </c>
      <c r="U74" s="59" t="s">
        <v>143</v>
      </c>
      <c r="V74" s="59" t="s">
        <v>181</v>
      </c>
      <c r="W74" s="59" t="s">
        <v>182</v>
      </c>
      <c r="X74" s="59" t="s">
        <v>183</v>
      </c>
      <c r="Y74" s="59" t="s">
        <v>184</v>
      </c>
      <c r="Z74" s="59" t="s">
        <v>141</v>
      </c>
      <c r="AA74" s="59" t="s">
        <v>142</v>
      </c>
      <c r="AB74" s="59" t="s">
        <v>185</v>
      </c>
      <c r="AC74" s="59" t="s">
        <v>186</v>
      </c>
      <c r="AD74" s="59" t="s">
        <v>187</v>
      </c>
      <c r="AE74" s="49"/>
      <c r="AF74" s="49"/>
      <c r="AG74" s="49"/>
      <c r="AH74" s="49"/>
      <c r="AI74" s="49"/>
      <c r="AJ74" s="49"/>
      <c r="AK74" s="49"/>
      <c r="AL74" s="49"/>
      <c r="AM74" s="49"/>
      <c r="AN74" s="49"/>
      <c r="AO74" s="49"/>
    </row>
    <row r="75" spans="2:41" ht="12.75" customHeight="1">
      <c r="B75" t="s">
        <v>62</v>
      </c>
      <c r="C75" s="49">
        <v>14</v>
      </c>
      <c r="D75" s="49">
        <v>80.50641371629229</v>
      </c>
      <c r="E75" s="49">
        <v>30</v>
      </c>
      <c r="F75" s="49">
        <v>-3</v>
      </c>
      <c r="G75" s="49">
        <v>0</v>
      </c>
      <c r="H75" s="49"/>
      <c r="I75" s="49">
        <v>0.2678075527198583</v>
      </c>
      <c r="J75" s="49">
        <v>0.06885243952274323</v>
      </c>
      <c r="K75" s="49">
        <v>86.64502776215957</v>
      </c>
      <c r="L75" s="49">
        <v>0.0016776382730174344</v>
      </c>
      <c r="M75" s="49">
        <v>0.0431116446852684</v>
      </c>
      <c r="N75" s="49">
        <v>30.000006401454133</v>
      </c>
      <c r="O75" s="49">
        <v>-30.162250518798828</v>
      </c>
      <c r="P75" s="49">
        <v>0</v>
      </c>
      <c r="Q75" s="49">
        <v>14.788118362426758</v>
      </c>
      <c r="R75" s="49">
        <v>16.967741563369856</v>
      </c>
      <c r="S75" s="49">
        <v>29.39325521411805</v>
      </c>
      <c r="T75" s="49">
        <v>0.05062497407197952</v>
      </c>
      <c r="U75" s="49">
        <v>3.7721309661865234</v>
      </c>
      <c r="V75" s="49">
        <v>33.213715390926446</v>
      </c>
      <c r="W75" s="49">
        <v>30.000006401454133</v>
      </c>
      <c r="X75" s="48">
        <v>1.1071236101241813</v>
      </c>
      <c r="Y75" s="60">
        <v>8.673009872436523</v>
      </c>
      <c r="Z75" s="60">
        <v>225.42627275030506</v>
      </c>
      <c r="AA75" s="60">
        <v>0</v>
      </c>
      <c r="AB75" s="60">
        <v>282.5248718261719</v>
      </c>
      <c r="AC75" s="60">
        <v>14.788118362426758</v>
      </c>
      <c r="AD75" s="48">
        <v>19.104856491088867</v>
      </c>
      <c r="AE75" s="60"/>
      <c r="AF75" s="60"/>
      <c r="AG75" s="60"/>
      <c r="AH75" s="60"/>
      <c r="AI75" s="60"/>
      <c r="AJ75" s="60"/>
      <c r="AK75" s="60"/>
      <c r="AL75" s="49"/>
      <c r="AM75" s="49"/>
      <c r="AN75" s="49"/>
      <c r="AO75" s="49"/>
    </row>
    <row r="76" spans="2:41" ht="12.75" customHeight="1">
      <c r="B76" t="s">
        <v>71</v>
      </c>
      <c r="C76" s="49">
        <v>14</v>
      </c>
      <c r="D76" s="49">
        <v>78.24146784846607</v>
      </c>
      <c r="E76" s="49">
        <v>30</v>
      </c>
      <c r="F76" s="49">
        <v>-1.51</v>
      </c>
      <c r="G76" s="49">
        <v>0</v>
      </c>
      <c r="H76" s="49"/>
      <c r="I76" s="49">
        <v>0.2687572707275808</v>
      </c>
      <c r="J76" s="49">
        <v>0.07009293884038925</v>
      </c>
      <c r="K76" s="49">
        <v>84.2073797719116</v>
      </c>
      <c r="L76" s="49">
        <v>0.0016468509179926101</v>
      </c>
      <c r="M76" s="49">
        <v>0.0419275164604187</v>
      </c>
      <c r="N76" s="49">
        <v>30.000006401454133</v>
      </c>
      <c r="O76" s="49">
        <v>-15.211888313293457</v>
      </c>
      <c r="P76" s="49">
        <v>0</v>
      </c>
      <c r="Q76" s="49">
        <v>14.788118362426758</v>
      </c>
      <c r="R76" s="49">
        <v>17.458926317402447</v>
      </c>
      <c r="S76" s="49">
        <v>28.56474267944403</v>
      </c>
      <c r="T76" s="49">
        <v>0.049695923924446106</v>
      </c>
      <c r="U76" s="49">
        <v>3.666449546813965</v>
      </c>
      <c r="V76" s="49">
        <v>32.27863443414947</v>
      </c>
      <c r="W76" s="49">
        <v>30.000006401454133</v>
      </c>
      <c r="X76" s="48">
        <v>1.075954251549256</v>
      </c>
      <c r="Y76" s="60">
        <v>8.434792518615723</v>
      </c>
      <c r="Z76" s="60">
        <v>225.42627275030506</v>
      </c>
      <c r="AA76" s="60">
        <v>0</v>
      </c>
      <c r="AB76" s="60">
        <v>281.3515930175781</v>
      </c>
      <c r="AC76" s="60">
        <v>14.788118362426758</v>
      </c>
      <c r="AD76" s="48">
        <v>19.025516510009766</v>
      </c>
      <c r="AE76" s="60"/>
      <c r="AF76" s="60"/>
      <c r="AG76" s="60"/>
      <c r="AH76" s="60"/>
      <c r="AI76" s="60"/>
      <c r="AJ76" s="60"/>
      <c r="AK76" s="60"/>
      <c r="AL76" s="49"/>
      <c r="AM76" s="49"/>
      <c r="AN76" s="49"/>
      <c r="AO76" s="49"/>
    </row>
    <row r="77" spans="2:41" ht="12.75" customHeight="1">
      <c r="B77" t="s">
        <v>39</v>
      </c>
      <c r="C77" s="49">
        <v>14</v>
      </c>
      <c r="D77" s="49">
        <v>149.32327996881477</v>
      </c>
      <c r="E77" s="49">
        <v>30</v>
      </c>
      <c r="F77" s="49">
        <v>-1.09</v>
      </c>
      <c r="G77" s="49">
        <v>0</v>
      </c>
      <c r="H77" s="49"/>
      <c r="I77" s="49">
        <v>0.24464167892741878</v>
      </c>
      <c r="J77" s="49">
        <v>0.05099676921963692</v>
      </c>
      <c r="K77" s="49">
        <v>160.7091800664369</v>
      </c>
      <c r="L77" s="49">
        <v>0.002847306073323019</v>
      </c>
      <c r="M77" s="49">
        <v>0.08197098970413208</v>
      </c>
      <c r="N77" s="49">
        <v>30.000006401454133</v>
      </c>
      <c r="O77" s="49">
        <v>-10.966079711914062</v>
      </c>
      <c r="P77" s="49">
        <v>0</v>
      </c>
      <c r="Q77" s="49">
        <v>24.493831634521484</v>
      </c>
      <c r="R77" s="49">
        <v>15.152030080223415</v>
      </c>
      <c r="S77" s="49">
        <v>54.56632343654162</v>
      </c>
      <c r="T77" s="49">
        <v>0.0859212577342987</v>
      </c>
      <c r="U77" s="49">
        <v>7.0391130447387695</v>
      </c>
      <c r="V77" s="49">
        <v>61.68746121455518</v>
      </c>
      <c r="W77" s="49">
        <v>30.000006401454133</v>
      </c>
      <c r="X77" s="48">
        <v>2.0562482683858736</v>
      </c>
      <c r="Y77" s="60">
        <v>16.49056053161621</v>
      </c>
      <c r="Z77" s="60">
        <v>225.42627275030506</v>
      </c>
      <c r="AA77" s="60">
        <v>0</v>
      </c>
      <c r="AB77" s="60">
        <v>309.1104736328125</v>
      </c>
      <c r="AC77" s="60">
        <v>24.493831634521484</v>
      </c>
      <c r="AD77" s="48">
        <v>12.6199312210083</v>
      </c>
      <c r="AE77" s="60"/>
      <c r="AF77" s="60"/>
      <c r="AG77" s="60"/>
      <c r="AH77" s="60"/>
      <c r="AI77" s="60"/>
      <c r="AJ77" s="60"/>
      <c r="AK77" s="60"/>
      <c r="AL77" s="49"/>
      <c r="AM77" s="49"/>
      <c r="AN77" s="49"/>
      <c r="AO77" s="49"/>
    </row>
    <row r="78" spans="2:41" ht="12.75" customHeight="1">
      <c r="B78" t="s">
        <v>47</v>
      </c>
      <c r="C78" s="49">
        <v>14</v>
      </c>
      <c r="D78" s="49">
        <v>189.0162089723627</v>
      </c>
      <c r="E78" s="49">
        <v>30</v>
      </c>
      <c r="F78" s="49">
        <v>0</v>
      </c>
      <c r="G78" s="49">
        <v>0</v>
      </c>
      <c r="H78" s="49"/>
      <c r="I78" s="49">
        <v>0.2390104910435939</v>
      </c>
      <c r="J78" s="49">
        <v>0.04659609496593475</v>
      </c>
      <c r="K78" s="49">
        <v>203.4286949065053</v>
      </c>
      <c r="L78" s="49">
        <v>0.0035197507619945845</v>
      </c>
      <c r="M78" s="49">
        <v>0.1043575182557106</v>
      </c>
      <c r="N78" s="49">
        <v>30.000006401454133</v>
      </c>
      <c r="O78" s="49">
        <v>0</v>
      </c>
      <c r="P78" s="49">
        <v>0</v>
      </c>
      <c r="Q78" s="49">
        <v>30.0000057220459</v>
      </c>
      <c r="R78" s="49">
        <v>14.66101035602192</v>
      </c>
      <c r="S78" s="49">
        <v>69.08591527506125</v>
      </c>
      <c r="T78" s="49">
        <v>0.10621317476034164</v>
      </c>
      <c r="U78" s="49">
        <v>8.92294979095459</v>
      </c>
      <c r="V78" s="49">
        <v>78.11026169051625</v>
      </c>
      <c r="W78" s="49">
        <v>30.000006401454133</v>
      </c>
      <c r="X78" s="48">
        <v>2.603674834107041</v>
      </c>
      <c r="Y78" s="60">
        <v>20.994184494018555</v>
      </c>
      <c r="Z78" s="60">
        <v>225.42627275030506</v>
      </c>
      <c r="AA78" s="60">
        <v>0</v>
      </c>
      <c r="AB78" s="60">
        <v>324.5307312011719</v>
      </c>
      <c r="AC78" s="60">
        <v>30.0000057220459</v>
      </c>
      <c r="AD78" s="48">
        <v>10.817688941955566</v>
      </c>
      <c r="AE78" s="60"/>
      <c r="AF78" s="60"/>
      <c r="AG78" s="60"/>
      <c r="AH78" s="60"/>
      <c r="AI78" s="60"/>
      <c r="AJ78" s="60"/>
      <c r="AK78" s="60"/>
      <c r="AL78" s="49"/>
      <c r="AM78" s="49"/>
      <c r="AN78" s="49"/>
      <c r="AO78" s="49"/>
    </row>
    <row r="79" spans="2:41" ht="12.75" customHeight="1">
      <c r="B79" t="s">
        <v>44</v>
      </c>
      <c r="C79" s="49">
        <v>14</v>
      </c>
      <c r="D79" s="49">
        <v>191.28115484018892</v>
      </c>
      <c r="E79" s="49">
        <v>30</v>
      </c>
      <c r="F79" s="49">
        <v>0.03</v>
      </c>
      <c r="G79" s="49">
        <v>0</v>
      </c>
      <c r="H79" s="49"/>
      <c r="I79" s="49">
        <v>0.23896300311868707</v>
      </c>
      <c r="J79" s="49">
        <v>0.046352215111255646</v>
      </c>
      <c r="K79" s="49">
        <v>205.86634289675328</v>
      </c>
      <c r="L79" s="49">
        <v>0.0035505381170194087</v>
      </c>
      <c r="M79" s="49">
        <v>0.1055416464805603</v>
      </c>
      <c r="N79" s="49">
        <v>30.000006401454133</v>
      </c>
      <c r="O79" s="49">
        <v>0.26152825355529785</v>
      </c>
      <c r="P79" s="49">
        <v>0</v>
      </c>
      <c r="Q79" s="49">
        <v>30.261533737182617</v>
      </c>
      <c r="R79" s="49">
        <v>14.61370553497832</v>
      </c>
      <c r="S79" s="49">
        <v>69.91442780973527</v>
      </c>
      <c r="T79" s="49">
        <v>0.10714222490787506</v>
      </c>
      <c r="U79" s="49">
        <v>9.028631210327148</v>
      </c>
      <c r="V79" s="49">
        <v>79.04534264729324</v>
      </c>
      <c r="W79" s="49">
        <v>30.000006401454133</v>
      </c>
      <c r="X79" s="48">
        <v>2.6348441926819666</v>
      </c>
      <c r="Y79" s="60">
        <v>21.232402801513672</v>
      </c>
      <c r="Z79" s="60">
        <v>225.42627275030506</v>
      </c>
      <c r="AA79" s="60">
        <v>0</v>
      </c>
      <c r="AB79" s="60">
        <v>325.7040100097656</v>
      </c>
      <c r="AC79" s="60">
        <v>30.261533737182617</v>
      </c>
      <c r="AD79" s="48">
        <v>10.762970924377441</v>
      </c>
      <c r="AE79" s="60"/>
      <c r="AF79" s="60"/>
      <c r="AG79" s="60"/>
      <c r="AH79" s="60"/>
      <c r="AI79" s="60"/>
      <c r="AJ79" s="60"/>
      <c r="AK79" s="60"/>
      <c r="AL79" s="49"/>
      <c r="AM79" s="49"/>
      <c r="AN79" s="49"/>
      <c r="AO79" s="49"/>
    </row>
    <row r="80" spans="2:41" ht="12.75" customHeight="1">
      <c r="B80" t="s">
        <v>52</v>
      </c>
      <c r="C80" s="49">
        <v>14</v>
      </c>
      <c r="D80" s="49">
        <v>360.1907850188677</v>
      </c>
      <c r="E80" s="49">
        <v>170</v>
      </c>
      <c r="F80" s="49">
        <v>0</v>
      </c>
      <c r="G80" s="49">
        <v>0</v>
      </c>
      <c r="H80" s="49"/>
      <c r="I80" s="49">
        <v>0.24840164314013694</v>
      </c>
      <c r="J80" s="49">
        <v>0.04201320558786392</v>
      </c>
      <c r="K80" s="49">
        <v>387.6553323765564</v>
      </c>
      <c r="L80" s="49">
        <v>0.005817211547013771</v>
      </c>
      <c r="M80" s="49">
        <v>0.18920782208442688</v>
      </c>
      <c r="N80" s="49">
        <v>170.00003627490676</v>
      </c>
      <c r="O80" s="49">
        <v>0</v>
      </c>
      <c r="P80" s="49">
        <v>0</v>
      </c>
      <c r="Q80" s="49">
        <v>170.00003051757812</v>
      </c>
      <c r="R80" s="49">
        <v>43.597141265644645</v>
      </c>
      <c r="S80" s="49">
        <v>131.66238737493984</v>
      </c>
      <c r="T80" s="49">
        <v>0.17554211616516113</v>
      </c>
      <c r="U80" s="49">
        <v>16.816789627075195</v>
      </c>
      <c r="V80" s="49">
        <v>148.6467597819313</v>
      </c>
      <c r="W80" s="49">
        <v>170.00003627490676</v>
      </c>
      <c r="X80" s="69">
        <v>0.8743925180201426</v>
      </c>
      <c r="Y80" s="60">
        <v>38.063987731933594</v>
      </c>
      <c r="Z80" s="60">
        <v>260.38555733805885</v>
      </c>
      <c r="AA80" s="60">
        <v>0</v>
      </c>
      <c r="AB80" s="60">
        <v>447.0963134765625</v>
      </c>
      <c r="AC80" s="60">
        <v>170.00003051757812</v>
      </c>
      <c r="AD80" s="48">
        <v>2.6299779415130615</v>
      </c>
      <c r="AE80" s="60"/>
      <c r="AF80" s="60"/>
      <c r="AG80" s="60"/>
      <c r="AH80" s="60"/>
      <c r="AI80" s="60"/>
      <c r="AJ80" s="60"/>
      <c r="AK80" s="60"/>
      <c r="AL80" s="49"/>
      <c r="AM80" s="49"/>
      <c r="AN80" s="49"/>
      <c r="AO80" s="49"/>
    </row>
    <row r="81" spans="2:41" ht="12.75" customHeight="1">
      <c r="B81" t="s">
        <v>76</v>
      </c>
      <c r="C81" s="49">
        <v>14</v>
      </c>
      <c r="D81" s="49">
        <v>279.0115994411936</v>
      </c>
      <c r="E81" s="49">
        <v>170</v>
      </c>
      <c r="F81" s="49">
        <v>-1.11</v>
      </c>
      <c r="G81" s="49">
        <v>0</v>
      </c>
      <c r="H81" s="49"/>
      <c r="I81" s="49">
        <v>0.2572470841013095</v>
      </c>
      <c r="J81" s="49">
        <v>0.045508481562137604</v>
      </c>
      <c r="K81" s="49">
        <v>300.2862338985846</v>
      </c>
      <c r="L81" s="49">
        <v>0.004444692121898774</v>
      </c>
      <c r="M81" s="49">
        <v>0.14345717430114746</v>
      </c>
      <c r="N81" s="49">
        <v>170.00003627490676</v>
      </c>
      <c r="O81" s="49">
        <v>-11.148143768310547</v>
      </c>
      <c r="P81" s="49">
        <v>0</v>
      </c>
      <c r="Q81" s="49">
        <v>158.85189819335938</v>
      </c>
      <c r="R81" s="49">
        <v>52.5910375303238</v>
      </c>
      <c r="S81" s="49">
        <v>101.96720816178824</v>
      </c>
      <c r="T81" s="49">
        <v>0.1341245174407959</v>
      </c>
      <c r="U81" s="49">
        <v>12.9646635055542</v>
      </c>
      <c r="V81" s="49">
        <v>115.05991413335826</v>
      </c>
      <c r="W81" s="49">
        <v>170.00003627490676</v>
      </c>
      <c r="X81" s="69">
        <v>0.6768228798921847</v>
      </c>
      <c r="Y81" s="60">
        <v>28.860074996948242</v>
      </c>
      <c r="Z81" s="60">
        <v>260.38555733805885</v>
      </c>
      <c r="AA81" s="60">
        <v>0</v>
      </c>
      <c r="AB81" s="60">
        <v>415.45367431640625</v>
      </c>
      <c r="AC81" s="60">
        <v>158.85189819335938</v>
      </c>
      <c r="AD81" s="48">
        <v>2.6153523921966553</v>
      </c>
      <c r="AE81" s="60"/>
      <c r="AF81" s="60"/>
      <c r="AG81" s="60"/>
      <c r="AH81" s="60"/>
      <c r="AI81" s="60"/>
      <c r="AJ81" s="60"/>
      <c r="AK81" s="60"/>
      <c r="AL81" s="49"/>
      <c r="AM81" s="49"/>
      <c r="AN81" s="49"/>
      <c r="AO81" s="49"/>
    </row>
    <row r="82" spans="2:41" ht="12.75" customHeight="1">
      <c r="B82" t="s">
        <v>41</v>
      </c>
      <c r="C82" s="49">
        <v>14</v>
      </c>
      <c r="D82" s="49">
        <v>287.050102248106</v>
      </c>
      <c r="E82" s="49">
        <v>170</v>
      </c>
      <c r="F82" s="49">
        <v>-0.66</v>
      </c>
      <c r="G82" s="49">
        <v>0</v>
      </c>
      <c r="H82" s="49"/>
      <c r="I82" s="49">
        <v>0.2535567055429823</v>
      </c>
      <c r="J82" s="49">
        <v>0.045683905482292175</v>
      </c>
      <c r="K82" s="49">
        <v>308.9376725445241</v>
      </c>
      <c r="L82" s="49">
        <v>0.004725618983242496</v>
      </c>
      <c r="M82" s="49">
        <v>0.1497713327407837</v>
      </c>
      <c r="N82" s="49">
        <v>170.00003627490676</v>
      </c>
      <c r="O82" s="49">
        <v>-6.67399936914444</v>
      </c>
      <c r="P82" s="49">
        <v>0</v>
      </c>
      <c r="Q82" s="49">
        <v>169.186279296875</v>
      </c>
      <c r="R82" s="49">
        <v>54.44387750130586</v>
      </c>
      <c r="S82" s="49">
        <v>104.90767611876302</v>
      </c>
      <c r="T82" s="49">
        <v>0.1426018625497818</v>
      </c>
      <c r="U82" s="49">
        <v>13.38078498840332</v>
      </c>
      <c r="V82" s="49">
        <v>118.42459662109883</v>
      </c>
      <c r="W82" s="49">
        <v>170.00003627490676</v>
      </c>
      <c r="X82" s="69">
        <v>0.6966151255967653</v>
      </c>
      <c r="Y82" s="60">
        <v>30.130332946777344</v>
      </c>
      <c r="Z82" s="60">
        <v>260.38555733805885</v>
      </c>
      <c r="AA82" s="60">
        <v>0</v>
      </c>
      <c r="AB82" s="60">
        <v>409.7542419433594</v>
      </c>
      <c r="AC82" s="60">
        <v>169.186279296875</v>
      </c>
      <c r="AD82" s="48">
        <v>2.4219117164611816</v>
      </c>
      <c r="AE82" s="60"/>
      <c r="AF82" s="60"/>
      <c r="AG82" s="60"/>
      <c r="AH82" s="60"/>
      <c r="AI82" s="60"/>
      <c r="AJ82" s="60"/>
      <c r="AK82" s="60"/>
      <c r="AL82" s="49"/>
      <c r="AM82" s="49"/>
      <c r="AN82" s="49"/>
      <c r="AO82" s="49"/>
    </row>
    <row r="83" spans="2:41" ht="12.75" customHeight="1">
      <c r="B83" t="s">
        <v>30</v>
      </c>
      <c r="C83" s="49">
        <v>14</v>
      </c>
      <c r="D83" s="49">
        <v>116.0073095131402</v>
      </c>
      <c r="E83" s="49">
        <v>170</v>
      </c>
      <c r="F83" s="49">
        <v>-2.8</v>
      </c>
      <c r="G83" s="49">
        <v>0</v>
      </c>
      <c r="H83" s="49"/>
      <c r="I83" s="49">
        <v>0.2766107259400053</v>
      </c>
      <c r="J83" s="49">
        <v>0.07571936398744583</v>
      </c>
      <c r="K83" s="49">
        <v>124.85286686351714</v>
      </c>
      <c r="L83" s="49">
        <v>0.0024980314030726225</v>
      </c>
      <c r="M83" s="49">
        <v>0.061547040939331055</v>
      </c>
      <c r="N83" s="49">
        <v>170.00003627490676</v>
      </c>
      <c r="O83" s="49">
        <v>-28.162567138671875</v>
      </c>
      <c r="P83" s="49">
        <v>0</v>
      </c>
      <c r="Q83" s="49">
        <v>170.00003051757812</v>
      </c>
      <c r="R83" s="49">
        <v>135.3646473050243</v>
      </c>
      <c r="S83" s="49">
        <v>42.340574836025944</v>
      </c>
      <c r="T83" s="49">
        <v>0.07538143545389175</v>
      </c>
      <c r="U83" s="49">
        <v>5.423283576965332</v>
      </c>
      <c r="V83" s="49">
        <v>47.83582144314018</v>
      </c>
      <c r="W83" s="49">
        <v>170.00003627490676</v>
      </c>
      <c r="X83" s="69">
        <v>0.28138712491675566</v>
      </c>
      <c r="Y83" s="60">
        <v>12.381760597229004</v>
      </c>
      <c r="Z83" s="60">
        <v>260.38555733805885</v>
      </c>
      <c r="AA83" s="60">
        <v>0</v>
      </c>
      <c r="AB83" s="60">
        <v>320.6031494140625</v>
      </c>
      <c r="AC83" s="60">
        <v>170.00003051757812</v>
      </c>
      <c r="AD83" s="48">
        <v>1.8859004974365234</v>
      </c>
      <c r="AE83" s="60"/>
      <c r="AF83" s="60"/>
      <c r="AG83" s="60"/>
      <c r="AH83" s="60"/>
      <c r="AI83" s="60"/>
      <c r="AJ83" s="60"/>
      <c r="AK83" s="60"/>
      <c r="AL83" s="49"/>
      <c r="AM83" s="49"/>
      <c r="AN83" s="49"/>
      <c r="AO83" s="49"/>
    </row>
    <row r="84" spans="2:41" ht="12.75" customHeight="1">
      <c r="B84" t="s">
        <v>67</v>
      </c>
      <c r="C84" s="49">
        <v>14</v>
      </c>
      <c r="D84" s="49">
        <v>34.82812393546609</v>
      </c>
      <c r="E84" s="49">
        <v>170</v>
      </c>
      <c r="F84" s="49">
        <v>-5.02</v>
      </c>
      <c r="G84" s="49">
        <v>0</v>
      </c>
      <c r="H84" s="49"/>
      <c r="I84" s="49">
        <v>0.4132236255248939</v>
      </c>
      <c r="J84" s="49">
        <v>0.182284414768219</v>
      </c>
      <c r="K84" s="49">
        <v>37.483768385545375</v>
      </c>
      <c r="L84" s="49">
        <v>0.0011255119779576257</v>
      </c>
      <c r="M84" s="49">
        <v>0.015796391293406487</v>
      </c>
      <c r="N84" s="49">
        <v>170.00003627490676</v>
      </c>
      <c r="O84" s="49">
        <v>-50.457847595214844</v>
      </c>
      <c r="P84" s="49">
        <v>0</v>
      </c>
      <c r="Q84" s="49">
        <v>158.85189819335938</v>
      </c>
      <c r="R84" s="49">
        <v>421.3120845899252</v>
      </c>
      <c r="S84" s="49">
        <v>12.645395622874343</v>
      </c>
      <c r="T84" s="49">
        <v>0.033963825553655624</v>
      </c>
      <c r="U84" s="49">
        <v>1.5711565017700195</v>
      </c>
      <c r="V84" s="49">
        <v>14.248975794567128</v>
      </c>
      <c r="W84" s="49">
        <v>170.00003627490676</v>
      </c>
      <c r="X84" s="69">
        <v>0.0838174867887977</v>
      </c>
      <c r="Y84" s="60">
        <v>3.1778478622436523</v>
      </c>
      <c r="Z84" s="60">
        <v>260.38555733805885</v>
      </c>
      <c r="AA84" s="60">
        <v>0</v>
      </c>
      <c r="AB84" s="60">
        <v>288.96051025390625</v>
      </c>
      <c r="AC84" s="60">
        <v>158.85189819335938</v>
      </c>
      <c r="AD84" s="48">
        <v>1.8190560340881348</v>
      </c>
      <c r="AE84" s="60"/>
      <c r="AF84" s="60"/>
      <c r="AG84" s="60"/>
      <c r="AH84" s="60"/>
      <c r="AI84" s="60"/>
      <c r="AJ84" s="60"/>
      <c r="AK84" s="60"/>
      <c r="AL84" s="49"/>
      <c r="AM84" s="49"/>
      <c r="AN84" s="49"/>
      <c r="AO84" s="49"/>
    </row>
    <row r="85" spans="3:41" ht="12.75" customHeight="1">
      <c r="C85" s="49"/>
      <c r="D85" s="49"/>
      <c r="E85" s="49"/>
      <c r="F85" s="49"/>
      <c r="G85" s="49"/>
      <c r="H85" s="49"/>
      <c r="I85" s="49"/>
      <c r="J85" s="49"/>
      <c r="K85" s="49"/>
      <c r="L85" s="49"/>
      <c r="M85" s="49"/>
      <c r="N85" s="49"/>
      <c r="O85" s="49"/>
      <c r="P85" s="49"/>
      <c r="Q85" s="49"/>
      <c r="R85" s="49"/>
      <c r="S85" s="49"/>
      <c r="T85" s="49"/>
      <c r="U85" s="49"/>
      <c r="V85" s="49"/>
      <c r="W85" s="49"/>
      <c r="X85" s="60"/>
      <c r="Y85" s="60"/>
      <c r="Z85" s="60"/>
      <c r="AA85" s="60"/>
      <c r="AB85" s="60"/>
      <c r="AC85" s="60"/>
      <c r="AD85" s="60"/>
      <c r="AE85" s="60"/>
      <c r="AF85" s="60"/>
      <c r="AG85" s="60"/>
      <c r="AH85" s="60"/>
      <c r="AI85" s="60"/>
      <c r="AJ85" s="60"/>
      <c r="AK85" s="60"/>
      <c r="AL85" s="49"/>
      <c r="AM85" s="49"/>
      <c r="AN85" s="49"/>
      <c r="AO85" s="49"/>
    </row>
    <row r="86" spans="3:41" ht="12.75" customHeight="1" thickBot="1">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thickBot="1">
      <c r="A87" s="65" t="s">
        <v>149</v>
      </c>
      <c r="B87" s="66"/>
      <c r="C87" s="67"/>
      <c r="D87" s="67"/>
      <c r="E87" s="67"/>
      <c r="F87" s="67"/>
      <c r="G87" s="67"/>
      <c r="H87" s="67"/>
      <c r="I87" s="67"/>
      <c r="J87" s="67"/>
      <c r="K87" s="68"/>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25.5">
      <c r="A88" s="57"/>
      <c r="B88" s="58" t="s">
        <v>150</v>
      </c>
      <c r="C88" s="59" t="s">
        <v>146</v>
      </c>
      <c r="D88" s="59" t="s">
        <v>147</v>
      </c>
      <c r="E88" s="59" t="s">
        <v>151</v>
      </c>
      <c r="F88" s="59" t="s">
        <v>152</v>
      </c>
      <c r="G88" s="59" t="s">
        <v>153</v>
      </c>
      <c r="H88" s="59" t="s">
        <v>154</v>
      </c>
      <c r="I88" s="59" t="s">
        <v>148</v>
      </c>
      <c r="J88" s="59" t="s">
        <v>137</v>
      </c>
      <c r="K88" s="59" t="s">
        <v>145</v>
      </c>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2:41" ht="12.75" customHeight="1">
      <c r="B89" t="s">
        <v>155</v>
      </c>
      <c r="C89" s="49">
        <v>1535.8372725753904</v>
      </c>
      <c r="D89" s="49">
        <v>114.07008033948502</v>
      </c>
      <c r="E89" s="49">
        <v>150</v>
      </c>
      <c r="F89" s="49">
        <v>30</v>
      </c>
      <c r="G89" s="49">
        <v>144.070080339485</v>
      </c>
      <c r="H89" s="49">
        <v>821.7367553710938</v>
      </c>
      <c r="I89" s="49">
        <v>9.325741415192052</v>
      </c>
      <c r="J89" s="49">
        <v>521.2509287781128</v>
      </c>
      <c r="K89" s="48">
        <v>3.618037329817845</v>
      </c>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2:41" ht="12.75" customHeight="1">
      <c r="B90" t="s">
        <v>156</v>
      </c>
      <c r="C90" s="49">
        <v>0</v>
      </c>
      <c r="D90" s="49">
        <v>0</v>
      </c>
      <c r="E90" s="49">
        <v>0</v>
      </c>
      <c r="F90" s="49">
        <v>0</v>
      </c>
      <c r="G90" s="49">
        <v>0</v>
      </c>
      <c r="H90" s="49">
        <v>0</v>
      </c>
      <c r="I90" s="49">
        <v>0</v>
      </c>
      <c r="J90" s="49">
        <v>645.0479065292916</v>
      </c>
      <c r="K90" s="69">
        <v>0</v>
      </c>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2:41" ht="12.75" customHeight="1">
      <c r="B91" t="s">
        <v>157</v>
      </c>
      <c r="C91" s="49">
        <v>1536.0766673020792</v>
      </c>
      <c r="D91" s="49">
        <v>201.7168426513672</v>
      </c>
      <c r="E91" s="49">
        <v>0</v>
      </c>
      <c r="F91" s="49">
        <v>0</v>
      </c>
      <c r="G91" s="49">
        <v>201.7168426513672</v>
      </c>
      <c r="H91" s="49">
        <v>1150.3590087890625</v>
      </c>
      <c r="I91" s="49">
        <v>13.05521544814564</v>
      </c>
      <c r="J91" s="49">
        <v>521.3322947236878</v>
      </c>
      <c r="K91" s="48">
        <v>2.584475782345656</v>
      </c>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2:41" ht="12.75" customHeight="1">
      <c r="B92" t="s">
        <v>158</v>
      </c>
      <c r="C92" s="49">
        <v>808.8215616330039</v>
      </c>
      <c r="D92" s="49">
        <v>0</v>
      </c>
      <c r="E92" s="49">
        <v>0</v>
      </c>
      <c r="F92" s="49">
        <v>0</v>
      </c>
      <c r="G92" s="49">
        <v>0</v>
      </c>
      <c r="H92" s="49">
        <v>0</v>
      </c>
      <c r="I92" s="49">
        <v>0</v>
      </c>
      <c r="J92" s="49">
        <v>274.15141417469164</v>
      </c>
      <c r="K92" s="69">
        <v>0</v>
      </c>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2:41" ht="12.75" customHeight="1">
      <c r="B93" t="s">
        <v>159</v>
      </c>
      <c r="C93" s="49">
        <v>557.8867924517131</v>
      </c>
      <c r="D93" s="49">
        <v>84.49384416316367</v>
      </c>
      <c r="E93" s="49">
        <v>90</v>
      </c>
      <c r="F93" s="49">
        <v>18</v>
      </c>
      <c r="G93" s="49">
        <v>102.49384416316367</v>
      </c>
      <c r="H93" s="49">
        <v>1609.36962890625</v>
      </c>
      <c r="I93" s="49">
        <v>18.264444842719197</v>
      </c>
      <c r="J93" s="49">
        <v>189.61564868018849</v>
      </c>
      <c r="K93" s="352">
        <v>1.8500198741529534</v>
      </c>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2:41" ht="12.75" customHeight="1">
      <c r="B94" t="s">
        <v>160</v>
      </c>
      <c r="C94" s="49">
        <v>162.2527747361418</v>
      </c>
      <c r="D94" s="49">
        <v>29.576236176321352</v>
      </c>
      <c r="E94" s="49">
        <v>60</v>
      </c>
      <c r="F94" s="49">
        <v>12</v>
      </c>
      <c r="G94" s="49">
        <v>41.57623617632135</v>
      </c>
      <c r="H94" s="49">
        <v>2244.694091796875</v>
      </c>
      <c r="I94" s="49">
        <v>25.4746257335677</v>
      </c>
      <c r="J94" s="49">
        <v>55.146788825291836</v>
      </c>
      <c r="K94" s="352">
        <v>1.3264016634747529</v>
      </c>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2:41" ht="12.75" customHeight="1">
      <c r="B95" t="s">
        <v>161</v>
      </c>
      <c r="C95" s="49">
        <v>0</v>
      </c>
      <c r="D95" s="49">
        <v>0</v>
      </c>
      <c r="E95" s="49">
        <v>0</v>
      </c>
      <c r="F95" s="49">
        <v>0</v>
      </c>
      <c r="G95" s="49">
        <v>0</v>
      </c>
      <c r="H95" s="49">
        <v>0</v>
      </c>
      <c r="I95" s="49">
        <v>0</v>
      </c>
      <c r="J95" s="49">
        <v>0</v>
      </c>
      <c r="K95" s="70">
        <v>0</v>
      </c>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2:41" ht="12.75" customHeight="1">
      <c r="B96" t="s">
        <v>162</v>
      </c>
      <c r="C96" s="49">
        <v>0</v>
      </c>
      <c r="D96" s="49">
        <v>0</v>
      </c>
      <c r="E96" s="49">
        <v>0</v>
      </c>
      <c r="F96" s="49">
        <v>0</v>
      </c>
      <c r="G96" s="49">
        <v>0</v>
      </c>
      <c r="H96" s="49">
        <v>0</v>
      </c>
      <c r="I96" s="49">
        <v>0</v>
      </c>
      <c r="J96" s="49">
        <v>0</v>
      </c>
      <c r="K96" s="70">
        <v>0</v>
      </c>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2:41" ht="12.75" customHeight="1">
      <c r="B97" t="s">
        <v>163</v>
      </c>
      <c r="C97" s="49">
        <v>0</v>
      </c>
      <c r="D97" s="49">
        <v>0</v>
      </c>
      <c r="E97" s="49">
        <v>0</v>
      </c>
      <c r="F97" s="49">
        <v>0</v>
      </c>
      <c r="G97" s="49">
        <v>0</v>
      </c>
      <c r="H97" s="49">
        <v>0</v>
      </c>
      <c r="I97" s="49">
        <v>0</v>
      </c>
      <c r="J97" s="49">
        <v>0</v>
      </c>
      <c r="K97" s="70">
        <v>0</v>
      </c>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2:41" ht="12.75" customHeight="1">
      <c r="B98" t="s">
        <v>164</v>
      </c>
      <c r="C98" s="49">
        <v>371.1113706516355</v>
      </c>
      <c r="D98" s="49">
        <v>827.151666996463</v>
      </c>
      <c r="E98" s="49">
        <v>850</v>
      </c>
      <c r="F98" s="49">
        <v>170</v>
      </c>
      <c r="G98" s="49">
        <v>997.151666996463</v>
      </c>
      <c r="H98" s="49">
        <v>23537.5390625</v>
      </c>
      <c r="I98" s="49">
        <v>267.1232760801125</v>
      </c>
      <c r="J98" s="49">
        <v>126.13405484911968</v>
      </c>
      <c r="K98" s="70">
        <v>0.1264943528892151</v>
      </c>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3:41" ht="12.75" customHeight="1">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3:41" ht="12.75" customHeight="1">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3:41" ht="12.75" customHeight="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3:41" ht="12.75" customHeight="1">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3:41" ht="12.75" customHeight="1">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3:41" ht="12.75" customHeight="1">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3:41" ht="12.75" customHeight="1">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3:41" ht="12.75" customHeight="1">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3:41" ht="12.75" customHeight="1">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3:41" ht="12.75" customHeight="1">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3:41" ht="12.75" customHeight="1">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3:41" ht="12.75" customHeight="1">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3:41" ht="12.75" customHeight="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3:41" ht="12.75" customHeight="1">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3:41" ht="12.75" customHeight="1">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3:41" ht="12.75" customHeight="1">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3:41" ht="12.75" customHeight="1">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3:41" ht="12.75" customHeight="1">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3:41" ht="12.75" customHeight="1">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3:41" ht="12.75" customHeight="1">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3:41" ht="12.75" customHeight="1">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3:41" ht="12.75" customHeight="1">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3:41" ht="12.75" customHeight="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3:41" ht="12.75" customHeight="1">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3:41" ht="12.75" customHeight="1">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3:41" ht="12.75" customHeight="1">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3:41" ht="12.75" customHeight="1">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3:41" ht="12.75" customHeight="1">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3:41" ht="12.75" customHeight="1">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3:41" ht="12.75" customHeight="1">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3:41" ht="12.75" customHeight="1">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3:41" ht="12.75" customHeight="1">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3:41" ht="12.75" customHeight="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3:41" ht="12.75" customHeight="1">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3:41" ht="12.75" customHeight="1">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3:41" ht="12.75" customHeight="1">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3:41" ht="12.75" customHeight="1">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3:41" ht="12.75" customHeight="1">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3:41" ht="12.75" customHeight="1">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3:41" ht="12.75" customHeight="1">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3:41" ht="12.75" customHeight="1">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3:41" ht="12.75" customHeight="1">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3:41" ht="12.75" customHeight="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3:41" ht="12.75" customHeight="1">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3:41" ht="12.75" customHeight="1">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3:41" ht="12.75" customHeight="1">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3:41" ht="12.75" customHeight="1">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3:41" ht="12.75" customHeight="1">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3:41" ht="12.75" customHeight="1">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3:41" ht="12.75" customHeight="1">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3:41" ht="12.75" customHeight="1">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3:41" ht="12.75" customHeight="1">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3:41" ht="12.75" customHeight="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3:41" ht="12.75" customHeight="1">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3:41" ht="12.75" customHeight="1">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3:41" ht="12.75" customHeight="1">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3:41" ht="12.75" customHeight="1">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3:41" ht="12.75" customHeight="1">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3:41" ht="12.75" customHeight="1">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3:41" ht="12.75" customHeight="1">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3:41" ht="12.75" customHeight="1">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3:41" ht="12.75" customHeight="1">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3:41" ht="12.75" customHeight="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3:41" ht="12.75" customHeight="1">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3:41" ht="12.75" customHeight="1">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3:41" ht="12.75" customHeight="1">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3:41" ht="12.75" customHeight="1">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3:41" ht="12.75" customHeight="1">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3:41" ht="12.75" customHeight="1">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3:41" ht="12.75" customHeight="1">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3:41" ht="12.75" customHeight="1">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3:41" ht="12.75" customHeight="1">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3:41" ht="12.75" customHeight="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3:41" ht="12.75" customHeight="1">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3:41" ht="12.75" customHeight="1">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3:41" ht="12.75" customHeight="1">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3:41" ht="12.75" customHeight="1">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3:41" ht="12.75" customHeight="1">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3:41" ht="12.75" customHeight="1">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3:41" ht="12.75" customHeight="1">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3:41" ht="12.75" customHeight="1">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3:41" ht="12.75" customHeight="1">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3:41" ht="12.75" customHeight="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3:41" ht="12.75" customHeight="1">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3:41" ht="12.75" customHeight="1">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3:41" ht="12.75" customHeight="1">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3:41" ht="12.75" customHeight="1">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3:41" ht="12.75" customHeight="1">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3:41" ht="12.75" customHeight="1">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3:41" ht="12.75" customHeight="1">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3:41" ht="12.75" customHeight="1">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3:41" ht="12.75" customHeight="1">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3:41" ht="12.75" customHeight="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3:41" ht="12.75" customHeight="1">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3:41" ht="12.75" customHeight="1">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3:41" ht="12.75" customHeight="1">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3:41" ht="12.75" customHeight="1">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3:41" ht="12.75" customHeight="1">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3:41" ht="12.75" customHeight="1">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3:41" ht="12.75" customHeight="1">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3:41" ht="12.75" customHeight="1">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3:41" ht="12.75" customHeight="1">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3:41" ht="12.75" customHeight="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3:41" ht="12.75" customHeight="1">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3:41" ht="12.75" customHeight="1">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3:41" ht="12.75" customHeight="1">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3:41" ht="12.75" customHeight="1">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3:41" ht="12.75" customHeight="1">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3:41" ht="12.75" customHeight="1">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3:41" ht="12.75" customHeight="1">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3:41" ht="12.75" customHeight="1">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3:41" ht="12.75" customHeight="1">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3:41" ht="12.75" customHeight="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3:41" ht="12.75" customHeight="1">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3:41" ht="12.75" customHeight="1">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3:41" ht="12.75" customHeight="1">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3:41" ht="12.75" customHeight="1">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3:41" ht="12.75" customHeight="1">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3:41" ht="12.75" customHeight="1">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3:41" ht="12.75" customHeight="1">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3:41" ht="12.75" customHeight="1">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3:41" ht="12.75" customHeight="1">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3:41" ht="12.75" customHeight="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3:41" ht="12.75" customHeight="1">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3:41" ht="12.75" customHeight="1">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3:41" ht="12.75" customHeight="1">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3:41" ht="12.75" customHeight="1">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3:41" ht="12.75" customHeight="1">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3:41" ht="12.75" customHeight="1">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3:41" ht="12.75" customHeight="1">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3:41" ht="12.75" customHeight="1">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3:41" ht="12.75" customHeight="1">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3:41" ht="12.75" customHeight="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3:41" ht="12.75" customHeight="1">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3:41" ht="12.75" customHeight="1">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3:41" ht="12.75" customHeight="1">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3:41" ht="12.75" customHeight="1">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3:41" ht="12.75" customHeight="1">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3:41" ht="12.75" customHeight="1">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3:41" ht="12.75" customHeight="1">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3:41" ht="12.75" customHeight="1">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3:41" ht="12.75" customHeight="1">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3:41" ht="12.75" customHeight="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3:41" ht="12.75" customHeight="1">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3:41" ht="12.75" customHeight="1">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3:41" ht="12.75" customHeight="1">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3:41" ht="12.75" customHeight="1">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3:41" ht="12.75" customHeight="1">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3:41" ht="12.75" customHeight="1">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3:41" ht="12.75" customHeight="1">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3:41" ht="12.75" customHeight="1">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3:41" ht="12.75" customHeight="1">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3:41" ht="12.75" customHeight="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3:41" ht="12.75" customHeight="1">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3:41" ht="12.75" customHeight="1">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3:41" ht="12.75" customHeight="1">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3:41" ht="12.75" customHeight="1">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3:41" ht="12.75" customHeight="1">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3:41" ht="12.75" customHeight="1">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3:41" ht="12.75" customHeight="1">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3:41" ht="12.75" customHeight="1">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3:41" ht="12.75" customHeight="1">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3:41" ht="12.75" customHeight="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3:41" ht="12.75" customHeight="1">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3:41" ht="12.75" customHeight="1">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3:41" ht="12.75" customHeight="1">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3:41" ht="12.75" customHeight="1">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3:41" ht="12.75" customHeight="1">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3:41" ht="12.75" customHeight="1">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3:41" ht="12.75" customHeight="1">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3:41" ht="12.75" customHeight="1">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3:41" ht="12.75" customHeight="1">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3:41" ht="12.75" customHeight="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3:41" ht="12.75" customHeight="1">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3:41" ht="12.75" customHeight="1">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3:41" ht="12.75" customHeight="1">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3:41" ht="12.75" customHeight="1">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3:41" ht="12.75" customHeight="1">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3:41" ht="12.75" customHeight="1">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3:41" ht="12.75" customHeight="1">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3:41" ht="12.75" customHeight="1">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3:41" ht="12.75" customHeight="1">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3:41" ht="12.75" customHeight="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3:41" ht="12.75" customHeight="1">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3:41" ht="12.75" customHeight="1">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3:41" ht="12.75" customHeight="1">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3:41" ht="12.75" customHeight="1">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3:41" ht="12.75" customHeight="1">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3:41" ht="12.75" customHeight="1">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3:41" ht="12.75" customHeight="1">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3:41" ht="12.75" customHeight="1">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3:41" ht="12.75" customHeight="1">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3:41" ht="12.75" customHeight="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3:41" ht="12.75" customHeight="1">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3:41" ht="12.75" customHeight="1">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3:41" ht="12.75" customHeight="1">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3:41" ht="12.75" customHeight="1">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3:41" ht="12.75" customHeight="1">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3:41" ht="12.75" customHeight="1">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3:41" ht="12.75" customHeight="1">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3:41" ht="12.75" customHeight="1">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3:41" ht="12.75" customHeight="1">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3:41" ht="12.75" customHeight="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3:41" ht="12.75" customHeight="1">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3:41" ht="12.75" customHeight="1">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3:41" ht="12.75" customHeight="1">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3:41" ht="12.75" customHeight="1">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3:41" ht="12.75" customHeight="1">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3:41" ht="12.75" customHeight="1">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3:41" ht="12.75" customHeight="1">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3:41" ht="12.75" customHeight="1">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3:41" ht="12.75" customHeight="1">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3:41" ht="12.75" customHeight="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3:41" ht="12.75" customHeight="1">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3:41" ht="12.75" customHeight="1">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3:41" ht="12.75" customHeight="1">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3:41" ht="12.75" customHeight="1">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3:41" ht="12.75" customHeight="1">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3:41" ht="12.75" customHeight="1">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3:41" ht="12.75" customHeight="1">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3:41" ht="12.75" customHeight="1">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3:41" ht="12.75" customHeight="1">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3:41" ht="12.75" customHeight="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3:41" ht="12.75" customHeight="1">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3:41" ht="12.75" customHeight="1">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3:41" ht="12.75" customHeight="1">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3:41" ht="12.75" customHeight="1">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3:41" ht="12.75" customHeight="1">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3:41" ht="12.75" customHeight="1">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3:41" ht="12.75" customHeight="1">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3:41" ht="12.75" customHeight="1">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3:41" ht="12.75" customHeight="1">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3:41" ht="12.75" customHeight="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3:41" ht="12.75" customHeight="1">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3:41" ht="12.75" customHeight="1">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3:41" ht="12.75" customHeight="1">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3:41" ht="12.75" customHeight="1">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3:41" ht="12.75" customHeight="1">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3:41" ht="12.75" customHeight="1">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3:41" ht="12.75" customHeight="1">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3:41" ht="12.75" customHeight="1">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3:41" ht="12.75" customHeight="1">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3:41" ht="12.75" customHeight="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3:41" ht="12.75" customHeight="1">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3:41" ht="12.75" customHeight="1">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3:41" ht="12.75" customHeight="1">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3:41" ht="12.75" customHeight="1">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3:41" ht="12.75" customHeight="1">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3:41" ht="12.75" customHeight="1">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3:41" ht="12.75" customHeight="1">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3:41" ht="12.75" customHeight="1">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3:41" ht="12.75" customHeight="1">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3:41" ht="12.75" customHeight="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3:41" ht="12.75" customHeight="1">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3:41" ht="12.75" customHeight="1">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3:41" ht="12.75" customHeight="1">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3:41" ht="12.75" customHeight="1">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3:41" ht="12.75" customHeight="1">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3:41" ht="12.75" customHeight="1">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3:41" ht="12.75" customHeight="1">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3:41" ht="12.75" customHeight="1">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3:41" ht="12.75" customHeight="1">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3:41" ht="12.75" customHeight="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3:41" ht="12.75" customHeight="1">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3:41" ht="12.75" customHeight="1">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3:41" ht="12.75" customHeight="1">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3:41" ht="12.75" customHeight="1">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3:41" ht="12.75" customHeight="1">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3:41" ht="12.75" customHeight="1">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3:41" ht="12.75" customHeight="1">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3:41" ht="12.75" customHeight="1">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3:41" ht="12.75" customHeight="1">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3:41" ht="12.75" customHeight="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3:41" ht="12.75" customHeight="1">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3:41" ht="12.75" customHeight="1">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3:41" ht="12.75" customHeight="1">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3:41" ht="12.75" customHeight="1">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3:41" ht="12.75" customHeight="1">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3:41" ht="12.75" customHeight="1">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3:41" ht="12.75" customHeight="1">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3:41" ht="12.75" customHeight="1">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3:41" ht="12.75" customHeight="1">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3:41" ht="12.75" customHeight="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3:41" ht="12.75" customHeight="1">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3:41" ht="12.75" customHeight="1">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3:41" ht="12.75" customHeight="1">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3:41" ht="12.75" customHeight="1">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3:41" ht="12.75" customHeight="1">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3:41" ht="12.75" customHeight="1">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3:41" ht="12.75" customHeight="1">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3:41" ht="12.75" customHeight="1">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3:41" ht="12.75" customHeight="1">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3:41" ht="12.75" customHeight="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3:41" ht="12.75" customHeight="1">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3:41" ht="12.75" customHeight="1">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3:41" ht="12.75" customHeight="1">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3:41" ht="12.75" customHeight="1">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3:41" ht="12.75" customHeight="1">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3:41" ht="12.75" customHeight="1">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3:41" ht="12.75" customHeight="1">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3:41" ht="12.75" customHeight="1">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3:41" ht="12.75" customHeight="1">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3:41" ht="12.75" customHeight="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3:41" ht="12.75" customHeight="1">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3:41" ht="12.75" customHeight="1">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3:41" ht="12.75" customHeight="1">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3:41" ht="12.75" customHeight="1">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3:41" ht="12.75" customHeight="1">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3:41" ht="12.75" customHeight="1">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3:41" ht="12.75" customHeight="1">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3:41" ht="12.75" customHeight="1">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3:41" ht="12.75" customHeight="1">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3:41" ht="12.75" customHeight="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3:41" ht="12.75" customHeight="1">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3:41" ht="12.75" customHeight="1">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3:41" ht="12.75" customHeight="1">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3:41" ht="12.75" customHeight="1">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3:41" ht="12.75" customHeight="1">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3:41" ht="12.75" customHeight="1">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3:41" ht="12.75" customHeight="1">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3:41" ht="12.75" customHeight="1">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3:41" ht="12.75" customHeight="1">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3:41" ht="12.75" customHeight="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3:41" ht="12.75" customHeight="1">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3:41" ht="12.75" customHeight="1">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3:41" ht="12.75" customHeight="1">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3:41" ht="12.75" customHeight="1">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3:41" ht="12.75" customHeight="1">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3:41" ht="12.75" customHeight="1">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3:41" ht="12.75" customHeight="1">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3:41" ht="12.75" customHeight="1">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3:41" ht="12.75" customHeight="1">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3:41" ht="12.75" customHeight="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3:41" ht="12.75" customHeight="1">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3:41" ht="12.75" customHeight="1">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3:41" ht="12.75" customHeight="1">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3:41" ht="12.75" customHeight="1">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3:41" ht="12.75" customHeight="1">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3:41" ht="12.75" customHeight="1">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3:41" ht="12.75" customHeight="1">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3:41" ht="12.75" customHeight="1">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3:41" ht="12.75" customHeight="1">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3:41" ht="12.75" customHeight="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3:41" ht="12.75" customHeight="1">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3:41" ht="12.75" customHeight="1">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3:41" ht="12.75" customHeight="1">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3:41" ht="12.75" customHeight="1">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3:41" ht="12.75" customHeight="1">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3:41" ht="12.75" customHeight="1">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3:41" ht="12.75" customHeight="1">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3:41" ht="12.75" customHeight="1">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3:41" ht="12.75" customHeight="1">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3:41" ht="12.75" customHeight="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3:41" ht="12.75" customHeight="1">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3:41" ht="12.75" customHeight="1">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3:41" ht="12.75" customHeight="1">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3:41" ht="12.75" customHeight="1">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3:41" ht="12.75" customHeight="1">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3:41" ht="12.75" customHeight="1">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3:41" ht="12.75" customHeight="1">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3:41" ht="12.75" customHeight="1">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3:41" ht="12.75" customHeight="1">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3:41" ht="12.75" customHeight="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3:41" ht="12.75" customHeight="1">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3:41" ht="12.75" customHeight="1">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3:41" ht="12.75" customHeight="1">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3:41" ht="12.75" customHeight="1">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3:41" ht="12.75" customHeight="1">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3:41" ht="12.75" customHeight="1">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3:41" ht="12.75" customHeight="1">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3:41" ht="12.75" customHeight="1">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3:41" ht="12.75" customHeight="1">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3:41" ht="12.75" customHeight="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3:41" ht="12.75" customHeight="1">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3:41" ht="12.75" customHeight="1">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3:41" ht="12.75" customHeight="1">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3:41" ht="12.75" customHeight="1">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3:41" ht="12.75" customHeight="1">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3:41" ht="12.75" customHeight="1">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3:41" ht="12.75" customHeight="1">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3:41" ht="12.75" customHeight="1">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3:41" ht="12.75" customHeight="1">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3:41" ht="12.75" customHeight="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3:41" ht="12.75" customHeight="1">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3:41" ht="12.75" customHeight="1">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3:41" ht="12.75" customHeight="1">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3:41" ht="12.75" customHeight="1">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3:41" ht="12.75" customHeight="1">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3:41" ht="12.75" customHeight="1">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3:41" ht="12.75" customHeight="1">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3:41" ht="12.75" customHeight="1">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3:41" ht="12.75" customHeight="1">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3:41" ht="12.75" customHeight="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3:41" ht="12.75" customHeight="1">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3:41" ht="12.75" customHeight="1">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3:41" ht="12.75" customHeight="1">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3:41" ht="12.75" customHeight="1">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3:41" ht="12.75" customHeight="1">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3:41" ht="12.75" customHeight="1">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3:41" ht="12.75" customHeight="1">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3:41" ht="12.75" customHeight="1">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3:41" ht="12.75" customHeight="1">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3:41" ht="12.75" customHeight="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3:41" ht="12.75" customHeight="1">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3:41" ht="12.75" customHeight="1">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3:41" ht="12.75" customHeight="1">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3:41" ht="12.75" customHeight="1">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3:41" ht="12.75" customHeight="1">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3:41" ht="12.75" customHeight="1">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3:41" ht="12.75" customHeight="1">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3:41" ht="12.75" customHeight="1">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3:41" ht="12.75" customHeight="1">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ustomHeight="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3:41" ht="12.75" customHeight="1">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3:41" ht="12.75" customHeight="1">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3:41" ht="12.75" customHeight="1">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3:41" ht="12.75" customHeight="1">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3:41" ht="12.75" customHeight="1">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3:41" ht="12.75" customHeight="1">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3:41" ht="12.75" customHeight="1">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3:41" ht="12.75" customHeight="1">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3:41" ht="12.75" customHeight="1">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row>
    <row r="521" spans="3:41" ht="12.75" customHeight="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row>
    <row r="522" spans="3:41" ht="12.75" customHeight="1">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row>
    <row r="523" spans="3:41" ht="12.75" customHeight="1">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row>
    <row r="524" spans="3:41" ht="12.75" customHeight="1">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row>
    <row r="525" spans="3:41" ht="12.75" customHeight="1">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row>
    <row r="526" spans="3:41" ht="12.75" customHeight="1">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row>
    <row r="527" spans="3:41" ht="12.75" customHeight="1">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row>
    <row r="528" spans="3:41" ht="12.75" customHeight="1">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row>
    <row r="529" spans="3:41" ht="12.75" customHeight="1">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row>
    <row r="530" spans="3:41" ht="12.75" customHeight="1">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row>
    <row r="531" spans="3:41" ht="12.75" customHeight="1">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row>
    <row r="532" spans="3:41" ht="12.75" customHeight="1">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row>
    <row r="533" spans="3:41" ht="12.75" customHeight="1">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row>
    <row r="534" spans="3:41" ht="12.75" customHeight="1">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row>
    <row r="535" spans="3:41" ht="12.75" customHeight="1">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row>
    <row r="536" spans="3:41" ht="12.75" customHeight="1">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row>
    <row r="537" spans="3:41" ht="12.75" customHeight="1">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row>
    <row r="538" spans="3:41" ht="12.75" customHeight="1">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row>
    <row r="539" spans="3:41" ht="12.75" customHeight="1">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row>
    <row r="540" spans="3:41" ht="12.75" customHeight="1">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row>
    <row r="541" spans="3:41" ht="12.75" customHeight="1">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row>
    <row r="542" spans="3:41" ht="12.75" customHeight="1">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row>
    <row r="543" spans="3:41" ht="12.75" customHeight="1">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row>
    <row r="544" spans="3:41" ht="12.75" customHeight="1">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row>
    <row r="545" spans="3:41" ht="12.75" customHeight="1">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row>
    <row r="546" spans="3:41" ht="12.75" customHeight="1">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row>
    <row r="547" spans="3:41" ht="12.75" customHeight="1">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row>
    <row r="548" spans="3:41" ht="12.75" customHeight="1">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row>
    <row r="549" spans="3:41" ht="12.75" customHeight="1">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row>
    <row r="550" spans="3:41" ht="12.75" customHeight="1">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row>
    <row r="551" spans="3:41" ht="12.75" customHeight="1">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row>
    <row r="552" spans="3:41" ht="12.75" customHeight="1">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row>
    <row r="553" spans="3:41" ht="12.75" customHeight="1">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row>
    <row r="554" spans="3:41" ht="12.75" customHeight="1">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row>
    <row r="555" spans="3:41" ht="12.75" customHeight="1">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row>
    <row r="556" spans="3:41" ht="12.75" customHeight="1">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row>
    <row r="557" spans="3:41" ht="12.75" customHeight="1">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row>
    <row r="558" spans="3:41" ht="12.75" customHeight="1">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row>
    <row r="559" spans="3:41" ht="12.75" customHeight="1">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row>
    <row r="560" spans="3:41" ht="12.75" customHeight="1">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row>
    <row r="561" spans="3:41" ht="12.75">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row>
    <row r="562" spans="3:41" ht="12.75">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row>
    <row r="563" spans="3:41" ht="12.75">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row>
    <row r="564" spans="3:41" ht="12.75">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row>
  </sheetData>
  <mergeCells count="1">
    <mergeCell ref="O4:P4"/>
  </mergeCells>
  <printOptions/>
  <pageMargins left="0.75" right="0.75" top="1" bottom="1" header="0.5" footer="0.5"/>
  <pageSetup horizontalDpi="600" verticalDpi="600" orientation="portrait" r:id="rId3"/>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Sheet5"/>
  <dimension ref="A1:Y78"/>
  <sheetViews>
    <sheetView zoomScale="75" zoomScaleNormal="75" workbookViewId="0" topLeftCell="A1">
      <pane xSplit="1" topLeftCell="J1" activePane="topRight" state="frozen"/>
      <selection pane="topLeft" activeCell="A1" sqref="A1"/>
      <selection pane="topRight" activeCell="R4" sqref="R4"/>
    </sheetView>
  </sheetViews>
  <sheetFormatPr defaultColWidth="9.140625" defaultRowHeight="12.75"/>
  <cols>
    <col min="1" max="1" width="69.28125" style="0" customWidth="1"/>
    <col min="2" max="2" width="21.140625" style="0" customWidth="1"/>
    <col min="3" max="3" width="11.421875" style="0" customWidth="1"/>
    <col min="4" max="4" width="15.7109375" style="0" customWidth="1"/>
    <col min="5" max="5" width="20.421875" style="0" customWidth="1"/>
    <col min="6" max="6" width="20.00390625" style="0" customWidth="1"/>
    <col min="7" max="7" width="13.140625" style="0" customWidth="1"/>
    <col min="8" max="8" width="12.140625" style="0" customWidth="1"/>
    <col min="9" max="9" width="12.8515625" style="0" customWidth="1"/>
    <col min="10" max="11" width="12.421875" style="0" customWidth="1"/>
    <col min="12" max="12" width="11.7109375" style="0" customWidth="1"/>
    <col min="13" max="13" width="13.421875" style="0" customWidth="1"/>
    <col min="14" max="14" width="13.8515625" style="0" customWidth="1"/>
    <col min="15" max="15" width="11.28125" style="0" customWidth="1"/>
    <col min="16" max="16" width="11.57421875" style="0" customWidth="1"/>
    <col min="17" max="17" width="11.28125" style="0" customWidth="1"/>
    <col min="18" max="18" width="11.421875" style="0" customWidth="1"/>
    <col min="19" max="19" width="13.00390625" style="0" customWidth="1"/>
    <col min="20" max="20" width="11.57421875" style="0" customWidth="1"/>
    <col min="21" max="21" width="11.8515625" style="0" customWidth="1"/>
    <col min="22" max="22" width="13.00390625" style="0" customWidth="1"/>
  </cols>
  <sheetData>
    <row r="1" ht="12.75">
      <c r="A1" s="106" t="s">
        <v>258</v>
      </c>
    </row>
    <row r="2" ht="13.5" thickBot="1">
      <c r="A2" s="106"/>
    </row>
    <row r="3" spans="1:18" ht="78" customHeight="1">
      <c r="A3" s="107" t="s">
        <v>259</v>
      </c>
      <c r="B3" s="341" t="s">
        <v>27</v>
      </c>
      <c r="C3" s="108" t="s">
        <v>260</v>
      </c>
      <c r="D3" s="108" t="s">
        <v>261</v>
      </c>
      <c r="E3" s="108" t="s">
        <v>262</v>
      </c>
      <c r="F3" s="109" t="s">
        <v>263</v>
      </c>
      <c r="G3" s="110" t="s">
        <v>264</v>
      </c>
      <c r="H3" s="110" t="s">
        <v>265</v>
      </c>
      <c r="I3" s="108" t="s">
        <v>266</v>
      </c>
      <c r="J3" s="108" t="s">
        <v>267</v>
      </c>
      <c r="K3" s="108" t="s">
        <v>268</v>
      </c>
      <c r="L3" s="108" t="s">
        <v>269</v>
      </c>
      <c r="M3" s="108" t="s">
        <v>681</v>
      </c>
      <c r="N3" s="108" t="s">
        <v>682</v>
      </c>
      <c r="O3" s="108" t="s">
        <v>270</v>
      </c>
      <c r="P3" s="110" t="s">
        <v>271</v>
      </c>
      <c r="Q3" s="111" t="s">
        <v>272</v>
      </c>
      <c r="R3" s="111" t="s">
        <v>273</v>
      </c>
    </row>
    <row r="4" spans="1:25" ht="12.75">
      <c r="A4" s="191" t="s">
        <v>28</v>
      </c>
      <c r="B4" s="342">
        <f>D$28</f>
        <v>30</v>
      </c>
      <c r="C4" s="138">
        <f>B$21</f>
        <v>352</v>
      </c>
      <c r="D4" s="343">
        <f>C4*14</f>
        <v>4928</v>
      </c>
      <c r="E4" s="344">
        <f>D4/C4</f>
        <v>14</v>
      </c>
      <c r="F4" s="344">
        <f>S$28</f>
        <v>75.37875713641895</v>
      </c>
      <c r="G4" s="344">
        <f>T$28</f>
        <v>-2.2649458678262135</v>
      </c>
      <c r="H4" s="344">
        <f>U$28</f>
        <v>110.77474112389663</v>
      </c>
      <c r="I4" s="344">
        <f aca="true" t="shared" si="0" ref="I4:I9">SUM(F4:H4)</f>
        <v>183.88855239248937</v>
      </c>
      <c r="J4" s="344">
        <v>0</v>
      </c>
      <c r="K4" s="344">
        <v>0</v>
      </c>
      <c r="L4" s="344">
        <v>0</v>
      </c>
      <c r="M4" s="142">
        <f>K4*0.3</f>
        <v>0</v>
      </c>
      <c r="N4" s="142">
        <f>L4*0.3</f>
        <v>0</v>
      </c>
      <c r="O4" s="344">
        <f>R$28</f>
        <v>1214.4000000000015</v>
      </c>
      <c r="P4" s="125">
        <f aca="true" t="shared" si="1" ref="P4:P18">O4/1000*A$52</f>
        <v>4.996041600000006</v>
      </c>
      <c r="Q4" s="125">
        <f aca="true" t="shared" si="2" ref="Q4:Q18">F$64</f>
        <v>17.414900449582532</v>
      </c>
      <c r="R4" s="345">
        <f>D$56</f>
        <v>5.127656579873335</v>
      </c>
      <c r="S4" s="113"/>
      <c r="T4" s="113"/>
      <c r="U4" s="113"/>
      <c r="V4" s="113"/>
      <c r="W4" s="113"/>
      <c r="X4" s="113"/>
      <c r="Y4" s="113"/>
    </row>
    <row r="5" spans="1:25" ht="12.75">
      <c r="A5" s="191" t="s">
        <v>32</v>
      </c>
      <c r="B5" s="342">
        <f>D$29</f>
        <v>120</v>
      </c>
      <c r="C5" s="138">
        <f aca="true" t="shared" si="3" ref="C5:C18">B$21</f>
        <v>352</v>
      </c>
      <c r="D5" s="343">
        <f aca="true" t="shared" si="4" ref="D5:D18">C5*14</f>
        <v>4928</v>
      </c>
      <c r="E5" s="344">
        <f aca="true" t="shared" si="5" ref="E5:E18">D5/C5</f>
        <v>14</v>
      </c>
      <c r="F5" s="344">
        <f>S$29</f>
        <v>18.656738261943694</v>
      </c>
      <c r="G5" s="344">
        <f>T$29</f>
        <v>180.28977212587534</v>
      </c>
      <c r="H5" s="344">
        <f>U$29</f>
        <v>64.80761712043599</v>
      </c>
      <c r="I5" s="344">
        <f t="shared" si="0"/>
        <v>263.754127508255</v>
      </c>
      <c r="J5" s="344">
        <v>0</v>
      </c>
      <c r="K5" s="344">
        <v>0</v>
      </c>
      <c r="L5" s="344">
        <v>0</v>
      </c>
      <c r="M5" s="142">
        <f aca="true" t="shared" si="6" ref="M5:M18">K5*0.3</f>
        <v>0</v>
      </c>
      <c r="N5" s="142">
        <f aca="true" t="shared" si="7" ref="N5:N18">L5*0.3</f>
        <v>0</v>
      </c>
      <c r="O5" s="344">
        <f>R$29</f>
        <v>1879.6799999999985</v>
      </c>
      <c r="P5" s="125">
        <f t="shared" si="1"/>
        <v>7.733003519999993</v>
      </c>
      <c r="Q5" s="125">
        <f t="shared" si="2"/>
        <v>17.414900449582532</v>
      </c>
      <c r="R5" s="345">
        <f>D$57</f>
        <v>7.93672061928219</v>
      </c>
      <c r="S5" s="116"/>
      <c r="T5" s="113"/>
      <c r="U5" s="113"/>
      <c r="V5" s="113"/>
      <c r="W5" s="113"/>
      <c r="X5" s="113"/>
      <c r="Y5" s="113"/>
    </row>
    <row r="6" spans="1:25" ht="12.75">
      <c r="A6" s="191" t="s">
        <v>33</v>
      </c>
      <c r="B6" s="342">
        <f>D$31</f>
        <v>170</v>
      </c>
      <c r="C6" s="138">
        <f t="shared" si="3"/>
        <v>352</v>
      </c>
      <c r="D6" s="343">
        <f t="shared" si="4"/>
        <v>4928</v>
      </c>
      <c r="E6" s="344">
        <f t="shared" si="5"/>
        <v>14</v>
      </c>
      <c r="F6" s="344">
        <f>S$31</f>
        <v>26.133401908724366</v>
      </c>
      <c r="G6" s="344">
        <f>T$31</f>
        <v>244.18347550572753</v>
      </c>
      <c r="H6" s="344">
        <f>U$31</f>
        <v>81.17918557767412</v>
      </c>
      <c r="I6" s="344">
        <f t="shared" si="0"/>
        <v>351.496062992126</v>
      </c>
      <c r="J6" s="344">
        <v>0</v>
      </c>
      <c r="K6" s="344">
        <v>0</v>
      </c>
      <c r="L6" s="344">
        <v>0</v>
      </c>
      <c r="M6" s="142">
        <f t="shared" si="6"/>
        <v>0</v>
      </c>
      <c r="N6" s="142">
        <f t="shared" si="7"/>
        <v>0</v>
      </c>
      <c r="O6" s="344">
        <f>R$31</f>
        <v>2059.199999999997</v>
      </c>
      <c r="P6" s="125">
        <f t="shared" si="1"/>
        <v>8.471548799999988</v>
      </c>
      <c r="Q6" s="125">
        <f t="shared" si="2"/>
        <v>17.414900449582532</v>
      </c>
      <c r="R6" s="345">
        <f>D$59</f>
        <v>8.69472202674172</v>
      </c>
      <c r="S6" s="116"/>
      <c r="T6" s="113"/>
      <c r="U6" s="113"/>
      <c r="V6" s="113"/>
      <c r="W6" s="113"/>
      <c r="X6" s="113"/>
      <c r="Y6" s="113"/>
    </row>
    <row r="7" spans="1:25" ht="12.75">
      <c r="A7" s="191" t="s">
        <v>44</v>
      </c>
      <c r="B7" s="342">
        <f>D$28</f>
        <v>30</v>
      </c>
      <c r="C7" s="138">
        <f t="shared" si="3"/>
        <v>352</v>
      </c>
      <c r="D7" s="343">
        <f t="shared" si="4"/>
        <v>4928</v>
      </c>
      <c r="E7" s="344">
        <f t="shared" si="5"/>
        <v>14</v>
      </c>
      <c r="F7" s="344">
        <f>S$28</f>
        <v>75.37875713641895</v>
      </c>
      <c r="G7" s="344">
        <v>0</v>
      </c>
      <c r="H7" s="346">
        <f>U$28</f>
        <v>110.77474112389663</v>
      </c>
      <c r="I7" s="344">
        <f t="shared" si="0"/>
        <v>186.1534982603156</v>
      </c>
      <c r="J7" s="303">
        <f>T$41</f>
        <v>-0.08656506435487898</v>
      </c>
      <c r="K7" s="121"/>
      <c r="L7" s="303">
        <f>SUM(J7:K7)</f>
        <v>-0.08656506435487898</v>
      </c>
      <c r="M7" s="142">
        <f t="shared" si="6"/>
        <v>0</v>
      </c>
      <c r="N7" s="142">
        <f t="shared" si="7"/>
        <v>-0.025969519306463695</v>
      </c>
      <c r="O7" s="344">
        <f>R$28</f>
        <v>1214.4000000000015</v>
      </c>
      <c r="P7" s="125">
        <f t="shared" si="1"/>
        <v>4.996041600000006</v>
      </c>
      <c r="Q7" s="125">
        <f t="shared" si="2"/>
        <v>17.414900449582532</v>
      </c>
      <c r="R7" s="345">
        <f>D$56</f>
        <v>5.127656579873335</v>
      </c>
      <c r="S7" s="116"/>
      <c r="T7" s="113"/>
      <c r="U7" s="113"/>
      <c r="V7" s="113"/>
      <c r="W7" s="113"/>
      <c r="X7" s="113"/>
      <c r="Y7" s="113"/>
    </row>
    <row r="8" spans="1:25" ht="12.75">
      <c r="A8" s="191" t="s">
        <v>29</v>
      </c>
      <c r="B8" s="342">
        <f>D$29</f>
        <v>120</v>
      </c>
      <c r="C8" s="138">
        <f t="shared" si="3"/>
        <v>352</v>
      </c>
      <c r="D8" s="343">
        <f t="shared" si="4"/>
        <v>4928</v>
      </c>
      <c r="E8" s="344">
        <f t="shared" si="5"/>
        <v>14</v>
      </c>
      <c r="F8" s="344">
        <f>S$29</f>
        <v>18.656738261943694</v>
      </c>
      <c r="G8" s="344">
        <v>0</v>
      </c>
      <c r="H8" s="346">
        <f>U$29</f>
        <v>64.80761712043599</v>
      </c>
      <c r="I8" s="344">
        <f t="shared" si="0"/>
        <v>83.4643553823797</v>
      </c>
      <c r="J8" s="303">
        <f>T$42</f>
        <v>6.890582220219628</v>
      </c>
      <c r="K8" s="121"/>
      <c r="L8" s="303">
        <f aca="true" t="shared" si="8" ref="L8:L18">SUM(J8:K8)</f>
        <v>6.890582220219628</v>
      </c>
      <c r="M8" s="142">
        <f t="shared" si="6"/>
        <v>0</v>
      </c>
      <c r="N8" s="142">
        <f t="shared" si="7"/>
        <v>2.0671746660658883</v>
      </c>
      <c r="O8" s="344">
        <f>R$29</f>
        <v>1879.6799999999985</v>
      </c>
      <c r="P8" s="125">
        <f t="shared" si="1"/>
        <v>7.733003519999993</v>
      </c>
      <c r="Q8" s="125">
        <f t="shared" si="2"/>
        <v>17.414900449582532</v>
      </c>
      <c r="R8" s="345">
        <f>D$57</f>
        <v>7.93672061928219</v>
      </c>
      <c r="S8" s="116"/>
      <c r="T8" s="113"/>
      <c r="U8" s="113"/>
      <c r="V8" s="113"/>
      <c r="W8" s="113"/>
      <c r="X8" s="113"/>
      <c r="Y8" s="113"/>
    </row>
    <row r="9" spans="1:25" ht="12.75">
      <c r="A9" s="191" t="s">
        <v>30</v>
      </c>
      <c r="B9" s="342">
        <f>D$31</f>
        <v>170</v>
      </c>
      <c r="C9" s="138">
        <f t="shared" si="3"/>
        <v>352</v>
      </c>
      <c r="D9" s="343">
        <f t="shared" si="4"/>
        <v>4928</v>
      </c>
      <c r="E9" s="344">
        <f t="shared" si="5"/>
        <v>14</v>
      </c>
      <c r="F9" s="344">
        <f>S$31</f>
        <v>26.133401908724366</v>
      </c>
      <c r="G9" s="344">
        <v>0</v>
      </c>
      <c r="H9" s="346">
        <f>U$31</f>
        <v>81.17918557767412</v>
      </c>
      <c r="I9" s="344">
        <f t="shared" si="0"/>
        <v>107.31258748639848</v>
      </c>
      <c r="J9" s="303">
        <f>T$44</f>
        <v>9.33256665062764</v>
      </c>
      <c r="K9" s="121"/>
      <c r="L9" s="303">
        <f t="shared" si="8"/>
        <v>9.33256665062764</v>
      </c>
      <c r="M9" s="142">
        <f t="shared" si="6"/>
        <v>0</v>
      </c>
      <c r="N9" s="142">
        <f t="shared" si="7"/>
        <v>2.799769995188292</v>
      </c>
      <c r="O9" s="344">
        <f>R$31</f>
        <v>2059.199999999997</v>
      </c>
      <c r="P9" s="125">
        <f t="shared" si="1"/>
        <v>8.471548799999988</v>
      </c>
      <c r="Q9" s="125">
        <f t="shared" si="2"/>
        <v>17.414900449582532</v>
      </c>
      <c r="R9" s="345">
        <f>D$59</f>
        <v>8.69472202674172</v>
      </c>
      <c r="S9" s="116"/>
      <c r="T9" s="113"/>
      <c r="U9" s="113"/>
      <c r="V9" s="113"/>
      <c r="W9" s="113"/>
      <c r="X9" s="113"/>
      <c r="Y9" s="113"/>
    </row>
    <row r="10" spans="1:25" ht="12.75">
      <c r="A10" s="191" t="s">
        <v>31</v>
      </c>
      <c r="B10" s="342">
        <f>D$28</f>
        <v>30</v>
      </c>
      <c r="C10" s="138">
        <f t="shared" si="3"/>
        <v>352</v>
      </c>
      <c r="D10" s="343">
        <f t="shared" si="4"/>
        <v>4928</v>
      </c>
      <c r="E10" s="344">
        <f t="shared" si="5"/>
        <v>14</v>
      </c>
      <c r="F10" s="344">
        <f>S$28</f>
        <v>75.37875713641895</v>
      </c>
      <c r="G10" s="344">
        <v>0</v>
      </c>
      <c r="H10" s="344">
        <v>0</v>
      </c>
      <c r="I10" s="344">
        <f>SUM(F10:H10)</f>
        <v>75.37875713641895</v>
      </c>
      <c r="J10" s="303">
        <f>T$41</f>
        <v>-0.08656506435487898</v>
      </c>
      <c r="K10" s="303">
        <f>U$41</f>
        <v>5.040989219411454</v>
      </c>
      <c r="L10" s="303">
        <f t="shared" si="8"/>
        <v>4.954424155056575</v>
      </c>
      <c r="M10" s="142">
        <f t="shared" si="6"/>
        <v>1.512296765823436</v>
      </c>
      <c r="N10" s="142">
        <f t="shared" si="7"/>
        <v>1.4863272465169726</v>
      </c>
      <c r="O10" s="344">
        <f>R$28</f>
        <v>1214.4000000000015</v>
      </c>
      <c r="P10" s="125">
        <f t="shared" si="1"/>
        <v>4.996041600000006</v>
      </c>
      <c r="Q10" s="125">
        <f t="shared" si="2"/>
        <v>17.414900449582532</v>
      </c>
      <c r="R10" s="345">
        <f>D$56</f>
        <v>5.127656579873335</v>
      </c>
      <c r="S10" s="116"/>
      <c r="T10" s="113"/>
      <c r="U10" s="113"/>
      <c r="V10" s="113"/>
      <c r="W10" s="113"/>
      <c r="X10" s="113"/>
      <c r="Y10" s="113"/>
    </row>
    <row r="11" spans="1:25" ht="12.75">
      <c r="A11" s="191" t="s">
        <v>34</v>
      </c>
      <c r="B11" s="342">
        <f>D$29</f>
        <v>120</v>
      </c>
      <c r="C11" s="138">
        <f t="shared" si="3"/>
        <v>352</v>
      </c>
      <c r="D11" s="343">
        <f t="shared" si="4"/>
        <v>4928</v>
      </c>
      <c r="E11" s="344">
        <f t="shared" si="5"/>
        <v>14</v>
      </c>
      <c r="F11" s="344">
        <f>S$29</f>
        <v>18.656738261943694</v>
      </c>
      <c r="G11" s="344">
        <v>0</v>
      </c>
      <c r="H11" s="344">
        <v>0</v>
      </c>
      <c r="I11" s="344">
        <f aca="true" t="shared" si="9" ref="I11:I18">SUM(F11:H11)</f>
        <v>18.656738261943694</v>
      </c>
      <c r="J11" s="303">
        <f>T$42</f>
        <v>6.890582220219628</v>
      </c>
      <c r="K11" s="303">
        <f>U$42</f>
        <v>2.94917862976064</v>
      </c>
      <c r="L11" s="303">
        <f t="shared" si="8"/>
        <v>9.839760849980268</v>
      </c>
      <c r="M11" s="142">
        <f t="shared" si="6"/>
        <v>0.884753588928192</v>
      </c>
      <c r="N11" s="142">
        <f t="shared" si="7"/>
        <v>2.95192825499408</v>
      </c>
      <c r="O11" s="344">
        <f>R$29</f>
        <v>1879.6799999999985</v>
      </c>
      <c r="P11" s="125">
        <f t="shared" si="1"/>
        <v>7.733003519999993</v>
      </c>
      <c r="Q11" s="125">
        <f t="shared" si="2"/>
        <v>17.414900449582532</v>
      </c>
      <c r="R11" s="345">
        <f>D$57</f>
        <v>7.93672061928219</v>
      </c>
      <c r="S11" s="116"/>
      <c r="T11" s="113"/>
      <c r="U11" s="113"/>
      <c r="V11" s="113"/>
      <c r="W11" s="113"/>
      <c r="X11" s="113"/>
      <c r="Y11" s="113"/>
    </row>
    <row r="12" spans="1:25" ht="12.75">
      <c r="A12" s="191" t="s">
        <v>35</v>
      </c>
      <c r="B12" s="342">
        <f>D$31</f>
        <v>170</v>
      </c>
      <c r="C12" s="138">
        <f t="shared" si="3"/>
        <v>352</v>
      </c>
      <c r="D12" s="343">
        <f t="shared" si="4"/>
        <v>4928</v>
      </c>
      <c r="E12" s="344">
        <f t="shared" si="5"/>
        <v>14</v>
      </c>
      <c r="F12" s="344">
        <f>S$31</f>
        <v>26.133401908724366</v>
      </c>
      <c r="G12" s="344">
        <v>0</v>
      </c>
      <c r="H12" s="344">
        <v>0</v>
      </c>
      <c r="I12" s="344">
        <f t="shared" si="9"/>
        <v>26.133401908724366</v>
      </c>
      <c r="J12" s="303">
        <f>T$44</f>
        <v>9.33256665062764</v>
      </c>
      <c r="K12" s="303">
        <f>U$44</f>
        <v>3.694194138354691</v>
      </c>
      <c r="L12" s="303">
        <f t="shared" si="8"/>
        <v>13.026760788982331</v>
      </c>
      <c r="M12" s="142">
        <f t="shared" si="6"/>
        <v>1.1082582415064073</v>
      </c>
      <c r="N12" s="142">
        <f t="shared" si="7"/>
        <v>3.9080282366946992</v>
      </c>
      <c r="O12" s="344">
        <f>R$31</f>
        <v>2059.199999999997</v>
      </c>
      <c r="P12" s="125">
        <f t="shared" si="1"/>
        <v>8.471548799999988</v>
      </c>
      <c r="Q12" s="125">
        <f t="shared" si="2"/>
        <v>17.414900449582532</v>
      </c>
      <c r="R12" s="345">
        <f>D$59</f>
        <v>8.69472202674172</v>
      </c>
      <c r="S12" s="116"/>
      <c r="T12" s="113"/>
      <c r="U12" s="113"/>
      <c r="V12" s="113"/>
      <c r="W12" s="113"/>
      <c r="X12" s="113"/>
      <c r="Y12" s="113"/>
    </row>
    <row r="13" spans="1:25" ht="12.75">
      <c r="A13" s="191" t="s">
        <v>36</v>
      </c>
      <c r="B13" s="342">
        <f>D$28</f>
        <v>30</v>
      </c>
      <c r="C13" s="138">
        <f t="shared" si="3"/>
        <v>352</v>
      </c>
      <c r="D13" s="343">
        <f t="shared" si="4"/>
        <v>4928</v>
      </c>
      <c r="E13" s="344">
        <f t="shared" si="5"/>
        <v>14</v>
      </c>
      <c r="F13" s="344">
        <f>S$28</f>
        <v>75.37875713641895</v>
      </c>
      <c r="G13" s="347">
        <f>T$28</f>
        <v>-2.2649458678262135</v>
      </c>
      <c r="H13" s="344">
        <v>0</v>
      </c>
      <c r="I13" s="344">
        <f t="shared" si="9"/>
        <v>73.11381126859274</v>
      </c>
      <c r="J13" s="344">
        <v>0</v>
      </c>
      <c r="K13" s="303">
        <f>U$41</f>
        <v>5.040989219411454</v>
      </c>
      <c r="L13" s="303">
        <f t="shared" si="8"/>
        <v>5.040989219411454</v>
      </c>
      <c r="M13" s="142">
        <f t="shared" si="6"/>
        <v>1.512296765823436</v>
      </c>
      <c r="N13" s="142">
        <f t="shared" si="7"/>
        <v>1.512296765823436</v>
      </c>
      <c r="O13" s="344">
        <f>R$28</f>
        <v>1214.4000000000015</v>
      </c>
      <c r="P13" s="125">
        <f t="shared" si="1"/>
        <v>4.996041600000006</v>
      </c>
      <c r="Q13" s="125">
        <f t="shared" si="2"/>
        <v>17.414900449582532</v>
      </c>
      <c r="R13" s="345">
        <f>D$56</f>
        <v>5.127656579873335</v>
      </c>
      <c r="S13" s="116"/>
      <c r="T13" s="113"/>
      <c r="U13" s="113"/>
      <c r="V13" s="113"/>
      <c r="W13" s="113"/>
      <c r="X13" s="113"/>
      <c r="Y13" s="113"/>
    </row>
    <row r="14" spans="1:25" ht="12.75">
      <c r="A14" s="191" t="s">
        <v>37</v>
      </c>
      <c r="B14" s="342">
        <f>D$29</f>
        <v>120</v>
      </c>
      <c r="C14" s="138">
        <f t="shared" si="3"/>
        <v>352</v>
      </c>
      <c r="D14" s="343">
        <f t="shared" si="4"/>
        <v>4928</v>
      </c>
      <c r="E14" s="344">
        <f t="shared" si="5"/>
        <v>14</v>
      </c>
      <c r="F14" s="344">
        <f>S$29</f>
        <v>18.656738261943694</v>
      </c>
      <c r="G14" s="347">
        <f>T$29</f>
        <v>180.28977212587534</v>
      </c>
      <c r="H14" s="344">
        <v>0</v>
      </c>
      <c r="I14" s="344">
        <f t="shared" si="9"/>
        <v>198.94651038781905</v>
      </c>
      <c r="J14" s="344">
        <v>0</v>
      </c>
      <c r="K14" s="303">
        <f>U$42</f>
        <v>2.94917862976064</v>
      </c>
      <c r="L14" s="303">
        <f t="shared" si="8"/>
        <v>2.94917862976064</v>
      </c>
      <c r="M14" s="142">
        <f t="shared" si="6"/>
        <v>0.884753588928192</v>
      </c>
      <c r="N14" s="142">
        <f t="shared" si="7"/>
        <v>0.884753588928192</v>
      </c>
      <c r="O14" s="344">
        <f>R$29</f>
        <v>1879.6799999999985</v>
      </c>
      <c r="P14" s="125">
        <f t="shared" si="1"/>
        <v>7.733003519999993</v>
      </c>
      <c r="Q14" s="125">
        <f t="shared" si="2"/>
        <v>17.414900449582532</v>
      </c>
      <c r="R14" s="345">
        <f>D$57</f>
        <v>7.93672061928219</v>
      </c>
      <c r="S14" s="116"/>
      <c r="T14" s="113"/>
      <c r="U14" s="113"/>
      <c r="V14" s="113"/>
      <c r="W14" s="113"/>
      <c r="X14" s="113"/>
      <c r="Y14" s="113"/>
    </row>
    <row r="15" spans="1:25" ht="12.75">
      <c r="A15" s="191" t="s">
        <v>38</v>
      </c>
      <c r="B15" s="342">
        <f>D$31</f>
        <v>170</v>
      </c>
      <c r="C15" s="138">
        <f t="shared" si="3"/>
        <v>352</v>
      </c>
      <c r="D15" s="343">
        <f t="shared" si="4"/>
        <v>4928</v>
      </c>
      <c r="E15" s="344">
        <f t="shared" si="5"/>
        <v>14</v>
      </c>
      <c r="F15" s="344">
        <f>S$31</f>
        <v>26.133401908724366</v>
      </c>
      <c r="G15" s="347">
        <f>T$31</f>
        <v>244.18347550572753</v>
      </c>
      <c r="H15" s="344">
        <v>0</v>
      </c>
      <c r="I15" s="344">
        <f t="shared" si="9"/>
        <v>270.3168774144519</v>
      </c>
      <c r="J15" s="344">
        <v>0</v>
      </c>
      <c r="K15" s="303">
        <f>U$44</f>
        <v>3.694194138354691</v>
      </c>
      <c r="L15" s="303">
        <f t="shared" si="8"/>
        <v>3.694194138354691</v>
      </c>
      <c r="M15" s="142">
        <f t="shared" si="6"/>
        <v>1.1082582415064073</v>
      </c>
      <c r="N15" s="142">
        <f t="shared" si="7"/>
        <v>1.1082582415064073</v>
      </c>
      <c r="O15" s="344">
        <f>R$31</f>
        <v>2059.199999999997</v>
      </c>
      <c r="P15" s="125">
        <f t="shared" si="1"/>
        <v>8.471548799999988</v>
      </c>
      <c r="Q15" s="125">
        <f t="shared" si="2"/>
        <v>17.414900449582532</v>
      </c>
      <c r="R15" s="345">
        <f>D$59</f>
        <v>8.69472202674172</v>
      </c>
      <c r="S15" s="116"/>
      <c r="T15" s="113"/>
      <c r="U15" s="113"/>
      <c r="V15" s="113"/>
      <c r="W15" s="113"/>
      <c r="X15" s="113"/>
      <c r="Y15" s="113"/>
    </row>
    <row r="16" spans="1:25" ht="12.75">
      <c r="A16" s="191" t="s">
        <v>39</v>
      </c>
      <c r="B16" s="342">
        <f>D$28</f>
        <v>30</v>
      </c>
      <c r="C16" s="138">
        <f t="shared" si="3"/>
        <v>352</v>
      </c>
      <c r="D16" s="343">
        <f t="shared" si="4"/>
        <v>4928</v>
      </c>
      <c r="E16" s="344">
        <f t="shared" si="5"/>
        <v>14</v>
      </c>
      <c r="F16" s="344">
        <f>S$28</f>
        <v>75.37875713641895</v>
      </c>
      <c r="G16" s="348">
        <f>J75</f>
        <v>-1.8591798293905664</v>
      </c>
      <c r="H16" s="348">
        <f>H75</f>
        <v>70.67768842669864</v>
      </c>
      <c r="I16" s="344">
        <f t="shared" si="9"/>
        <v>144.19726573372702</v>
      </c>
      <c r="J16" s="368">
        <f>K75</f>
        <v>-0.015508168971789839</v>
      </c>
      <c r="K16" s="368">
        <f>I75</f>
        <v>1.8246832114071563</v>
      </c>
      <c r="L16" s="303">
        <f t="shared" si="8"/>
        <v>1.8091750424353665</v>
      </c>
      <c r="M16" s="142">
        <f t="shared" si="6"/>
        <v>0.5474049634221468</v>
      </c>
      <c r="N16" s="142">
        <f t="shared" si="7"/>
        <v>0.54275251273061</v>
      </c>
      <c r="O16" s="344">
        <f>R$28</f>
        <v>1214.4000000000015</v>
      </c>
      <c r="P16" s="125">
        <f t="shared" si="1"/>
        <v>4.996041600000006</v>
      </c>
      <c r="Q16" s="125">
        <f t="shared" si="2"/>
        <v>17.414900449582532</v>
      </c>
      <c r="R16" s="345">
        <f>D$56</f>
        <v>5.127656579873335</v>
      </c>
      <c r="S16" s="116"/>
      <c r="T16" s="113"/>
      <c r="U16" s="113"/>
      <c r="V16" s="113"/>
      <c r="W16" s="113"/>
      <c r="X16" s="113"/>
      <c r="Y16" s="113"/>
    </row>
    <row r="17" spans="1:25" ht="12.75">
      <c r="A17" s="191" t="s">
        <v>40</v>
      </c>
      <c r="B17" s="342">
        <f>D$29</f>
        <v>120</v>
      </c>
      <c r="C17" s="138">
        <f t="shared" si="3"/>
        <v>352</v>
      </c>
      <c r="D17" s="343">
        <f t="shared" si="4"/>
        <v>4928</v>
      </c>
      <c r="E17" s="344">
        <f t="shared" si="5"/>
        <v>14</v>
      </c>
      <c r="F17" s="344">
        <f>S$29</f>
        <v>18.656738261943694</v>
      </c>
      <c r="G17" s="348">
        <f>J76</f>
        <v>147.99078094680883</v>
      </c>
      <c r="H17" s="348">
        <f>H76</f>
        <v>41.349250957778565</v>
      </c>
      <c r="I17" s="344">
        <f t="shared" si="9"/>
        <v>207.9967701665311</v>
      </c>
      <c r="J17" s="368">
        <f>K76</f>
        <v>1.2344508050857113</v>
      </c>
      <c r="K17" s="368">
        <f>I76</f>
        <v>1.0675120495086639</v>
      </c>
      <c r="L17" s="303">
        <f t="shared" si="8"/>
        <v>2.3019628545943753</v>
      </c>
      <c r="M17" s="142">
        <f t="shared" si="6"/>
        <v>0.3202536148525991</v>
      </c>
      <c r="N17" s="142">
        <f t="shared" si="7"/>
        <v>0.6905888563783126</v>
      </c>
      <c r="O17" s="344">
        <f>R$29</f>
        <v>1879.6799999999985</v>
      </c>
      <c r="P17" s="125">
        <f t="shared" si="1"/>
        <v>7.733003519999993</v>
      </c>
      <c r="Q17" s="125">
        <f t="shared" si="2"/>
        <v>17.414900449582532</v>
      </c>
      <c r="R17" s="345">
        <f>D$57</f>
        <v>7.93672061928219</v>
      </c>
      <c r="S17" s="116"/>
      <c r="T17" s="113"/>
      <c r="U17" s="113"/>
      <c r="V17" s="113"/>
      <c r="W17" s="113"/>
      <c r="X17" s="113"/>
      <c r="Y17" s="113"/>
    </row>
    <row r="18" spans="1:25" ht="12.75">
      <c r="A18" s="191" t="s">
        <v>41</v>
      </c>
      <c r="B18" s="342">
        <f>D$31</f>
        <v>170</v>
      </c>
      <c r="C18" s="138">
        <f t="shared" si="3"/>
        <v>352</v>
      </c>
      <c r="D18" s="343">
        <f t="shared" si="4"/>
        <v>4928</v>
      </c>
      <c r="E18" s="344">
        <f t="shared" si="5"/>
        <v>14</v>
      </c>
      <c r="F18" s="344">
        <f>S$31</f>
        <v>26.133401908724366</v>
      </c>
      <c r="G18" s="348">
        <f>J76+J77</f>
        <v>200.43789954522984</v>
      </c>
      <c r="H18" s="348">
        <f>H76+H77</f>
        <v>51.79481465521816</v>
      </c>
      <c r="I18" s="344">
        <f t="shared" si="9"/>
        <v>278.36611610917237</v>
      </c>
      <c r="J18" s="368">
        <f>K76+K77</f>
        <v>1.671933379094945</v>
      </c>
      <c r="K18" s="368">
        <f>L76+I77</f>
        <v>0.2696727232692323</v>
      </c>
      <c r="L18" s="303">
        <f t="shared" si="8"/>
        <v>1.9416061023641773</v>
      </c>
      <c r="M18" s="142">
        <f t="shared" si="6"/>
        <v>0.08090181698076969</v>
      </c>
      <c r="N18" s="142">
        <f t="shared" si="7"/>
        <v>0.5824818307092532</v>
      </c>
      <c r="O18" s="344">
        <f>R$31</f>
        <v>2059.199999999997</v>
      </c>
      <c r="P18" s="125">
        <f t="shared" si="1"/>
        <v>8.471548799999988</v>
      </c>
      <c r="Q18" s="125">
        <f t="shared" si="2"/>
        <v>17.414900449582532</v>
      </c>
      <c r="R18" s="345">
        <f>D57+D$58</f>
        <v>8.69472202674172</v>
      </c>
      <c r="S18" s="116"/>
      <c r="T18" s="113"/>
      <c r="U18" s="113"/>
      <c r="V18" s="113"/>
      <c r="W18" s="113"/>
      <c r="X18" s="113"/>
      <c r="Y18" s="113"/>
    </row>
    <row r="19" spans="1:23" ht="13.5" thickBot="1">
      <c r="A19" s="5"/>
      <c r="B19" s="16"/>
      <c r="C19" s="16"/>
      <c r="D19" s="16"/>
      <c r="E19" s="114"/>
      <c r="F19" s="114"/>
      <c r="M19" s="115"/>
      <c r="N19" s="115"/>
      <c r="O19" s="115"/>
      <c r="P19" s="115"/>
      <c r="Q19" s="116"/>
      <c r="R19" s="113"/>
      <c r="S19" s="113"/>
      <c r="T19" s="113"/>
      <c r="U19" s="113"/>
      <c r="V19" s="113"/>
      <c r="W19" s="113"/>
    </row>
    <row r="20" spans="1:10" ht="13.5" thickBot="1">
      <c r="A20" s="247" t="s">
        <v>8</v>
      </c>
      <c r="B20" s="249">
        <v>3</v>
      </c>
      <c r="D20" s="120"/>
      <c r="H20" s="221"/>
      <c r="I20" s="221"/>
      <c r="J20" s="221"/>
    </row>
    <row r="21" spans="1:11" ht="13.5" thickBot="1">
      <c r="A21" s="251" t="s">
        <v>9</v>
      </c>
      <c r="B21" s="248">
        <v>352</v>
      </c>
      <c r="E21" s="120"/>
      <c r="I21" s="221"/>
      <c r="J21" s="221"/>
      <c r="K21" s="221"/>
    </row>
    <row r="22" spans="1:13" ht="12.75">
      <c r="A22" s="192" t="s">
        <v>14</v>
      </c>
      <c r="G22" s="250"/>
      <c r="H22" s="250"/>
      <c r="I22" s="221"/>
      <c r="J22" s="221"/>
      <c r="K22" s="221"/>
      <c r="L22" s="250"/>
      <c r="M22" s="250"/>
    </row>
    <row r="23" ht="13.5" customHeight="1" thickBot="1">
      <c r="A23" s="196" t="s">
        <v>558</v>
      </c>
    </row>
    <row r="24" spans="1:22" ht="13.5" customHeight="1" thickBot="1">
      <c r="A24" s="254" t="s">
        <v>557</v>
      </c>
      <c r="B24" s="332" t="s">
        <v>16</v>
      </c>
      <c r="C24" s="401" t="s">
        <v>12</v>
      </c>
      <c r="D24" s="402"/>
      <c r="E24" s="402"/>
      <c r="F24" s="403"/>
      <c r="G24" s="401" t="s">
        <v>275</v>
      </c>
      <c r="H24" s="402"/>
      <c r="I24" s="402"/>
      <c r="J24" s="402"/>
      <c r="K24" s="402"/>
      <c r="L24" s="403"/>
      <c r="M24" s="398" t="s">
        <v>276</v>
      </c>
      <c r="N24" s="399"/>
      <c r="O24" s="399"/>
      <c r="P24" s="399"/>
      <c r="Q24" s="400"/>
      <c r="R24" s="398" t="s">
        <v>26</v>
      </c>
      <c r="S24" s="399"/>
      <c r="T24" s="399"/>
      <c r="U24" s="399"/>
      <c r="V24" s="400"/>
    </row>
    <row r="25" spans="1:22" ht="25.5">
      <c r="A25" s="406" t="s">
        <v>15</v>
      </c>
      <c r="B25" s="404" t="s">
        <v>7</v>
      </c>
      <c r="C25" s="337" t="s">
        <v>6</v>
      </c>
      <c r="D25" s="259" t="s">
        <v>25</v>
      </c>
      <c r="E25" s="260" t="s">
        <v>453</v>
      </c>
      <c r="F25" s="281" t="s">
        <v>662</v>
      </c>
      <c r="G25" s="267" t="s">
        <v>10</v>
      </c>
      <c r="H25" s="261" t="s">
        <v>11</v>
      </c>
      <c r="I25" s="261" t="s">
        <v>278</v>
      </c>
      <c r="J25" s="261" t="s">
        <v>279</v>
      </c>
      <c r="K25" s="261" t="s">
        <v>280</v>
      </c>
      <c r="L25" s="281" t="s">
        <v>144</v>
      </c>
      <c r="M25" s="267" t="s">
        <v>277</v>
      </c>
      <c r="N25" s="260" t="s">
        <v>281</v>
      </c>
      <c r="O25" s="260" t="s">
        <v>282</v>
      </c>
      <c r="P25" s="260" t="s">
        <v>283</v>
      </c>
      <c r="Q25" s="262" t="s">
        <v>284</v>
      </c>
      <c r="R25" s="267" t="s">
        <v>277</v>
      </c>
      <c r="S25" s="260" t="s">
        <v>281</v>
      </c>
      <c r="T25" s="260" t="s">
        <v>282</v>
      </c>
      <c r="U25" s="260" t="s">
        <v>285</v>
      </c>
      <c r="V25" s="262" t="s">
        <v>286</v>
      </c>
    </row>
    <row r="26" spans="1:22" ht="13.5" thickBot="1">
      <c r="A26" s="407"/>
      <c r="B26" s="405"/>
      <c r="C26" s="268" t="s">
        <v>666</v>
      </c>
      <c r="D26" s="328" t="s">
        <v>666</v>
      </c>
      <c r="E26" s="263" t="s">
        <v>4</v>
      </c>
      <c r="F26" s="293" t="s">
        <v>5</v>
      </c>
      <c r="G26" s="268" t="s">
        <v>13</v>
      </c>
      <c r="H26" s="264" t="s">
        <v>13</v>
      </c>
      <c r="I26" s="264" t="s">
        <v>289</v>
      </c>
      <c r="J26" s="264" t="s">
        <v>289</v>
      </c>
      <c r="K26" s="264" t="s">
        <v>289</v>
      </c>
      <c r="L26" s="265" t="s">
        <v>289</v>
      </c>
      <c r="M26" s="268" t="s">
        <v>290</v>
      </c>
      <c r="N26" s="264" t="s">
        <v>289</v>
      </c>
      <c r="O26" s="264" t="s">
        <v>289</v>
      </c>
      <c r="P26" s="264" t="s">
        <v>289</v>
      </c>
      <c r="Q26" s="265" t="s">
        <v>289</v>
      </c>
      <c r="R26" s="268" t="s">
        <v>290</v>
      </c>
      <c r="S26" s="264" t="s">
        <v>289</v>
      </c>
      <c r="T26" s="264" t="s">
        <v>289</v>
      </c>
      <c r="U26" s="264" t="s">
        <v>289</v>
      </c>
      <c r="V26" s="265" t="s">
        <v>289</v>
      </c>
    </row>
    <row r="27" spans="1:22" ht="12.75">
      <c r="A27" s="296" t="s">
        <v>677</v>
      </c>
      <c r="B27" s="333"/>
      <c r="C27" s="338">
        <f>'Energy Star Washers'!AC$3</f>
        <v>500</v>
      </c>
      <c r="D27" s="329"/>
      <c r="E27" s="255">
        <f>'Energy Star Washers'!Z$3</f>
        <v>12</v>
      </c>
      <c r="F27" s="294">
        <f>'Energy Star Washers'!V$3</f>
        <v>1.04</v>
      </c>
      <c r="G27" s="282">
        <v>5.789939135410706</v>
      </c>
      <c r="H27" s="256">
        <f>E27*B$20</f>
        <v>36</v>
      </c>
      <c r="I27" s="257">
        <v>0.38260169150221507</v>
      </c>
      <c r="J27" s="257">
        <v>1.6021445831655254</v>
      </c>
      <c r="K27" s="257">
        <v>0.899869109947644</v>
      </c>
      <c r="L27" s="283">
        <f>SUM(I27:K27)</f>
        <v>2.8846153846153846</v>
      </c>
      <c r="M27" s="270">
        <f aca="true" t="shared" si="10" ref="M27:Q30">$B$21*H27</f>
        <v>12672</v>
      </c>
      <c r="N27" s="258">
        <f t="shared" si="10"/>
        <v>134.6757954087797</v>
      </c>
      <c r="O27" s="258">
        <f t="shared" si="10"/>
        <v>563.9548932742649</v>
      </c>
      <c r="P27" s="258">
        <f t="shared" si="10"/>
        <v>316.7539267015707</v>
      </c>
      <c r="Q27" s="271">
        <f t="shared" si="10"/>
        <v>1015.3846153846154</v>
      </c>
      <c r="R27" s="270">
        <f>M$27-M27</f>
        <v>0</v>
      </c>
      <c r="S27" s="258">
        <f>N$27-N27</f>
        <v>0</v>
      </c>
      <c r="T27" s="258">
        <f>O$27-O27</f>
        <v>0</v>
      </c>
      <c r="U27" s="258">
        <f>P$27-P27</f>
        <v>0</v>
      </c>
      <c r="V27" s="271">
        <f>Q$27-Q27</f>
        <v>0</v>
      </c>
    </row>
    <row r="28" spans="1:22" s="197" customFormat="1" ht="12.75">
      <c r="A28" s="297" t="s">
        <v>678</v>
      </c>
      <c r="B28" s="334">
        <v>0.25</v>
      </c>
      <c r="C28" s="339">
        <f>'Energy Star Washers'!AC$4</f>
        <v>530</v>
      </c>
      <c r="D28" s="330">
        <f>C28-C27</f>
        <v>30</v>
      </c>
      <c r="E28" s="193">
        <f>'Energy Star Washers'!Z$4</f>
        <v>10.85</v>
      </c>
      <c r="F28" s="285">
        <f>'Energy Star Washers'!V$4</f>
        <v>1.27</v>
      </c>
      <c r="G28" s="284">
        <v>3.9726581074655254</v>
      </c>
      <c r="H28" s="252">
        <f>E28*B$20</f>
        <v>32.55</v>
      </c>
      <c r="I28" s="194">
        <v>0.1684574950919339</v>
      </c>
      <c r="J28" s="194">
        <v>1.6085790884718498</v>
      </c>
      <c r="K28" s="194">
        <v>0.585168140845665</v>
      </c>
      <c r="L28" s="285">
        <f>SUM(I28:K28)</f>
        <v>2.362204724409449</v>
      </c>
      <c r="M28" s="272">
        <f t="shared" si="10"/>
        <v>11457.599999999999</v>
      </c>
      <c r="N28" s="195">
        <f t="shared" si="10"/>
        <v>59.29703827236073</v>
      </c>
      <c r="O28" s="195">
        <f t="shared" si="10"/>
        <v>566.2198391420911</v>
      </c>
      <c r="P28" s="195">
        <f t="shared" si="10"/>
        <v>205.9791855776741</v>
      </c>
      <c r="Q28" s="273">
        <f t="shared" si="10"/>
        <v>831.4960629921261</v>
      </c>
      <c r="R28" s="272">
        <f aca="true" t="shared" si="11" ref="R28:V30">M27-M28</f>
        <v>1214.4000000000015</v>
      </c>
      <c r="S28" s="272">
        <f t="shared" si="11"/>
        <v>75.37875713641895</v>
      </c>
      <c r="T28" s="272">
        <f t="shared" si="11"/>
        <v>-2.2649458678262135</v>
      </c>
      <c r="U28" s="272">
        <f t="shared" si="11"/>
        <v>110.77474112389663</v>
      </c>
      <c r="V28" s="272">
        <f t="shared" si="11"/>
        <v>183.88855239248926</v>
      </c>
    </row>
    <row r="29" spans="1:22" ht="12.75">
      <c r="A29" s="298" t="s">
        <v>665</v>
      </c>
      <c r="B29" s="335">
        <v>0.45</v>
      </c>
      <c r="C29" s="339">
        <f>'Energy Star Washers'!AC$5</f>
        <v>650</v>
      </c>
      <c r="D29" s="330">
        <f>C29-C28</f>
        <v>120</v>
      </c>
      <c r="E29" s="126">
        <f>'Energy Star Washers'!Z$5</f>
        <v>9.07</v>
      </c>
      <c r="F29" s="287">
        <f>'Energy Star Washers'!V$5</f>
        <v>1.86</v>
      </c>
      <c r="G29" s="286">
        <v>2.770796838282418</v>
      </c>
      <c r="H29" s="253">
        <f>E29*B$20</f>
        <v>27.21</v>
      </c>
      <c r="I29" s="128">
        <v>0.11545539775686657</v>
      </c>
      <c r="J29" s="128">
        <v>1.0963922358415221</v>
      </c>
      <c r="K29" s="128">
        <v>0.4010555922080628</v>
      </c>
      <c r="L29" s="287">
        <f>SUM(I29:K29)</f>
        <v>1.6129032258064515</v>
      </c>
      <c r="M29" s="279">
        <f t="shared" si="10"/>
        <v>9577.92</v>
      </c>
      <c r="N29" s="190">
        <f t="shared" si="10"/>
        <v>40.640300010417036</v>
      </c>
      <c r="O29" s="190">
        <f t="shared" si="10"/>
        <v>385.9300670162158</v>
      </c>
      <c r="P29" s="190">
        <f t="shared" si="10"/>
        <v>141.1715684572381</v>
      </c>
      <c r="Q29" s="280">
        <f t="shared" si="10"/>
        <v>567.741935483871</v>
      </c>
      <c r="R29" s="279">
        <f t="shared" si="11"/>
        <v>1879.6799999999985</v>
      </c>
      <c r="S29" s="190">
        <f t="shared" si="11"/>
        <v>18.656738261943694</v>
      </c>
      <c r="T29" s="190">
        <f t="shared" si="11"/>
        <v>180.28977212587534</v>
      </c>
      <c r="U29" s="190">
        <f t="shared" si="11"/>
        <v>64.80761712043599</v>
      </c>
      <c r="V29" s="280">
        <f t="shared" si="11"/>
        <v>263.7541275082551</v>
      </c>
    </row>
    <row r="30" spans="1:22" ht="13.5" thickBot="1">
      <c r="A30" s="353" t="s">
        <v>664</v>
      </c>
      <c r="B30" s="354">
        <v>0.5</v>
      </c>
      <c r="C30" s="355">
        <f>'Energy Star Washers'!AC$6</f>
        <v>700</v>
      </c>
      <c r="D30" s="356">
        <f>C30-C29</f>
        <v>50</v>
      </c>
      <c r="E30" s="357">
        <f>'Energy Star Washers'!Z$6</f>
        <v>8.9</v>
      </c>
      <c r="F30" s="358">
        <f>'Energy Star Washers'!V$6</f>
        <v>2.2</v>
      </c>
      <c r="G30" s="359">
        <v>2.6174606565548673</v>
      </c>
      <c r="H30" s="360">
        <f>E30*B$20</f>
        <v>26.700000000000003</v>
      </c>
      <c r="I30" s="361">
        <v>0.09421487603305785</v>
      </c>
      <c r="J30" s="361">
        <v>0.9148760330578511</v>
      </c>
      <c r="K30" s="361">
        <v>0.35454545454545444</v>
      </c>
      <c r="L30" s="358">
        <f>SUM(I30:K30)</f>
        <v>1.3636363636363635</v>
      </c>
      <c r="M30" s="362">
        <f t="shared" si="10"/>
        <v>9398.400000000001</v>
      </c>
      <c r="N30" s="363">
        <f t="shared" si="10"/>
        <v>33.163636363636364</v>
      </c>
      <c r="O30" s="363">
        <f t="shared" si="10"/>
        <v>322.0363636363636</v>
      </c>
      <c r="P30" s="363">
        <f t="shared" si="10"/>
        <v>124.79999999999997</v>
      </c>
      <c r="Q30" s="364">
        <f t="shared" si="10"/>
        <v>479.99999999999994</v>
      </c>
      <c r="R30" s="362">
        <f t="shared" si="11"/>
        <v>179.51999999999862</v>
      </c>
      <c r="S30" s="363">
        <f t="shared" si="11"/>
        <v>7.476663646780672</v>
      </c>
      <c r="T30" s="363">
        <f t="shared" si="11"/>
        <v>63.893703379852184</v>
      </c>
      <c r="U30" s="363">
        <f t="shared" si="11"/>
        <v>16.371568457238126</v>
      </c>
      <c r="V30" s="364">
        <f t="shared" si="11"/>
        <v>87.74193548387103</v>
      </c>
    </row>
    <row r="31" spans="1:22" ht="13.5" thickBot="1">
      <c r="A31" s="369" t="s">
        <v>672</v>
      </c>
      <c r="B31" s="370">
        <f>B30</f>
        <v>0.5</v>
      </c>
      <c r="C31" s="371">
        <f>C30</f>
        <v>700</v>
      </c>
      <c r="D31" s="372">
        <f>D29+D30</f>
        <v>170</v>
      </c>
      <c r="E31" s="373">
        <f aca="true" t="shared" si="12" ref="E31:Q31">E30</f>
        <v>8.9</v>
      </c>
      <c r="F31" s="373">
        <f t="shared" si="12"/>
        <v>2.2</v>
      </c>
      <c r="G31" s="373">
        <f t="shared" si="12"/>
        <v>2.6174606565548673</v>
      </c>
      <c r="H31" s="373">
        <f t="shared" si="12"/>
        <v>26.700000000000003</v>
      </c>
      <c r="I31" s="373">
        <f t="shared" si="12"/>
        <v>0.09421487603305785</v>
      </c>
      <c r="J31" s="373">
        <f t="shared" si="12"/>
        <v>0.9148760330578511</v>
      </c>
      <c r="K31" s="373">
        <f t="shared" si="12"/>
        <v>0.35454545454545444</v>
      </c>
      <c r="L31" s="373">
        <f t="shared" si="12"/>
        <v>1.3636363636363635</v>
      </c>
      <c r="M31" s="374">
        <f t="shared" si="12"/>
        <v>9398.400000000001</v>
      </c>
      <c r="N31" s="374">
        <f t="shared" si="12"/>
        <v>33.163636363636364</v>
      </c>
      <c r="O31" s="374">
        <f t="shared" si="12"/>
        <v>322.0363636363636</v>
      </c>
      <c r="P31" s="374">
        <f t="shared" si="12"/>
        <v>124.79999999999997</v>
      </c>
      <c r="Q31" s="374">
        <f t="shared" si="12"/>
        <v>479.99999999999994</v>
      </c>
      <c r="R31" s="375">
        <f>R29+R30</f>
        <v>2059.199999999997</v>
      </c>
      <c r="S31" s="375">
        <f>S29+S30</f>
        <v>26.133401908724366</v>
      </c>
      <c r="T31" s="375">
        <f>T29+T30</f>
        <v>244.18347550572753</v>
      </c>
      <c r="U31" s="375">
        <f>U29+U30</f>
        <v>81.17918557767412</v>
      </c>
      <c r="V31" s="376">
        <f>V29+V30</f>
        <v>351.49606299212616</v>
      </c>
    </row>
    <row r="32" spans="1:8" ht="12.75">
      <c r="A32" s="129" t="s">
        <v>3</v>
      </c>
      <c r="H32" s="183"/>
    </row>
    <row r="33" ht="12.75">
      <c r="A33" t="s">
        <v>444</v>
      </c>
    </row>
    <row r="35" ht="13.5" thickBot="1"/>
    <row r="36" spans="2:12" ht="13.5" customHeight="1" thickBot="1">
      <c r="B36" s="119"/>
      <c r="C36" s="130"/>
      <c r="D36" s="130"/>
      <c r="G36" s="131" t="s">
        <v>291</v>
      </c>
      <c r="H36" s="132"/>
      <c r="I36" s="132"/>
      <c r="J36" s="132"/>
      <c r="K36" s="132"/>
      <c r="L36" s="266"/>
    </row>
    <row r="37" spans="2:22" ht="13.5" customHeight="1" thickBot="1">
      <c r="B37" s="332" t="s">
        <v>17</v>
      </c>
      <c r="C37" s="401" t="s">
        <v>12</v>
      </c>
      <c r="D37" s="402"/>
      <c r="E37" s="402"/>
      <c r="F37" s="403"/>
      <c r="G37" s="422" t="s">
        <v>275</v>
      </c>
      <c r="H37" s="423"/>
      <c r="I37" s="423"/>
      <c r="J37" s="423"/>
      <c r="K37" s="423"/>
      <c r="L37" s="424"/>
      <c r="M37" s="398" t="s">
        <v>276</v>
      </c>
      <c r="N37" s="399"/>
      <c r="O37" s="399"/>
      <c r="P37" s="399"/>
      <c r="Q37" s="400"/>
      <c r="R37" s="398" t="s">
        <v>26</v>
      </c>
      <c r="S37" s="399"/>
      <c r="T37" s="399"/>
      <c r="U37" s="399"/>
      <c r="V37" s="400"/>
    </row>
    <row r="38" spans="1:22" ht="36">
      <c r="A38" s="408" t="s">
        <v>15</v>
      </c>
      <c r="B38" s="404" t="s">
        <v>7</v>
      </c>
      <c r="C38" s="337" t="s">
        <v>6</v>
      </c>
      <c r="D38" s="259" t="s">
        <v>25</v>
      </c>
      <c r="E38" s="260" t="s">
        <v>453</v>
      </c>
      <c r="F38" s="281" t="s">
        <v>662</v>
      </c>
      <c r="G38" s="267" t="s">
        <v>10</v>
      </c>
      <c r="H38" s="261" t="s">
        <v>11</v>
      </c>
      <c r="I38" s="261" t="s">
        <v>278</v>
      </c>
      <c r="J38" s="261" t="s">
        <v>279</v>
      </c>
      <c r="K38" s="261" t="s">
        <v>280</v>
      </c>
      <c r="L38" s="281" t="s">
        <v>144</v>
      </c>
      <c r="M38" s="267" t="s">
        <v>277</v>
      </c>
      <c r="N38" s="260" t="s">
        <v>281</v>
      </c>
      <c r="O38" s="260" t="s">
        <v>292</v>
      </c>
      <c r="P38" s="260" t="s">
        <v>293</v>
      </c>
      <c r="Q38" s="262" t="s">
        <v>294</v>
      </c>
      <c r="R38" s="267" t="s">
        <v>277</v>
      </c>
      <c r="S38" s="260" t="s">
        <v>281</v>
      </c>
      <c r="T38" s="260" t="s">
        <v>292</v>
      </c>
      <c r="U38" s="260" t="s">
        <v>293</v>
      </c>
      <c r="V38" s="262" t="s">
        <v>295</v>
      </c>
    </row>
    <row r="39" spans="1:22" ht="13.5" thickBot="1">
      <c r="A39" s="409"/>
      <c r="B39" s="405"/>
      <c r="C39" s="268" t="s">
        <v>666</v>
      </c>
      <c r="D39" s="328" t="s">
        <v>666</v>
      </c>
      <c r="E39" s="263" t="s">
        <v>4</v>
      </c>
      <c r="F39" s="293" t="s">
        <v>5</v>
      </c>
      <c r="G39" s="268" t="s">
        <v>13</v>
      </c>
      <c r="H39" s="264" t="s">
        <v>13</v>
      </c>
      <c r="I39" s="264" t="s">
        <v>289</v>
      </c>
      <c r="J39" s="269" t="s">
        <v>296</v>
      </c>
      <c r="K39" s="269" t="s">
        <v>296</v>
      </c>
      <c r="L39" s="292" t="s">
        <v>297</v>
      </c>
      <c r="M39" s="268" t="s">
        <v>290</v>
      </c>
      <c r="N39" s="264" t="s">
        <v>289</v>
      </c>
      <c r="O39" s="264" t="s">
        <v>296</v>
      </c>
      <c r="P39" s="264" t="s">
        <v>296</v>
      </c>
      <c r="Q39" s="265" t="s">
        <v>296</v>
      </c>
      <c r="R39" s="268" t="s">
        <v>290</v>
      </c>
      <c r="S39" s="264" t="s">
        <v>289</v>
      </c>
      <c r="T39" s="264" t="s">
        <v>296</v>
      </c>
      <c r="U39" s="264" t="s">
        <v>296</v>
      </c>
      <c r="V39" s="265" t="s">
        <v>296</v>
      </c>
    </row>
    <row r="40" spans="1:22" ht="12.75">
      <c r="A40" s="296" t="s">
        <v>677</v>
      </c>
      <c r="B40" s="333"/>
      <c r="C40" s="338">
        <f>'Energy Star Washers'!AC$3</f>
        <v>500</v>
      </c>
      <c r="D40" s="329"/>
      <c r="E40" s="255">
        <f>'Energy Star Washers'!Z$3</f>
        <v>12</v>
      </c>
      <c r="F40" s="294">
        <f>'Energy Star Washers'!V$3</f>
        <v>1.04</v>
      </c>
      <c r="G40" s="282">
        <v>5.789939135410706</v>
      </c>
      <c r="H40" s="256">
        <f>E40*B$20</f>
        <v>36</v>
      </c>
      <c r="I40" s="257">
        <v>0.38260169150221507</v>
      </c>
      <c r="J40" s="257">
        <f>J27*3413/100000/0.893</f>
        <v>0.061233140675743994</v>
      </c>
      <c r="K40" s="257">
        <f>(K27*3413/100000)/0.75</f>
        <v>0.04095004363001745</v>
      </c>
      <c r="L40" s="283">
        <f>SUM(J40:K40)</f>
        <v>0.10218318430576145</v>
      </c>
      <c r="M40" s="270">
        <f aca="true" t="shared" si="13" ref="M40:P43">$B$21*H40</f>
        <v>12672</v>
      </c>
      <c r="N40" s="258">
        <f t="shared" si="13"/>
        <v>134.6757954087797</v>
      </c>
      <c r="O40" s="258">
        <f t="shared" si="13"/>
        <v>21.554065517861886</v>
      </c>
      <c r="P40" s="258">
        <f t="shared" si="13"/>
        <v>14.414415357766144</v>
      </c>
      <c r="Q40" s="271">
        <f>O40+P40</f>
        <v>35.96848087562803</v>
      </c>
      <c r="R40" s="270">
        <f>M$40-M40</f>
        <v>0</v>
      </c>
      <c r="S40" s="258">
        <f>N$40-N40</f>
        <v>0</v>
      </c>
      <c r="T40" s="258">
        <f>O$40-O40</f>
        <v>0</v>
      </c>
      <c r="U40" s="258">
        <f>P$40-P40</f>
        <v>0</v>
      </c>
      <c r="V40" s="271">
        <f>Q$40-Q40</f>
        <v>0</v>
      </c>
    </row>
    <row r="41" spans="1:22" ht="12.75">
      <c r="A41" s="297" t="s">
        <v>678</v>
      </c>
      <c r="B41" s="334">
        <v>0.25</v>
      </c>
      <c r="C41" s="339">
        <f>'Energy Star Washers'!AC$4</f>
        <v>530</v>
      </c>
      <c r="D41" s="330">
        <f>C41-C40</f>
        <v>30</v>
      </c>
      <c r="E41" s="193">
        <f>'Energy Star Washers'!Z$4</f>
        <v>10.85</v>
      </c>
      <c r="F41" s="285">
        <f>'Energy Star Washers'!V$4</f>
        <v>1.27</v>
      </c>
      <c r="G41" s="284">
        <v>3.9726581074655254</v>
      </c>
      <c r="H41" s="252">
        <f>E41*B$20</f>
        <v>32.55</v>
      </c>
      <c r="I41" s="194">
        <v>0.1684574950919339</v>
      </c>
      <c r="J41" s="194">
        <f>J28*3413/100000/0.893</f>
        <v>0.0614790641540249</v>
      </c>
      <c r="K41" s="194">
        <f>(K28*3413/100000)/0.75</f>
        <v>0.026629051529416733</v>
      </c>
      <c r="L41" s="285">
        <f>SUM(J41:K41)</f>
        <v>0.08810811568344162</v>
      </c>
      <c r="M41" s="272">
        <f t="shared" si="13"/>
        <v>11457.599999999999</v>
      </c>
      <c r="N41" s="195">
        <f t="shared" si="13"/>
        <v>59.29703827236073</v>
      </c>
      <c r="O41" s="195">
        <f t="shared" si="13"/>
        <v>21.640630582216765</v>
      </c>
      <c r="P41" s="195">
        <f t="shared" si="13"/>
        <v>9.37342613835469</v>
      </c>
      <c r="Q41" s="273">
        <f>O41+P41</f>
        <v>31.014056720571453</v>
      </c>
      <c r="R41" s="272">
        <f aca="true" t="shared" si="14" ref="R41:V43">M40-M41</f>
        <v>1214.4000000000015</v>
      </c>
      <c r="S41" s="195">
        <f t="shared" si="14"/>
        <v>75.37875713641895</v>
      </c>
      <c r="T41" s="195">
        <f t="shared" si="14"/>
        <v>-0.08656506435487898</v>
      </c>
      <c r="U41" s="195">
        <f t="shared" si="14"/>
        <v>5.040989219411454</v>
      </c>
      <c r="V41" s="273">
        <f t="shared" si="14"/>
        <v>4.954424155056579</v>
      </c>
    </row>
    <row r="42" spans="1:22" ht="12.75">
      <c r="A42" s="298" t="s">
        <v>665</v>
      </c>
      <c r="B42" s="335">
        <v>0.45</v>
      </c>
      <c r="C42" s="339">
        <f>'Energy Star Washers'!AC$5</f>
        <v>650</v>
      </c>
      <c r="D42" s="330">
        <f>C42-C41</f>
        <v>120</v>
      </c>
      <c r="E42" s="126">
        <f>'Energy Star Washers'!Z$5</f>
        <v>9.07</v>
      </c>
      <c r="F42" s="287">
        <f>'Energy Star Washers'!V$5</f>
        <v>1.86</v>
      </c>
      <c r="G42" s="286">
        <v>2.770796838282418</v>
      </c>
      <c r="H42" s="253">
        <f>E42*B$20</f>
        <v>27.21</v>
      </c>
      <c r="I42" s="128">
        <v>0.11545539775686657</v>
      </c>
      <c r="J42" s="128">
        <f>J29*3413/100000/0.893</f>
        <v>0.04190354648294641</v>
      </c>
      <c r="K42" s="128">
        <f>(K29*3413/100000)/0.75</f>
        <v>0.018250703149414915</v>
      </c>
      <c r="L42" s="287">
        <f>SUM(J42:K42)</f>
        <v>0.06015424963236132</v>
      </c>
      <c r="M42" s="274">
        <f t="shared" si="13"/>
        <v>9577.92</v>
      </c>
      <c r="N42" s="127">
        <f t="shared" si="13"/>
        <v>40.640300010417036</v>
      </c>
      <c r="O42" s="127">
        <f t="shared" si="13"/>
        <v>14.750048361997138</v>
      </c>
      <c r="P42" s="127">
        <f t="shared" si="13"/>
        <v>6.42424750859405</v>
      </c>
      <c r="Q42" s="275">
        <f>O42+P42</f>
        <v>21.174295870591187</v>
      </c>
      <c r="R42" s="274">
        <f t="shared" si="14"/>
        <v>1879.6799999999985</v>
      </c>
      <c r="S42" s="127">
        <f t="shared" si="14"/>
        <v>18.656738261943694</v>
      </c>
      <c r="T42" s="127">
        <f t="shared" si="14"/>
        <v>6.890582220219628</v>
      </c>
      <c r="U42" s="127">
        <f t="shared" si="14"/>
        <v>2.94917862976064</v>
      </c>
      <c r="V42" s="275">
        <f t="shared" si="14"/>
        <v>9.839760849980266</v>
      </c>
    </row>
    <row r="43" spans="1:22" ht="13.5" thickBot="1">
      <c r="A43" s="299" t="s">
        <v>664</v>
      </c>
      <c r="B43" s="336">
        <v>0.5</v>
      </c>
      <c r="C43" s="340">
        <f>'Energy Star Washers'!AC$6</f>
        <v>700</v>
      </c>
      <c r="D43" s="331">
        <f>C43-C42</f>
        <v>50</v>
      </c>
      <c r="E43" s="295">
        <f>'Energy Star Washers'!Z$6</f>
        <v>8.9</v>
      </c>
      <c r="F43" s="291">
        <f>'Energy Star Washers'!V$6</f>
        <v>2.2</v>
      </c>
      <c r="G43" s="288">
        <v>2.6174606565548673</v>
      </c>
      <c r="H43" s="289">
        <f>E43*B$20</f>
        <v>26.700000000000003</v>
      </c>
      <c r="I43" s="290">
        <v>0.09421487603305785</v>
      </c>
      <c r="J43" s="290">
        <f>J30*3413/100000/0.893</f>
        <v>0.03496609071474183</v>
      </c>
      <c r="K43" s="290">
        <f>(K30*3413/100000)/0.75</f>
        <v>0.016134181818181815</v>
      </c>
      <c r="L43" s="291">
        <f>SUM(J43:K43)</f>
        <v>0.05110027253292365</v>
      </c>
      <c r="M43" s="276">
        <f t="shared" si="13"/>
        <v>9398.400000000001</v>
      </c>
      <c r="N43" s="277">
        <f t="shared" si="13"/>
        <v>33.163636363636364</v>
      </c>
      <c r="O43" s="277">
        <f t="shared" si="13"/>
        <v>12.308063931589125</v>
      </c>
      <c r="P43" s="277">
        <f t="shared" si="13"/>
        <v>5.679231999999999</v>
      </c>
      <c r="Q43" s="278">
        <f>O43+P43</f>
        <v>17.987295931589124</v>
      </c>
      <c r="R43" s="276">
        <f t="shared" si="14"/>
        <v>179.51999999999862</v>
      </c>
      <c r="S43" s="277">
        <f t="shared" si="14"/>
        <v>7.476663646780672</v>
      </c>
      <c r="T43" s="277">
        <f t="shared" si="14"/>
        <v>2.441984430408013</v>
      </c>
      <c r="U43" s="277">
        <f t="shared" si="14"/>
        <v>0.7450155085940509</v>
      </c>
      <c r="V43" s="278">
        <f t="shared" si="14"/>
        <v>3.186999939002064</v>
      </c>
    </row>
    <row r="44" spans="1:22" ht="13.5" thickBot="1">
      <c r="A44" s="369" t="s">
        <v>672</v>
      </c>
      <c r="B44" s="370">
        <f>B43</f>
        <v>0.5</v>
      </c>
      <c r="C44" s="371">
        <f>C43</f>
        <v>700</v>
      </c>
      <c r="D44" s="372">
        <f>D42+D43</f>
        <v>170</v>
      </c>
      <c r="E44" s="373">
        <f aca="true" t="shared" si="15" ref="E44:Q44">E43</f>
        <v>8.9</v>
      </c>
      <c r="F44" s="373">
        <f t="shared" si="15"/>
        <v>2.2</v>
      </c>
      <c r="G44" s="373">
        <f t="shared" si="15"/>
        <v>2.6174606565548673</v>
      </c>
      <c r="H44" s="373">
        <f t="shared" si="15"/>
        <v>26.700000000000003</v>
      </c>
      <c r="I44" s="373">
        <f t="shared" si="15"/>
        <v>0.09421487603305785</v>
      </c>
      <c r="J44" s="373">
        <f t="shared" si="15"/>
        <v>0.03496609071474183</v>
      </c>
      <c r="K44" s="373">
        <f t="shared" si="15"/>
        <v>0.016134181818181815</v>
      </c>
      <c r="L44" s="373">
        <f t="shared" si="15"/>
        <v>0.05110027253292365</v>
      </c>
      <c r="M44" s="374">
        <f t="shared" si="15"/>
        <v>9398.400000000001</v>
      </c>
      <c r="N44" s="374">
        <f t="shared" si="15"/>
        <v>33.163636363636364</v>
      </c>
      <c r="O44" s="374">
        <f t="shared" si="15"/>
        <v>12.308063931589125</v>
      </c>
      <c r="P44" s="374">
        <f t="shared" si="15"/>
        <v>5.679231999999999</v>
      </c>
      <c r="Q44" s="374">
        <f t="shared" si="15"/>
        <v>17.987295931589124</v>
      </c>
      <c r="R44" s="375">
        <f>R42+R43</f>
        <v>2059.199999999997</v>
      </c>
      <c r="S44" s="375">
        <f>S42+S43</f>
        <v>26.133401908724366</v>
      </c>
      <c r="T44" s="375">
        <f>T42+T43</f>
        <v>9.33256665062764</v>
      </c>
      <c r="U44" s="375">
        <f>U42+U43</f>
        <v>3.694194138354691</v>
      </c>
      <c r="V44" s="376">
        <f>V42+V43</f>
        <v>13.02676078898233</v>
      </c>
    </row>
    <row r="45" ht="13.5" thickBot="1">
      <c r="A45" s="129"/>
    </row>
    <row r="46" spans="1:9" ht="13.5" thickBot="1">
      <c r="A46" s="419" t="s">
        <v>298</v>
      </c>
      <c r="B46" s="420"/>
      <c r="C46" s="420"/>
      <c r="D46" s="420"/>
      <c r="E46" s="420"/>
      <c r="F46" s="420"/>
      <c r="G46" s="420"/>
      <c r="H46" s="420"/>
      <c r="I46" s="421"/>
    </row>
    <row r="47" spans="1:9" ht="12.75">
      <c r="A47" s="133">
        <v>1000</v>
      </c>
      <c r="B47" s="134" t="s">
        <v>299</v>
      </c>
      <c r="C47" s="135"/>
      <c r="D47" s="135"/>
      <c r="E47" s="135"/>
      <c r="F47" s="135"/>
      <c r="G47" s="135"/>
      <c r="H47" s="135"/>
      <c r="I47" s="136"/>
    </row>
    <row r="48" spans="1:9" ht="12.75">
      <c r="A48" s="137">
        <f>1728/231</f>
        <v>7.48051948051948</v>
      </c>
      <c r="B48" s="138" t="s">
        <v>300</v>
      </c>
      <c r="C48" s="138" t="s">
        <v>301</v>
      </c>
      <c r="D48" s="138" t="s">
        <v>110</v>
      </c>
      <c r="E48" s="138" t="s">
        <v>277</v>
      </c>
      <c r="F48" s="138" t="s">
        <v>302</v>
      </c>
      <c r="G48" s="138" t="s">
        <v>303</v>
      </c>
      <c r="H48" s="138" t="s">
        <v>304</v>
      </c>
      <c r="I48" s="139" t="s">
        <v>305</v>
      </c>
    </row>
    <row r="49" spans="1:9" ht="12.75">
      <c r="A49" s="140">
        <f>1000/A48</f>
        <v>133.68055555555557</v>
      </c>
      <c r="B49" s="138" t="s">
        <v>306</v>
      </c>
      <c r="C49" s="138" t="s">
        <v>307</v>
      </c>
      <c r="D49" s="141">
        <v>0.3</v>
      </c>
      <c r="E49" s="142">
        <v>1.1</v>
      </c>
      <c r="F49" s="142">
        <v>2.3</v>
      </c>
      <c r="G49" s="142">
        <f>SUM(E49:F49)</f>
        <v>3.4</v>
      </c>
      <c r="H49" s="142">
        <f>A$47/1000*G49</f>
        <v>3.4</v>
      </c>
      <c r="I49" s="143">
        <f>H49*D49</f>
        <v>1.02</v>
      </c>
    </row>
    <row r="50" spans="1:9" ht="12.75">
      <c r="A50" s="144"/>
      <c r="B50" s="138"/>
      <c r="C50" s="138" t="s">
        <v>308</v>
      </c>
      <c r="D50" s="141">
        <v>0.5</v>
      </c>
      <c r="E50" s="142" t="s">
        <v>309</v>
      </c>
      <c r="F50" s="142"/>
      <c r="G50" s="142">
        <v>5.92</v>
      </c>
      <c r="H50" s="142">
        <f>A$47/1000*G50</f>
        <v>5.92</v>
      </c>
      <c r="I50" s="143">
        <f>H50*D50</f>
        <v>2.96</v>
      </c>
    </row>
    <row r="51" spans="1:9" ht="12.75">
      <c r="A51" s="144">
        <f>A52/A49</f>
        <v>0.03077485714285714</v>
      </c>
      <c r="B51" s="138" t="s">
        <v>310</v>
      </c>
      <c r="C51" s="138" t="s">
        <v>311</v>
      </c>
      <c r="D51" s="141">
        <v>0.2</v>
      </c>
      <c r="E51" s="142" t="s">
        <v>309</v>
      </c>
      <c r="F51" s="142"/>
      <c r="G51" s="142">
        <v>0.67</v>
      </c>
      <c r="H51" s="142">
        <f>A$47/1000*G51</f>
        <v>0.67</v>
      </c>
      <c r="I51" s="143">
        <f>H51*D51</f>
        <v>0.134</v>
      </c>
    </row>
    <row r="52" spans="1:9" ht="13.5" thickBot="1">
      <c r="A52" s="145">
        <f>I52</f>
        <v>4.114</v>
      </c>
      <c r="B52" s="112" t="s">
        <v>312</v>
      </c>
      <c r="C52" s="112" t="s">
        <v>313</v>
      </c>
      <c r="D52" s="146">
        <f>SUM(D49:D51)</f>
        <v>1</v>
      </c>
      <c r="E52" s="147"/>
      <c r="F52" s="147"/>
      <c r="G52" s="147"/>
      <c r="H52" s="112"/>
      <c r="I52" s="148">
        <f>SUM(I49:I51)</f>
        <v>4.114</v>
      </c>
    </row>
    <row r="53" spans="1:11" ht="13.5" thickBot="1">
      <c r="A53" s="149"/>
      <c r="B53" s="117"/>
      <c r="C53" s="117"/>
      <c r="D53" s="117"/>
      <c r="E53" s="117"/>
      <c r="F53" s="150"/>
      <c r="G53" s="149"/>
      <c r="H53" s="149"/>
      <c r="I53" s="149"/>
      <c r="J53" s="117"/>
      <c r="K53" s="149"/>
    </row>
    <row r="54" spans="1:4" ht="12.75">
      <c r="A54" s="416" t="s">
        <v>314</v>
      </c>
      <c r="B54" s="417"/>
      <c r="C54" s="417"/>
      <c r="D54" s="418"/>
    </row>
    <row r="55" spans="1:4" ht="38.25">
      <c r="A55" s="152"/>
      <c r="B55" s="153" t="s">
        <v>315</v>
      </c>
      <c r="C55" s="153" t="s">
        <v>316</v>
      </c>
      <c r="D55" s="154" t="s">
        <v>317</v>
      </c>
    </row>
    <row r="56" spans="1:4" ht="12.75">
      <c r="A56" s="297" t="s">
        <v>678</v>
      </c>
      <c r="B56" s="217">
        <f>'WasteWater System Savings'!C12</f>
        <v>4.22237860661506</v>
      </c>
      <c r="C56" s="303">
        <f>R28</f>
        <v>1214.4000000000015</v>
      </c>
      <c r="D56" s="165">
        <f>C56/1000*B$56</f>
        <v>5.127656579873335</v>
      </c>
    </row>
    <row r="57" spans="1:4" ht="12.75">
      <c r="A57" s="304" t="s">
        <v>665</v>
      </c>
      <c r="B57" s="121"/>
      <c r="C57" s="303">
        <f>R29</f>
        <v>1879.6799999999985</v>
      </c>
      <c r="D57" s="165">
        <f>C57/1000*B$56</f>
        <v>7.93672061928219</v>
      </c>
    </row>
    <row r="58" spans="1:4" ht="13.5" thickBot="1">
      <c r="A58" s="305" t="s">
        <v>664</v>
      </c>
      <c r="B58" s="306"/>
      <c r="C58" s="155">
        <f>R30</f>
        <v>179.51999999999862</v>
      </c>
      <c r="D58" s="156">
        <f>C58/1000*B$56</f>
        <v>0.7580014074595298</v>
      </c>
    </row>
    <row r="59" spans="1:4" ht="13.5" thickBot="1">
      <c r="A59" s="369" t="s">
        <v>672</v>
      </c>
      <c r="B59" s="378"/>
      <c r="C59" s="378">
        <f>SUM(C57:C58)</f>
        <v>2059.199999999997</v>
      </c>
      <c r="D59" s="378">
        <f>SUM(D57:D58)</f>
        <v>8.69472202674172</v>
      </c>
    </row>
    <row r="61" ht="13.5" thickBot="1"/>
    <row r="62" spans="1:6" ht="12.75">
      <c r="A62" s="151" t="s">
        <v>318</v>
      </c>
      <c r="B62" s="135"/>
      <c r="C62" s="135"/>
      <c r="D62" s="135"/>
      <c r="E62" s="134" t="s">
        <v>319</v>
      </c>
      <c r="F62" s="157"/>
    </row>
    <row r="63" spans="1:7" ht="12.75">
      <c r="A63" s="158"/>
      <c r="B63" s="138" t="s">
        <v>320</v>
      </c>
      <c r="C63" s="138" t="s">
        <v>321</v>
      </c>
      <c r="D63" s="138" t="s">
        <v>322</v>
      </c>
      <c r="E63" s="159" t="s">
        <v>323</v>
      </c>
      <c r="F63" s="160" t="s">
        <v>324</v>
      </c>
      <c r="G63" s="113"/>
    </row>
    <row r="64" spans="1:6" ht="13.5" thickBot="1">
      <c r="A64" s="161" t="s">
        <v>274</v>
      </c>
      <c r="B64" s="112">
        <f>C4</f>
        <v>352</v>
      </c>
      <c r="C64" s="147">
        <f>'Detergent Cost Estimates'!G$28</f>
        <v>0.19789659601798332</v>
      </c>
      <c r="D64" s="162">
        <f>B64*C64</f>
        <v>69.65960179833013</v>
      </c>
      <c r="E64" s="146">
        <v>0.25</v>
      </c>
      <c r="F64" s="163">
        <f>D64*E64</f>
        <v>17.414900449582532</v>
      </c>
    </row>
    <row r="65" spans="1:6" ht="13.5" thickBot="1">
      <c r="A65" s="117"/>
      <c r="B65" s="118"/>
      <c r="C65" s="149"/>
      <c r="D65" s="164"/>
      <c r="E65" s="150"/>
      <c r="F65" s="164"/>
    </row>
    <row r="66" spans="1:6" ht="51">
      <c r="A66" s="307"/>
      <c r="B66" s="311" t="s">
        <v>325</v>
      </c>
      <c r="C66" s="311" t="s">
        <v>326</v>
      </c>
      <c r="D66" s="311" t="s">
        <v>327</v>
      </c>
      <c r="E66" s="311" t="s">
        <v>328</v>
      </c>
      <c r="F66" s="312" t="s">
        <v>18</v>
      </c>
    </row>
    <row r="67" spans="1:6" ht="12.75">
      <c r="A67" s="158"/>
      <c r="B67" s="309">
        <f>'[1]Summary of Residential Units'!$E$22</f>
        <v>0.6380307253225604</v>
      </c>
      <c r="C67" s="309">
        <f>1-B67</f>
        <v>0.36196927467743956</v>
      </c>
      <c r="D67" s="309">
        <f>'[1]Summary of Residential Units'!$E$26</f>
        <v>0.8208495645747675</v>
      </c>
      <c r="E67" s="309">
        <f>1-D67</f>
        <v>0.17915043542523246</v>
      </c>
      <c r="F67" s="313">
        <v>1</v>
      </c>
    </row>
    <row r="68" spans="1:6" ht="12.75">
      <c r="A68" s="158"/>
      <c r="B68" s="317" t="s">
        <v>19</v>
      </c>
      <c r="C68" s="317" t="s">
        <v>20</v>
      </c>
      <c r="D68" s="317" t="s">
        <v>19</v>
      </c>
      <c r="E68" s="317" t="s">
        <v>20</v>
      </c>
      <c r="F68" s="318" t="s">
        <v>19</v>
      </c>
    </row>
    <row r="69" spans="1:6" ht="12.75">
      <c r="A69" s="300" t="s">
        <v>663</v>
      </c>
      <c r="B69" s="310">
        <f>U28</f>
        <v>110.77474112389663</v>
      </c>
      <c r="C69" s="310">
        <f>U41</f>
        <v>5.040989219411454</v>
      </c>
      <c r="D69" s="310">
        <f>T28</f>
        <v>-2.2649458678262135</v>
      </c>
      <c r="E69" s="310">
        <f>T41</f>
        <v>-0.08656506435487898</v>
      </c>
      <c r="F69" s="314">
        <f>S28</f>
        <v>75.37875713641895</v>
      </c>
    </row>
    <row r="70" spans="1:6" ht="12.75">
      <c r="A70" s="301" t="s">
        <v>665</v>
      </c>
      <c r="B70" s="310">
        <f>U29</f>
        <v>64.80761712043599</v>
      </c>
      <c r="C70" s="310">
        <f>U42</f>
        <v>2.94917862976064</v>
      </c>
      <c r="D70" s="310">
        <f>T29</f>
        <v>180.28977212587534</v>
      </c>
      <c r="E70" s="310">
        <f>T42</f>
        <v>6.890582220219628</v>
      </c>
      <c r="F70" s="314">
        <f>S29</f>
        <v>18.656738261943694</v>
      </c>
    </row>
    <row r="71" spans="1:6" ht="13.5" thickBot="1">
      <c r="A71" s="302" t="s">
        <v>664</v>
      </c>
      <c r="B71" s="315">
        <f>U30</f>
        <v>16.371568457238126</v>
      </c>
      <c r="C71" s="315">
        <f>U43</f>
        <v>0.7450155085940509</v>
      </c>
      <c r="D71" s="315">
        <f>T30</f>
        <v>63.893703379852184</v>
      </c>
      <c r="E71" s="315">
        <f>T43</f>
        <v>2.441984430408013</v>
      </c>
      <c r="F71" s="316">
        <f>S30</f>
        <v>7.476663646780672</v>
      </c>
    </row>
    <row r="72" spans="1:6" ht="13.5" thickBot="1">
      <c r="A72" s="369" t="s">
        <v>672</v>
      </c>
      <c r="B72" s="378">
        <f>SUM(B70:B71)</f>
        <v>81.17918557767412</v>
      </c>
      <c r="C72" s="378">
        <f>SUM(C70:C71)</f>
        <v>3.694194138354691</v>
      </c>
      <c r="D72" s="378">
        <f>SUM(D70:D71)</f>
        <v>244.18347550572753</v>
      </c>
      <c r="E72" s="378">
        <f>SUM(E70:E71)</f>
        <v>9.33256665062764</v>
      </c>
      <c r="F72" s="378">
        <f>SUM(F70:F71)</f>
        <v>26.133401908724366</v>
      </c>
    </row>
    <row r="73" ht="13.5" thickBot="1">
      <c r="B73" t="s">
        <v>683</v>
      </c>
    </row>
    <row r="74" spans="2:11" ht="25.5" customHeight="1">
      <c r="B74" s="308" t="s">
        <v>21</v>
      </c>
      <c r="C74" s="308" t="s">
        <v>22</v>
      </c>
      <c r="D74" s="410" t="s">
        <v>23</v>
      </c>
      <c r="E74" s="411"/>
      <c r="F74" s="410" t="s">
        <v>24</v>
      </c>
      <c r="G74" s="412"/>
      <c r="H74" s="413" t="s">
        <v>42</v>
      </c>
      <c r="I74" s="414"/>
      <c r="J74" s="415" t="s">
        <v>43</v>
      </c>
      <c r="K74" s="413"/>
    </row>
    <row r="75" spans="1:11" ht="12.75">
      <c r="A75" s="300" t="s">
        <v>663</v>
      </c>
      <c r="B75" s="324">
        <f>V28</f>
        <v>183.88855239248926</v>
      </c>
      <c r="C75" s="326">
        <f>V41</f>
        <v>4.954424155056579</v>
      </c>
      <c r="D75" s="321">
        <f>S41+B69</f>
        <v>186.1534982603156</v>
      </c>
      <c r="E75" s="322">
        <f>E69</f>
        <v>-0.08656506435487898</v>
      </c>
      <c r="F75" s="321">
        <f>S41+D69</f>
        <v>73.11381126859274</v>
      </c>
      <c r="G75" s="320">
        <f>C69</f>
        <v>5.040989219411454</v>
      </c>
      <c r="H75" s="319">
        <f aca="true" t="shared" si="16" ref="H75:I77">(B$67*B69)</f>
        <v>70.67768842669864</v>
      </c>
      <c r="I75" s="322">
        <f t="shared" si="16"/>
        <v>1.8246832114071563</v>
      </c>
      <c r="J75" s="321">
        <f aca="true" t="shared" si="17" ref="J75:K77">(D$67*D69)</f>
        <v>-1.8591798293905664</v>
      </c>
      <c r="K75" s="385">
        <f t="shared" si="17"/>
        <v>-0.015508168971789839</v>
      </c>
    </row>
    <row r="76" spans="1:11" ht="12.75">
      <c r="A76" s="301" t="s">
        <v>665</v>
      </c>
      <c r="B76" s="324">
        <f>V29</f>
        <v>263.7541275082551</v>
      </c>
      <c r="C76" s="326">
        <f>V42</f>
        <v>9.839760849980266</v>
      </c>
      <c r="D76" s="321">
        <f>S42+B70</f>
        <v>83.4643553823797</v>
      </c>
      <c r="E76" s="322">
        <f>E70</f>
        <v>6.890582220219628</v>
      </c>
      <c r="F76" s="321">
        <f>S42+D70</f>
        <v>198.94651038781905</v>
      </c>
      <c r="G76" s="320">
        <f>C70</f>
        <v>2.94917862976064</v>
      </c>
      <c r="H76" s="319">
        <f t="shared" si="16"/>
        <v>41.349250957778565</v>
      </c>
      <c r="I76" s="322">
        <f t="shared" si="16"/>
        <v>1.0675120495086639</v>
      </c>
      <c r="J76" s="321">
        <f t="shared" si="17"/>
        <v>147.99078094680883</v>
      </c>
      <c r="K76" s="385">
        <f t="shared" si="17"/>
        <v>1.2344508050857113</v>
      </c>
    </row>
    <row r="77" spans="1:11" ht="13.5" thickBot="1">
      <c r="A77" s="302" t="s">
        <v>664</v>
      </c>
      <c r="B77" s="325">
        <f>V30</f>
        <v>87.74193548387103</v>
      </c>
      <c r="C77" s="327">
        <f>V43</f>
        <v>3.186999939002064</v>
      </c>
      <c r="D77" s="321">
        <f>S43+B71</f>
        <v>23.8482321040188</v>
      </c>
      <c r="E77" s="323">
        <f>E71</f>
        <v>2.441984430408013</v>
      </c>
      <c r="F77" s="321">
        <f>S43+D71</f>
        <v>71.37036702663286</v>
      </c>
      <c r="G77" s="349">
        <f>C71</f>
        <v>0.7450155085940509</v>
      </c>
      <c r="H77" s="350">
        <f t="shared" si="16"/>
        <v>10.445563697439594</v>
      </c>
      <c r="I77" s="323">
        <f t="shared" si="16"/>
        <v>0.2696727232692323</v>
      </c>
      <c r="J77" s="321">
        <f t="shared" si="17"/>
        <v>52.44711859842102</v>
      </c>
      <c r="K77" s="385">
        <f t="shared" si="17"/>
        <v>0.4374825740092338</v>
      </c>
    </row>
    <row r="78" spans="1:11" ht="13.5" thickBot="1">
      <c r="A78" s="369" t="s">
        <v>672</v>
      </c>
      <c r="B78" s="379">
        <f>SUM(B76:B77)</f>
        <v>351.49606299212616</v>
      </c>
      <c r="C78" s="380">
        <f aca="true" t="shared" si="18" ref="C78:K78">SUM(C76:C77)</f>
        <v>13.02676078898233</v>
      </c>
      <c r="D78" s="381">
        <f t="shared" si="18"/>
        <v>107.31258748639848</v>
      </c>
      <c r="E78" s="382">
        <f t="shared" si="18"/>
        <v>9.33256665062764</v>
      </c>
      <c r="F78" s="381">
        <f t="shared" si="18"/>
        <v>270.31687741445194</v>
      </c>
      <c r="G78" s="383">
        <f t="shared" si="18"/>
        <v>3.694194138354691</v>
      </c>
      <c r="H78" s="384">
        <f t="shared" si="18"/>
        <v>51.79481465521816</v>
      </c>
      <c r="I78" s="382">
        <f t="shared" si="18"/>
        <v>1.337184772777896</v>
      </c>
      <c r="J78" s="381">
        <f t="shared" si="18"/>
        <v>200.43789954522984</v>
      </c>
      <c r="K78" s="386">
        <f t="shared" si="18"/>
        <v>1.671933379094945</v>
      </c>
    </row>
  </sheetData>
  <mergeCells count="18">
    <mergeCell ref="R37:V37"/>
    <mergeCell ref="M37:Q37"/>
    <mergeCell ref="A54:D54"/>
    <mergeCell ref="A46:I46"/>
    <mergeCell ref="C37:F37"/>
    <mergeCell ref="G37:L37"/>
    <mergeCell ref="D74:E74"/>
    <mergeCell ref="F74:G74"/>
    <mergeCell ref="H74:I74"/>
    <mergeCell ref="J74:K74"/>
    <mergeCell ref="B25:B26"/>
    <mergeCell ref="A25:A26"/>
    <mergeCell ref="A38:A39"/>
    <mergeCell ref="B38:B39"/>
    <mergeCell ref="M24:Q24"/>
    <mergeCell ref="R24:V24"/>
    <mergeCell ref="C24:F24"/>
    <mergeCell ref="G24:L24"/>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6"/>
  <dimension ref="A2:I28"/>
  <sheetViews>
    <sheetView workbookViewId="0" topLeftCell="A1">
      <selection activeCell="A1" sqref="A1"/>
    </sheetView>
  </sheetViews>
  <sheetFormatPr defaultColWidth="9.140625" defaultRowHeight="12.75"/>
  <cols>
    <col min="1" max="1" width="67.8515625" style="0" customWidth="1"/>
    <col min="2" max="3" width="6.421875" style="0" customWidth="1"/>
    <col min="5" max="5" width="8.28125" style="0" customWidth="1"/>
    <col min="6" max="6" width="6.421875" style="0" customWidth="1"/>
    <col min="7" max="7" width="10.140625" style="0" customWidth="1"/>
  </cols>
  <sheetData>
    <row r="2" spans="1:8" ht="25.5" customHeight="1">
      <c r="A2" t="s">
        <v>329</v>
      </c>
      <c r="B2" s="167" t="s">
        <v>330</v>
      </c>
      <c r="C2" s="167" t="s">
        <v>331</v>
      </c>
      <c r="D2" s="167" t="s">
        <v>332</v>
      </c>
      <c r="E2" s="167" t="s">
        <v>333</v>
      </c>
      <c r="F2" s="167" t="s">
        <v>334</v>
      </c>
      <c r="G2" t="s">
        <v>335</v>
      </c>
      <c r="H2" t="s">
        <v>336</v>
      </c>
    </row>
    <row r="3" spans="1:8" ht="12.75">
      <c r="A3" t="s">
        <v>337</v>
      </c>
      <c r="B3" t="s">
        <v>338</v>
      </c>
      <c r="C3" s="166">
        <f>4.14*16</f>
        <v>66.24</v>
      </c>
      <c r="D3" s="99">
        <f aca="true" t="shared" si="0" ref="D3:D24">E3/C3</f>
        <v>0.09948671497584542</v>
      </c>
      <c r="E3" s="99">
        <v>6.59</v>
      </c>
      <c r="F3">
        <v>44</v>
      </c>
      <c r="G3" s="168">
        <f aca="true" t="shared" si="1" ref="G3:G24">E3/F3</f>
        <v>0.14977272727272728</v>
      </c>
      <c r="H3" s="49">
        <f aca="true" t="shared" si="2" ref="H3:H24">C3/F3</f>
        <v>1.5054545454545454</v>
      </c>
    </row>
    <row r="4" spans="1:8" ht="12.75">
      <c r="A4" t="s">
        <v>339</v>
      </c>
      <c r="B4" t="s">
        <v>340</v>
      </c>
      <c r="C4" s="166">
        <f>10*16</f>
        <v>160</v>
      </c>
      <c r="D4" s="99">
        <f t="shared" si="0"/>
        <v>0.0968125</v>
      </c>
      <c r="E4" s="99">
        <v>15.49</v>
      </c>
      <c r="F4">
        <v>100</v>
      </c>
      <c r="G4" s="168">
        <f t="shared" si="1"/>
        <v>0.1549</v>
      </c>
      <c r="H4" s="49">
        <f t="shared" si="2"/>
        <v>1.6</v>
      </c>
    </row>
    <row r="5" spans="1:8" ht="12.75">
      <c r="A5" t="s">
        <v>341</v>
      </c>
      <c r="B5" t="s">
        <v>342</v>
      </c>
      <c r="C5" s="166">
        <f>8.37*16</f>
        <v>133.92</v>
      </c>
      <c r="D5" s="99">
        <f t="shared" si="0"/>
        <v>0.04472819593787336</v>
      </c>
      <c r="E5" s="99">
        <v>5.99</v>
      </c>
      <c r="F5">
        <v>33</v>
      </c>
      <c r="G5" s="168">
        <f t="shared" si="1"/>
        <v>0.18151515151515152</v>
      </c>
      <c r="H5" s="49">
        <f t="shared" si="2"/>
        <v>4.058181818181818</v>
      </c>
    </row>
    <row r="6" spans="1:8" ht="12.75">
      <c r="A6" t="s">
        <v>343</v>
      </c>
      <c r="B6" t="s">
        <v>342</v>
      </c>
      <c r="C6" s="166">
        <f>8.37*16</f>
        <v>133.92</v>
      </c>
      <c r="D6" s="99">
        <f t="shared" si="0"/>
        <v>0.04472819593787336</v>
      </c>
      <c r="E6" s="99">
        <v>5.99</v>
      </c>
      <c r="F6" s="166">
        <f>8.37*16/4.06</f>
        <v>32.98522167487685</v>
      </c>
      <c r="G6" s="168">
        <f t="shared" si="1"/>
        <v>0.18159647550776584</v>
      </c>
      <c r="H6" s="49">
        <f t="shared" si="2"/>
        <v>4.06</v>
      </c>
    </row>
    <row r="7" spans="1:8" ht="12.75">
      <c r="A7" t="s">
        <v>344</v>
      </c>
      <c r="B7" t="s">
        <v>342</v>
      </c>
      <c r="C7" s="166">
        <f>8.37*16</f>
        <v>133.92</v>
      </c>
      <c r="D7" s="99">
        <f t="shared" si="0"/>
        <v>0.04472819593787336</v>
      </c>
      <c r="E7" s="99">
        <v>5.99</v>
      </c>
      <c r="F7" s="166">
        <f>8.37*16/4.06</f>
        <v>32.98522167487685</v>
      </c>
      <c r="G7" s="168">
        <f t="shared" si="1"/>
        <v>0.18159647550776584</v>
      </c>
      <c r="H7" s="49">
        <f t="shared" si="2"/>
        <v>4.06</v>
      </c>
    </row>
    <row r="8" spans="1:8" ht="12.75">
      <c r="A8" t="s">
        <v>345</v>
      </c>
      <c r="B8" t="s">
        <v>346</v>
      </c>
      <c r="C8" s="166">
        <v>263</v>
      </c>
      <c r="D8" s="99">
        <f t="shared" si="0"/>
        <v>0.08437262357414449</v>
      </c>
      <c r="E8" s="99">
        <v>22.19</v>
      </c>
      <c r="F8">
        <v>120</v>
      </c>
      <c r="G8" s="168">
        <f t="shared" si="1"/>
        <v>0.18491666666666667</v>
      </c>
      <c r="H8" s="49">
        <f t="shared" si="2"/>
        <v>2.191666666666667</v>
      </c>
    </row>
    <row r="9" spans="1:8" ht="12.75">
      <c r="A9" t="s">
        <v>347</v>
      </c>
      <c r="B9" t="s">
        <v>340</v>
      </c>
      <c r="C9" s="166">
        <f>10*16</f>
        <v>160</v>
      </c>
      <c r="D9" s="99">
        <f t="shared" si="0"/>
        <v>0.0703125</v>
      </c>
      <c r="E9" s="99">
        <v>11.25</v>
      </c>
      <c r="F9">
        <v>60</v>
      </c>
      <c r="G9" s="168">
        <f t="shared" si="1"/>
        <v>0.1875</v>
      </c>
      <c r="H9" s="49">
        <f t="shared" si="2"/>
        <v>2.6666666666666665</v>
      </c>
    </row>
    <row r="10" spans="1:8" ht="12.75">
      <c r="A10" t="s">
        <v>348</v>
      </c>
      <c r="B10" t="s">
        <v>349</v>
      </c>
      <c r="C10">
        <v>55</v>
      </c>
      <c r="D10" s="99">
        <f t="shared" si="0"/>
        <v>0.047090909090909086</v>
      </c>
      <c r="E10" s="99">
        <v>2.59</v>
      </c>
      <c r="F10" s="166">
        <f>55/4.06</f>
        <v>13.546798029556651</v>
      </c>
      <c r="G10" s="168">
        <f t="shared" si="1"/>
        <v>0.1911890909090909</v>
      </c>
      <c r="H10" s="49">
        <f t="shared" si="2"/>
        <v>4.06</v>
      </c>
    </row>
    <row r="11" spans="1:8" ht="12.75">
      <c r="A11" t="s">
        <v>350</v>
      </c>
      <c r="B11" t="s">
        <v>351</v>
      </c>
      <c r="C11" s="166">
        <v>175</v>
      </c>
      <c r="D11" s="99">
        <f t="shared" si="0"/>
        <v>0.0908</v>
      </c>
      <c r="E11" s="99">
        <v>15.89</v>
      </c>
      <c r="F11">
        <v>80</v>
      </c>
      <c r="G11" s="168">
        <f t="shared" si="1"/>
        <v>0.198625</v>
      </c>
      <c r="H11" s="49">
        <f t="shared" si="2"/>
        <v>2.1875</v>
      </c>
    </row>
    <row r="12" spans="1:8" ht="12.75">
      <c r="A12" t="s">
        <v>352</v>
      </c>
      <c r="B12" t="s">
        <v>353</v>
      </c>
      <c r="C12" s="166">
        <v>83</v>
      </c>
      <c r="D12" s="99">
        <f t="shared" si="0"/>
        <v>0.10108433734939759</v>
      </c>
      <c r="E12" s="99">
        <v>8.39</v>
      </c>
      <c r="F12">
        <v>42</v>
      </c>
      <c r="G12" s="168">
        <f t="shared" si="1"/>
        <v>0.19976190476190478</v>
      </c>
      <c r="H12" s="49">
        <f t="shared" si="2"/>
        <v>1.9761904761904763</v>
      </c>
    </row>
    <row r="13" spans="1:8" ht="12.75">
      <c r="A13" t="s">
        <v>347</v>
      </c>
      <c r="B13" t="s">
        <v>354</v>
      </c>
      <c r="C13" s="166">
        <f>4.5*16</f>
        <v>72</v>
      </c>
      <c r="D13" s="99">
        <f t="shared" si="0"/>
        <v>0.07625</v>
      </c>
      <c r="E13" s="99">
        <v>5.49</v>
      </c>
      <c r="F13">
        <v>27</v>
      </c>
      <c r="G13" s="168">
        <f t="shared" si="1"/>
        <v>0.20333333333333334</v>
      </c>
      <c r="H13" s="49">
        <f t="shared" si="2"/>
        <v>2.6666666666666665</v>
      </c>
    </row>
    <row r="14" spans="1:8" ht="12.75">
      <c r="A14" t="s">
        <v>355</v>
      </c>
      <c r="B14" t="s">
        <v>356</v>
      </c>
      <c r="C14" s="166">
        <v>92</v>
      </c>
      <c r="D14" s="99">
        <f t="shared" si="0"/>
        <v>0.09293478260869566</v>
      </c>
      <c r="E14" s="99">
        <v>8.55</v>
      </c>
      <c r="F14">
        <v>42</v>
      </c>
      <c r="G14" s="168">
        <f t="shared" si="1"/>
        <v>0.2035714285714286</v>
      </c>
      <c r="H14" s="49">
        <f t="shared" si="2"/>
        <v>2.1904761904761907</v>
      </c>
    </row>
    <row r="15" spans="1:8" ht="12.75">
      <c r="A15" t="s">
        <v>357</v>
      </c>
      <c r="B15" t="s">
        <v>356</v>
      </c>
      <c r="C15" s="166">
        <v>92</v>
      </c>
      <c r="D15" s="99">
        <f t="shared" si="0"/>
        <v>0.09293478260869566</v>
      </c>
      <c r="E15" s="99">
        <v>8.55</v>
      </c>
      <c r="F15">
        <v>42</v>
      </c>
      <c r="G15" s="168">
        <f t="shared" si="1"/>
        <v>0.2035714285714286</v>
      </c>
      <c r="H15" s="49">
        <f t="shared" si="2"/>
        <v>2.1904761904761907</v>
      </c>
    </row>
    <row r="16" spans="1:8" ht="12.75">
      <c r="A16" t="s">
        <v>358</v>
      </c>
      <c r="B16" t="s">
        <v>356</v>
      </c>
      <c r="C16" s="166">
        <v>92</v>
      </c>
      <c r="D16" s="99">
        <f t="shared" si="0"/>
        <v>0.09771739130434783</v>
      </c>
      <c r="E16" s="99">
        <v>8.99</v>
      </c>
      <c r="F16">
        <v>42</v>
      </c>
      <c r="G16" s="168">
        <f t="shared" si="1"/>
        <v>0.21404761904761904</v>
      </c>
      <c r="H16" s="49">
        <f t="shared" si="2"/>
        <v>2.1904761904761907</v>
      </c>
    </row>
    <row r="17" spans="1:8" ht="12.75">
      <c r="A17" t="s">
        <v>359</v>
      </c>
      <c r="B17" t="s">
        <v>356</v>
      </c>
      <c r="C17" s="166">
        <v>92</v>
      </c>
      <c r="D17" s="99">
        <f t="shared" si="0"/>
        <v>0.09771739130434783</v>
      </c>
      <c r="E17" s="99">
        <v>8.99</v>
      </c>
      <c r="F17">
        <v>42</v>
      </c>
      <c r="G17" s="168">
        <f t="shared" si="1"/>
        <v>0.21404761904761904</v>
      </c>
      <c r="H17" s="49">
        <f t="shared" si="2"/>
        <v>2.1904761904761907</v>
      </c>
    </row>
    <row r="18" spans="1:8" ht="12.75">
      <c r="A18" t="s">
        <v>360</v>
      </c>
      <c r="B18" t="s">
        <v>356</v>
      </c>
      <c r="C18" s="166">
        <v>92</v>
      </c>
      <c r="D18" s="99">
        <f t="shared" si="0"/>
        <v>0.09771739130434783</v>
      </c>
      <c r="E18" s="99">
        <v>8.99</v>
      </c>
      <c r="F18">
        <v>42</v>
      </c>
      <c r="G18" s="168">
        <f t="shared" si="1"/>
        <v>0.21404761904761904</v>
      </c>
      <c r="H18" s="49">
        <f t="shared" si="2"/>
        <v>2.1904761904761907</v>
      </c>
    </row>
    <row r="19" spans="1:8" ht="12.75">
      <c r="A19" t="s">
        <v>361</v>
      </c>
      <c r="B19" t="s">
        <v>362</v>
      </c>
      <c r="C19" s="166">
        <v>87</v>
      </c>
      <c r="D19" s="99">
        <f t="shared" si="0"/>
        <v>0.11666666666666667</v>
      </c>
      <c r="E19" s="99">
        <v>10.15</v>
      </c>
      <c r="F19">
        <v>42</v>
      </c>
      <c r="G19" s="168">
        <f t="shared" si="1"/>
        <v>0.24166666666666667</v>
      </c>
      <c r="H19" s="49">
        <f t="shared" si="2"/>
        <v>2.0714285714285716</v>
      </c>
    </row>
    <row r="20" spans="1:8" ht="12.75">
      <c r="A20" t="s">
        <v>363</v>
      </c>
      <c r="B20" t="s">
        <v>364</v>
      </c>
      <c r="C20" s="166">
        <v>177</v>
      </c>
      <c r="D20" s="99">
        <f t="shared" si="0"/>
        <v>0.08977401129943503</v>
      </c>
      <c r="E20" s="99">
        <v>15.89</v>
      </c>
      <c r="F20">
        <v>63</v>
      </c>
      <c r="G20" s="168">
        <f t="shared" si="1"/>
        <v>0.25222222222222224</v>
      </c>
      <c r="H20" s="49">
        <f t="shared" si="2"/>
        <v>2.8095238095238093</v>
      </c>
    </row>
    <row r="21" spans="1:8" ht="12.75">
      <c r="A21" t="s">
        <v>365</v>
      </c>
      <c r="B21" t="s">
        <v>362</v>
      </c>
      <c r="C21" s="166">
        <v>87</v>
      </c>
      <c r="D21" s="99">
        <f t="shared" si="0"/>
        <v>0.09827586206896552</v>
      </c>
      <c r="E21" s="99">
        <v>8.55</v>
      </c>
      <c r="F21">
        <v>33</v>
      </c>
      <c r="G21" s="168">
        <f t="shared" si="1"/>
        <v>0.2590909090909091</v>
      </c>
      <c r="H21" s="49">
        <f t="shared" si="2"/>
        <v>2.6363636363636362</v>
      </c>
    </row>
    <row r="22" spans="1:8" ht="12.75">
      <c r="A22" t="s">
        <v>366</v>
      </c>
      <c r="B22" t="s">
        <v>356</v>
      </c>
      <c r="C22" s="166">
        <v>92</v>
      </c>
      <c r="D22" s="99">
        <f t="shared" si="0"/>
        <v>0.09771739130434783</v>
      </c>
      <c r="E22" s="99">
        <v>8.99</v>
      </c>
      <c r="F22">
        <v>33</v>
      </c>
      <c r="G22" s="168">
        <f t="shared" si="1"/>
        <v>0.27242424242424246</v>
      </c>
      <c r="H22" s="49">
        <f t="shared" si="2"/>
        <v>2.787878787878788</v>
      </c>
    </row>
    <row r="23" spans="1:8" ht="12.75">
      <c r="A23" t="s">
        <v>367</v>
      </c>
      <c r="B23" t="s">
        <v>368</v>
      </c>
      <c r="C23" s="166">
        <v>26</v>
      </c>
      <c r="D23" s="99">
        <f t="shared" si="0"/>
        <v>0.15730769230769232</v>
      </c>
      <c r="E23" s="99">
        <v>4.09</v>
      </c>
      <c r="F23">
        <v>15</v>
      </c>
      <c r="G23" s="168">
        <f t="shared" si="1"/>
        <v>0.27266666666666667</v>
      </c>
      <c r="H23" s="49">
        <f t="shared" si="2"/>
        <v>1.7333333333333334</v>
      </c>
    </row>
    <row r="24" spans="1:8" ht="12.75">
      <c r="A24" t="s">
        <v>369</v>
      </c>
      <c r="B24" t="s">
        <v>370</v>
      </c>
      <c r="C24" s="166">
        <v>36</v>
      </c>
      <c r="D24" s="99">
        <f t="shared" si="0"/>
        <v>0.15805555555555556</v>
      </c>
      <c r="E24" s="99">
        <v>5.69</v>
      </c>
      <c r="F24">
        <v>20</v>
      </c>
      <c r="G24" s="168">
        <f t="shared" si="1"/>
        <v>0.28450000000000003</v>
      </c>
      <c r="H24" s="49">
        <f t="shared" si="2"/>
        <v>1.8</v>
      </c>
    </row>
    <row r="26" spans="2:9" ht="12.75">
      <c r="B26" t="s">
        <v>371</v>
      </c>
      <c r="C26" s="166">
        <f>AVERAGE(C4:C25)</f>
        <v>111.17904761904761</v>
      </c>
      <c r="D26" s="99">
        <f>AVERAGE(D4:D25)</f>
        <v>0.09036792267434139</v>
      </c>
      <c r="E26" s="99">
        <f>AVERAGE(E4:E25)</f>
        <v>9.366190476190477</v>
      </c>
      <c r="F26" s="166">
        <f>AVERAGE(F4:F25)</f>
        <v>45.59605911330049</v>
      </c>
      <c r="G26" s="168">
        <f>E26/F26</f>
        <v>0.2054166666666667</v>
      </c>
      <c r="H26" s="168"/>
      <c r="I26" s="168"/>
    </row>
    <row r="27" ht="12.75">
      <c r="A27" t="s">
        <v>372</v>
      </c>
    </row>
    <row r="28" spans="1:7" ht="12.75">
      <c r="A28" t="s">
        <v>373</v>
      </c>
      <c r="C28" s="166">
        <f>+C26</f>
        <v>111.17904761904761</v>
      </c>
      <c r="D28" s="168">
        <f>D26/1.038</f>
        <v>0.08705965575562755</v>
      </c>
      <c r="E28" s="168">
        <f>E26/1.038</f>
        <v>9.023304890356913</v>
      </c>
      <c r="F28" s="166">
        <f>+F26</f>
        <v>45.59605911330049</v>
      </c>
      <c r="G28" s="168">
        <f>G26/1.038</f>
        <v>0.19789659601798332</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J33"/>
  <sheetViews>
    <sheetView workbookViewId="0" topLeftCell="A14">
      <selection activeCell="D5" sqref="D5"/>
    </sheetView>
  </sheetViews>
  <sheetFormatPr defaultColWidth="9.140625" defaultRowHeight="12.75"/>
  <cols>
    <col min="1" max="1" width="44.7109375" style="0" customWidth="1"/>
    <col min="2" max="2" width="19.140625" style="0" customWidth="1"/>
    <col min="3" max="3" width="37.57421875" style="0" customWidth="1"/>
    <col min="4" max="5" width="15.7109375" style="0" customWidth="1"/>
    <col min="6" max="6" width="15.8515625" style="0" customWidth="1"/>
    <col min="7" max="7" width="14.00390625" style="0" customWidth="1"/>
    <col min="8" max="8" width="10.28125" style="0" customWidth="1"/>
    <col min="9" max="9" width="10.140625" style="0" bestFit="1" customWidth="1"/>
    <col min="10" max="10" width="11.7109375" style="0" customWidth="1"/>
  </cols>
  <sheetData>
    <row r="1" ht="12.75">
      <c r="A1" s="106" t="s">
        <v>374</v>
      </c>
    </row>
    <row r="3" ht="12.75">
      <c r="A3" s="106" t="s">
        <v>375</v>
      </c>
    </row>
    <row r="4" spans="1:2" ht="12.75">
      <c r="A4" s="169" t="s">
        <v>376</v>
      </c>
      <c r="B4" s="169"/>
    </row>
    <row r="5" spans="1:6" ht="12.75">
      <c r="A5" s="169" t="s">
        <v>377</v>
      </c>
      <c r="B5" s="169"/>
      <c r="C5" s="169"/>
      <c r="D5" s="169"/>
      <c r="E5" s="169"/>
      <c r="F5" s="169"/>
    </row>
    <row r="6" spans="1:6" ht="12.75">
      <c r="A6" s="80" t="s">
        <v>378</v>
      </c>
      <c r="B6" s="80"/>
      <c r="C6" s="80"/>
      <c r="D6" s="80"/>
      <c r="E6" s="80"/>
      <c r="F6" s="80"/>
    </row>
    <row r="7" spans="1:6" ht="12.75">
      <c r="A7" s="169" t="s">
        <v>379</v>
      </c>
      <c r="B7" s="169"/>
      <c r="C7" s="169"/>
      <c r="D7" s="169"/>
      <c r="E7" s="169"/>
      <c r="F7" s="169"/>
    </row>
    <row r="8" spans="1:6" ht="12.75">
      <c r="A8" s="169" t="s">
        <v>380</v>
      </c>
      <c r="B8" s="169"/>
      <c r="C8" s="169"/>
      <c r="D8" s="169"/>
      <c r="E8" s="169"/>
      <c r="F8" s="169"/>
    </row>
    <row r="9" spans="1:6" ht="12.75">
      <c r="A9" s="169" t="s">
        <v>381</v>
      </c>
      <c r="B9" s="169"/>
      <c r="C9" s="169"/>
      <c r="D9" s="169"/>
      <c r="E9" s="169"/>
      <c r="F9" s="169"/>
    </row>
    <row r="10" spans="1:6" ht="12.75">
      <c r="A10" s="169" t="s">
        <v>382</v>
      </c>
      <c r="B10" s="169"/>
      <c r="C10" s="169"/>
      <c r="D10" s="169"/>
      <c r="E10" s="169"/>
      <c r="F10" s="169"/>
    </row>
    <row r="11" spans="1:6" ht="13.5" thickBot="1">
      <c r="A11" s="169" t="s">
        <v>383</v>
      </c>
      <c r="B11" s="169"/>
      <c r="C11" s="169"/>
      <c r="D11" s="169"/>
      <c r="E11" s="169"/>
      <c r="F11" s="169"/>
    </row>
    <row r="12" spans="1:3" ht="13.5" thickBot="1">
      <c r="A12" s="169" t="s">
        <v>384</v>
      </c>
      <c r="B12" s="169"/>
      <c r="C12" s="366">
        <f>2190000/(1421000*365)*1000</f>
        <v>4.22237860661506</v>
      </c>
    </row>
    <row r="13" spans="1:3" ht="12.75">
      <c r="A13" s="169" t="s">
        <v>385</v>
      </c>
      <c r="B13" s="169"/>
      <c r="C13" s="170">
        <v>1</v>
      </c>
    </row>
    <row r="14" spans="1:3" ht="12.75">
      <c r="A14" s="169" t="s">
        <v>386</v>
      </c>
      <c r="B14" s="169"/>
      <c r="C14" s="171">
        <f>365*2000000*C13</f>
        <v>730000000</v>
      </c>
    </row>
    <row r="15" spans="1:3" ht="12.75">
      <c r="A15" s="169" t="s">
        <v>387</v>
      </c>
      <c r="B15" s="169"/>
      <c r="C15" s="172">
        <f>14000000/2</f>
        <v>7000000</v>
      </c>
    </row>
    <row r="16" spans="1:3" ht="12.75">
      <c r="A16" s="169" t="s">
        <v>388</v>
      </c>
      <c r="B16" s="169"/>
      <c r="C16" s="93">
        <f>C14/1000*C12</f>
        <v>3082336.382828994</v>
      </c>
    </row>
    <row r="17" spans="1:3" ht="12.75">
      <c r="A17" t="s">
        <v>389</v>
      </c>
      <c r="C17" s="173">
        <v>4.84</v>
      </c>
    </row>
    <row r="18" spans="1:3" ht="13.5" thickBot="1">
      <c r="A18" t="s">
        <v>390</v>
      </c>
      <c r="C18" s="172">
        <f>C16*(C17/100)</f>
        <v>149185.0809289233</v>
      </c>
    </row>
    <row r="19" spans="1:3" ht="13.5" thickBot="1">
      <c r="A19" t="s">
        <v>391</v>
      </c>
      <c r="C19" s="367">
        <f>C17*C12/100</f>
        <v>0.20436312456016892</v>
      </c>
    </row>
    <row r="21" spans="1:10" ht="84.75" thickBot="1">
      <c r="A21" s="174" t="s">
        <v>287</v>
      </c>
      <c r="B21" s="175" t="s">
        <v>662</v>
      </c>
      <c r="C21" s="174" t="s">
        <v>392</v>
      </c>
      <c r="D21" s="174" t="s">
        <v>675</v>
      </c>
      <c r="E21" s="174" t="s">
        <v>676</v>
      </c>
      <c r="F21" s="174" t="s">
        <v>393</v>
      </c>
      <c r="G21" s="174" t="s">
        <v>394</v>
      </c>
      <c r="H21" s="174" t="s">
        <v>395</v>
      </c>
      <c r="I21" s="174" t="s">
        <v>396</v>
      </c>
      <c r="J21" s="174" t="s">
        <v>397</v>
      </c>
    </row>
    <row r="22" spans="1:10" ht="12.75">
      <c r="A22" s="296" t="s">
        <v>677</v>
      </c>
      <c r="B22" s="294">
        <f>'Engineering &amp; Economic Data'!F27</f>
        <v>1.04</v>
      </c>
      <c r="C22" s="123">
        <v>0</v>
      </c>
      <c r="D22" s="271">
        <f>'Engineering &amp; Economic Data'!M27</f>
        <v>12672</v>
      </c>
      <c r="E22" s="178">
        <f>D22/1000*$C$12</f>
        <v>53.505981703026045</v>
      </c>
      <c r="F22" s="176">
        <f>'Engineering &amp; Economic Data'!R27</f>
        <v>0</v>
      </c>
      <c r="G22" s="176">
        <f>F22/1000*C$12</f>
        <v>0</v>
      </c>
      <c r="H22" s="177">
        <f>F22/1000*C$19</f>
        <v>0</v>
      </c>
      <c r="I22" s="122" t="s">
        <v>398</v>
      </c>
      <c r="J22" s="122" t="s">
        <v>398</v>
      </c>
    </row>
    <row r="23" spans="1:10" ht="12.75">
      <c r="A23" s="297" t="s">
        <v>678</v>
      </c>
      <c r="B23" s="294">
        <f>'Engineering &amp; Economic Data'!F28</f>
        <v>1.27</v>
      </c>
      <c r="C23" s="124" t="str">
        <f>A23</f>
        <v>Baseline MEF - 2007 Fed. Standard (25% Improvement)</v>
      </c>
      <c r="D23" s="271">
        <f>'Engineering &amp; Economic Data'!M28</f>
        <v>11457.599999999999</v>
      </c>
      <c r="E23" s="178">
        <f>D23/1000*$C$12</f>
        <v>48.37832512315271</v>
      </c>
      <c r="F23" s="178">
        <f aca="true" t="shared" si="0" ref="F23:G25">D22-D23</f>
        <v>1214.4000000000015</v>
      </c>
      <c r="G23" s="178">
        <f t="shared" si="0"/>
        <v>5.127656579873332</v>
      </c>
      <c r="H23" s="179">
        <f>F23/1000*C$19</f>
        <v>0.24817857846586944</v>
      </c>
      <c r="I23" s="178">
        <f>1000000/F23*365</f>
        <v>300559.9472990774</v>
      </c>
      <c r="J23" s="180">
        <f>C$15/I23</f>
        <v>23.289863013698657</v>
      </c>
    </row>
    <row r="24" spans="1:10" ht="12.75">
      <c r="A24" s="298" t="s">
        <v>665</v>
      </c>
      <c r="B24" s="294">
        <f>'Engineering &amp; Economic Data'!F29</f>
        <v>1.86</v>
      </c>
      <c r="C24" s="124" t="str">
        <f>A24</f>
        <v>45% Improvement</v>
      </c>
      <c r="D24" s="271">
        <f>'Engineering &amp; Economic Data'!M29</f>
        <v>9577.92</v>
      </c>
      <c r="E24" s="178">
        <f>D24/1000*$C$12</f>
        <v>40.44160450387052</v>
      </c>
      <c r="F24" s="178">
        <f t="shared" si="0"/>
        <v>1879.6799999999985</v>
      </c>
      <c r="G24" s="178">
        <f t="shared" si="0"/>
        <v>7.936720619282191</v>
      </c>
      <c r="H24" s="179">
        <f>F24/1000*C$19</f>
        <v>0.384137277973258</v>
      </c>
      <c r="I24" s="178">
        <f>1000000/F24*365</f>
        <v>194181.9884235616</v>
      </c>
      <c r="J24" s="180">
        <f>C$15/I24</f>
        <v>36.04865753424655</v>
      </c>
    </row>
    <row r="25" spans="1:10" ht="12.75">
      <c r="A25" s="353" t="s">
        <v>664</v>
      </c>
      <c r="B25" s="294">
        <f>'Engineering &amp; Economic Data'!F30</f>
        <v>2.2</v>
      </c>
      <c r="C25" s="124" t="str">
        <f>A25</f>
        <v>50% Improvement</v>
      </c>
      <c r="D25" s="271">
        <f>'Engineering &amp; Economic Data'!M30</f>
        <v>9398.400000000001</v>
      </c>
      <c r="E25" s="178">
        <f>D25/1000*$C$12</f>
        <v>39.68360309641099</v>
      </c>
      <c r="F25" s="178">
        <f t="shared" si="0"/>
        <v>179.51999999999862</v>
      </c>
      <c r="G25" s="178">
        <f t="shared" si="0"/>
        <v>0.7580014074595312</v>
      </c>
      <c r="H25" s="179">
        <f>F25/1000*C$19</f>
        <v>0.03668726812104124</v>
      </c>
      <c r="I25" s="178">
        <f>1000000/F25*365</f>
        <v>2033199.643493777</v>
      </c>
      <c r="J25" s="180">
        <f>C$15/I25</f>
        <v>3.4428493150684663</v>
      </c>
    </row>
    <row r="26" spans="1:10" ht="12.75">
      <c r="A26" s="365" t="s">
        <v>672</v>
      </c>
      <c r="B26" s="294">
        <f>'Engineering &amp; Economic Data'!F31</f>
        <v>2.2</v>
      </c>
      <c r="C26" s="124" t="str">
        <f>A26</f>
        <v>50% Improvement - Single Step</v>
      </c>
      <c r="D26" s="271">
        <f>'Engineering &amp; Economic Data'!M31</f>
        <v>9398.400000000001</v>
      </c>
      <c r="E26" s="178">
        <f>D26/1000*$C$12</f>
        <v>39.68360309641099</v>
      </c>
      <c r="F26" s="178">
        <f>D23-D26</f>
        <v>2059.199999999997</v>
      </c>
      <c r="G26" s="178">
        <f>E23-E26</f>
        <v>8.694722026741722</v>
      </c>
      <c r="H26" s="179">
        <f>F26/1000*C$19</f>
        <v>0.42082454609429926</v>
      </c>
      <c r="I26" s="178">
        <f>1000000/F26*365</f>
        <v>177253.3022533025</v>
      </c>
      <c r="J26" s="180">
        <f>C$15/I26</f>
        <v>39.49150684931501</v>
      </c>
    </row>
    <row r="27" spans="4:5" ht="12.75">
      <c r="D27" s="168"/>
      <c r="E27" s="168"/>
    </row>
    <row r="28" spans="3:5" ht="12.75">
      <c r="C28" s="181">
        <v>70</v>
      </c>
      <c r="D28" s="168" t="s">
        <v>399</v>
      </c>
      <c r="E28" s="168"/>
    </row>
    <row r="29" spans="3:4" ht="12.75">
      <c r="C29" s="49">
        <f>7000/365</f>
        <v>19.17808219178082</v>
      </c>
      <c r="D29" t="s">
        <v>400</v>
      </c>
    </row>
    <row r="30" spans="3:4" ht="12.75">
      <c r="C30" s="182">
        <f>C29/1000000</f>
        <v>1.9178082191780822E-05</v>
      </c>
      <c r="D30" t="s">
        <v>401</v>
      </c>
    </row>
    <row r="31" ht="12.75">
      <c r="C31" s="95">
        <f>C30*7000000</f>
        <v>134.24657534246575</v>
      </c>
    </row>
    <row r="32" spans="3:4" ht="12.75">
      <c r="C32" s="93">
        <v>7000000</v>
      </c>
      <c r="D32" t="s">
        <v>402</v>
      </c>
    </row>
    <row r="33" spans="3:4" ht="12.75">
      <c r="C33" s="95">
        <f>C31*C32</f>
        <v>939726027.3972602</v>
      </c>
      <c r="D33" t="s">
        <v>403</v>
      </c>
    </row>
  </sheetData>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3"/>
  <dimension ref="A2:C17"/>
  <sheetViews>
    <sheetView workbookViewId="0" topLeftCell="A1">
      <selection activeCell="B22" sqref="B22"/>
    </sheetView>
  </sheetViews>
  <sheetFormatPr defaultColWidth="9.140625" defaultRowHeight="12.75"/>
  <cols>
    <col min="1" max="1" width="63.7109375" style="0" customWidth="1"/>
    <col min="2" max="2" width="31.28125" style="0" customWidth="1"/>
    <col min="3" max="3" width="39.140625" style="0" customWidth="1"/>
  </cols>
  <sheetData>
    <row r="1" ht="13.5" thickBot="1"/>
    <row r="2" spans="1:3" ht="13.5" thickBot="1">
      <c r="A2" s="77" t="s">
        <v>202</v>
      </c>
      <c r="B2" s="78" t="s">
        <v>203</v>
      </c>
      <c r="C2" s="78" t="s">
        <v>204</v>
      </c>
    </row>
    <row r="3" spans="1:3" ht="22.5">
      <c r="A3" s="81" t="s">
        <v>47</v>
      </c>
      <c r="B3" s="81" t="s">
        <v>222</v>
      </c>
      <c r="C3" s="81" t="s">
        <v>439</v>
      </c>
    </row>
    <row r="4" spans="1:3" ht="22.5">
      <c r="A4" s="81" t="s">
        <v>44</v>
      </c>
      <c r="B4" s="81" t="s">
        <v>222</v>
      </c>
      <c r="C4" s="81" t="s">
        <v>441</v>
      </c>
    </row>
    <row r="5" spans="1:3" ht="22.5">
      <c r="A5" s="81" t="s">
        <v>62</v>
      </c>
      <c r="B5" s="81" t="s">
        <v>222</v>
      </c>
      <c r="C5" s="81" t="s">
        <v>442</v>
      </c>
    </row>
    <row r="6" spans="1:3" ht="22.5">
      <c r="A6" s="81" t="s">
        <v>71</v>
      </c>
      <c r="B6" s="81" t="s">
        <v>222</v>
      </c>
      <c r="C6" s="81" t="s">
        <v>440</v>
      </c>
    </row>
    <row r="7" spans="1:3" ht="12.75">
      <c r="A7" s="81" t="s">
        <v>39</v>
      </c>
      <c r="B7" s="81" t="s">
        <v>222</v>
      </c>
      <c r="C7" s="351" t="s">
        <v>45</v>
      </c>
    </row>
    <row r="8" spans="1:3" ht="12.75">
      <c r="A8" s="81" t="s">
        <v>51</v>
      </c>
      <c r="B8" s="81" t="s">
        <v>222</v>
      </c>
      <c r="C8" s="81" t="s">
        <v>439</v>
      </c>
    </row>
    <row r="9" spans="1:3" ht="12.75">
      <c r="A9" s="81" t="s">
        <v>29</v>
      </c>
      <c r="B9" s="81" t="s">
        <v>222</v>
      </c>
      <c r="C9" s="81" t="s">
        <v>441</v>
      </c>
    </row>
    <row r="10" spans="1:3" ht="12.75">
      <c r="A10" s="81" t="s">
        <v>66</v>
      </c>
      <c r="B10" s="81" t="s">
        <v>222</v>
      </c>
      <c r="C10" s="81" t="s">
        <v>442</v>
      </c>
    </row>
    <row r="11" spans="1:3" ht="12.75">
      <c r="A11" s="81" t="s">
        <v>75</v>
      </c>
      <c r="B11" s="81" t="s">
        <v>222</v>
      </c>
      <c r="C11" s="81" t="s">
        <v>440</v>
      </c>
    </row>
    <row r="12" spans="1:3" ht="12.75">
      <c r="A12" s="81" t="s">
        <v>40</v>
      </c>
      <c r="B12" s="81" t="s">
        <v>222</v>
      </c>
      <c r="C12" s="351" t="s">
        <v>45</v>
      </c>
    </row>
    <row r="13" spans="1:3" ht="12.75">
      <c r="A13" s="81" t="s">
        <v>52</v>
      </c>
      <c r="B13" s="81" t="s">
        <v>222</v>
      </c>
      <c r="C13" s="81" t="s">
        <v>439</v>
      </c>
    </row>
    <row r="14" spans="1:3" ht="12.75">
      <c r="A14" s="81" t="s">
        <v>30</v>
      </c>
      <c r="B14" s="81" t="s">
        <v>222</v>
      </c>
      <c r="C14" s="81" t="s">
        <v>441</v>
      </c>
    </row>
    <row r="15" spans="1:3" ht="12.75">
      <c r="A15" s="81" t="s">
        <v>67</v>
      </c>
      <c r="B15" s="81" t="s">
        <v>222</v>
      </c>
      <c r="C15" s="81" t="s">
        <v>442</v>
      </c>
    </row>
    <row r="16" spans="1:3" ht="12.75">
      <c r="A16" s="81" t="s">
        <v>76</v>
      </c>
      <c r="B16" s="81" t="s">
        <v>222</v>
      </c>
      <c r="C16" s="81" t="s">
        <v>440</v>
      </c>
    </row>
    <row r="17" spans="1:3" ht="12.75">
      <c r="A17" s="81" t="s">
        <v>41</v>
      </c>
      <c r="B17" s="81" t="s">
        <v>222</v>
      </c>
      <c r="C17" s="351" t="s">
        <v>45</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AC999"/>
  <sheetViews>
    <sheetView workbookViewId="0" topLeftCell="S1">
      <selection activeCell="Y18" sqref="Y18"/>
    </sheetView>
  </sheetViews>
  <sheetFormatPr defaultColWidth="9.140625" defaultRowHeight="12.75"/>
  <cols>
    <col min="1" max="1" width="28.8515625" style="185" customWidth="1"/>
    <col min="2" max="2" width="28.421875" style="185" bestFit="1" customWidth="1"/>
    <col min="3" max="3" width="25.7109375" style="185" bestFit="1" customWidth="1"/>
    <col min="4" max="4" width="8.7109375" style="185" bestFit="1" customWidth="1"/>
    <col min="5" max="5" width="10.57421875" style="186" customWidth="1"/>
    <col min="6" max="6" width="11.421875" style="185" customWidth="1"/>
    <col min="7" max="7" width="7.8515625" style="187" customWidth="1"/>
    <col min="8" max="8" width="8.7109375" style="185" customWidth="1"/>
    <col min="9" max="9" width="11.28125" style="185" customWidth="1"/>
    <col min="10" max="10" width="8.57421875" style="188" customWidth="1"/>
    <col min="11" max="11" width="7.28125" style="185" customWidth="1"/>
    <col min="12" max="12" width="12.7109375" style="185" bestFit="1" customWidth="1"/>
    <col min="13" max="13" width="22.00390625" style="186" customWidth="1"/>
    <col min="14" max="14" width="10.00390625" style="185" bestFit="1" customWidth="1"/>
    <col min="15" max="16" width="9.140625" style="185" customWidth="1"/>
    <col min="17" max="17" width="26.7109375" style="185" customWidth="1"/>
    <col min="18" max="18" width="24.140625" style="185" customWidth="1"/>
    <col min="19" max="19" width="20.140625" style="185" customWidth="1"/>
    <col min="20" max="20" width="9.140625" style="185" customWidth="1"/>
    <col min="21" max="21" width="10.8515625" style="185" customWidth="1"/>
    <col min="22" max="22" width="10.7109375" style="185" customWidth="1"/>
    <col min="23" max="23" width="9.140625" style="185" customWidth="1"/>
    <col min="24" max="24" width="10.8515625" style="185" customWidth="1"/>
    <col min="25" max="26" width="9.140625" style="185" customWidth="1"/>
    <col min="27" max="27" width="12.57421875" style="185" customWidth="1"/>
    <col min="28" max="28" width="10.00390625" style="185" bestFit="1" customWidth="1"/>
    <col min="29" max="29" width="9.8515625" style="185" bestFit="1" customWidth="1"/>
    <col min="30" max="16384" width="9.140625" style="185" customWidth="1"/>
  </cols>
  <sheetData>
    <row r="1" spans="1:22" ht="12.75">
      <c r="A1" s="228" t="s">
        <v>445</v>
      </c>
      <c r="B1" s="229"/>
      <c r="C1" s="229"/>
      <c r="D1" s="229"/>
      <c r="E1" s="230">
        <f>393*D3/G3</f>
        <v>699.780612244898</v>
      </c>
      <c r="F1" s="229"/>
      <c r="G1" s="231"/>
      <c r="H1" s="229"/>
      <c r="I1" s="229"/>
      <c r="J1" s="232"/>
      <c r="K1" s="229"/>
      <c r="L1" s="229"/>
      <c r="M1" s="230"/>
      <c r="T1" s="244" t="s">
        <v>2</v>
      </c>
      <c r="V1" s="185">
        <v>390</v>
      </c>
    </row>
    <row r="2" spans="1:29" s="184" customFormat="1" ht="37.5" customHeight="1">
      <c r="A2" s="225" t="s">
        <v>404</v>
      </c>
      <c r="B2" s="225" t="s">
        <v>446</v>
      </c>
      <c r="C2" s="225" t="s">
        <v>405</v>
      </c>
      <c r="D2" s="225" t="s">
        <v>406</v>
      </c>
      <c r="E2" s="226" t="s">
        <v>447</v>
      </c>
      <c r="F2" s="225" t="s">
        <v>448</v>
      </c>
      <c r="G2" s="227" t="s">
        <v>449</v>
      </c>
      <c r="H2" s="225" t="s">
        <v>450</v>
      </c>
      <c r="I2" s="225" t="s">
        <v>451</v>
      </c>
      <c r="J2" s="220" t="s">
        <v>452</v>
      </c>
      <c r="K2" s="225" t="s">
        <v>453</v>
      </c>
      <c r="L2" s="225" t="s">
        <v>454</v>
      </c>
      <c r="M2" s="226" t="s">
        <v>455</v>
      </c>
      <c r="N2" s="219" t="s">
        <v>0</v>
      </c>
      <c r="Q2" s="225" t="s">
        <v>404</v>
      </c>
      <c r="R2" s="225" t="s">
        <v>446</v>
      </c>
      <c r="S2" s="225" t="s">
        <v>405</v>
      </c>
      <c r="T2" s="225" t="s">
        <v>406</v>
      </c>
      <c r="U2" s="226" t="s">
        <v>447</v>
      </c>
      <c r="V2" s="225" t="s">
        <v>448</v>
      </c>
      <c r="W2" s="227" t="s">
        <v>449</v>
      </c>
      <c r="X2" s="225" t="s">
        <v>451</v>
      </c>
      <c r="Y2" s="220" t="s">
        <v>452</v>
      </c>
      <c r="Z2" s="225" t="s">
        <v>453</v>
      </c>
      <c r="AA2" s="225" t="s">
        <v>454</v>
      </c>
      <c r="AB2" s="226" t="s">
        <v>455</v>
      </c>
      <c r="AC2" s="219" t="s">
        <v>0</v>
      </c>
    </row>
    <row r="3" spans="1:29" ht="12.75">
      <c r="A3" s="234" t="s">
        <v>417</v>
      </c>
      <c r="B3" s="234" t="s">
        <v>503</v>
      </c>
      <c r="C3" s="234" t="s">
        <v>504</v>
      </c>
      <c r="D3" s="235">
        <v>3.15</v>
      </c>
      <c r="E3" s="236">
        <v>698</v>
      </c>
      <c r="F3" s="235">
        <v>1.27</v>
      </c>
      <c r="G3" s="235">
        <v>1.769054441260745</v>
      </c>
      <c r="H3" s="234" t="b">
        <v>1</v>
      </c>
      <c r="I3" s="234">
        <v>1.18</v>
      </c>
      <c r="J3" s="237">
        <v>0.49919867903452975</v>
      </c>
      <c r="K3" s="235"/>
      <c r="L3" s="238">
        <v>37179</v>
      </c>
      <c r="M3" s="236"/>
      <c r="N3" s="239">
        <v>500</v>
      </c>
      <c r="Q3" s="240" t="s">
        <v>421</v>
      </c>
      <c r="R3" s="240" t="s">
        <v>421</v>
      </c>
      <c r="S3" s="240" t="s">
        <v>1</v>
      </c>
      <c r="T3" s="242">
        <v>3.2</v>
      </c>
      <c r="U3" s="241">
        <f>V$1*T3/W3</f>
        <v>891.4285714285714</v>
      </c>
      <c r="V3" s="240">
        <v>1.04</v>
      </c>
      <c r="W3" s="242">
        <v>1.4</v>
      </c>
      <c r="X3" s="234">
        <v>1.18</v>
      </c>
      <c r="Y3" s="237">
        <f>W3/X3-1</f>
        <v>0.18644067796610164</v>
      </c>
      <c r="Z3" s="240">
        <v>12</v>
      </c>
      <c r="AA3" s="240"/>
      <c r="AB3" s="245">
        <f>T3*Z3*V$1</f>
        <v>14976.000000000002</v>
      </c>
      <c r="AC3" s="243">
        <v>500</v>
      </c>
    </row>
    <row r="4" spans="1:29" ht="12.75">
      <c r="A4" s="121" t="s">
        <v>470</v>
      </c>
      <c r="B4" s="121" t="s">
        <v>471</v>
      </c>
      <c r="C4" s="121" t="s">
        <v>472</v>
      </c>
      <c r="D4" s="222">
        <v>1.7</v>
      </c>
      <c r="E4" s="218">
        <v>267</v>
      </c>
      <c r="F4" s="222">
        <v>1.27</v>
      </c>
      <c r="G4" s="222">
        <v>2.495880149812734</v>
      </c>
      <c r="H4" s="121" t="b">
        <v>1</v>
      </c>
      <c r="I4" s="121">
        <v>1.18</v>
      </c>
      <c r="J4" s="223">
        <v>1.1151526693328253</v>
      </c>
      <c r="K4" s="222">
        <v>7.58</v>
      </c>
      <c r="L4" s="224">
        <v>37466</v>
      </c>
      <c r="M4" s="218">
        <v>5051.312</v>
      </c>
      <c r="N4" s="233"/>
      <c r="Q4" s="234" t="s">
        <v>417</v>
      </c>
      <c r="R4" s="234" t="s">
        <v>503</v>
      </c>
      <c r="S4" s="234" t="s">
        <v>504</v>
      </c>
      <c r="T4" s="235">
        <v>3.15</v>
      </c>
      <c r="U4" s="236">
        <f>V$1*T4/W4</f>
        <v>694.4387755102041</v>
      </c>
      <c r="V4" s="235">
        <v>1.27</v>
      </c>
      <c r="W4" s="235">
        <v>1.769054441260745</v>
      </c>
      <c r="X4" s="234">
        <v>1.18</v>
      </c>
      <c r="Y4" s="237">
        <f>W4/X4-1</f>
        <v>0.49919867903452975</v>
      </c>
      <c r="Z4" s="235">
        <v>10.85</v>
      </c>
      <c r="AA4" s="238">
        <v>37179</v>
      </c>
      <c r="AB4" s="246">
        <f>T4*Z4*V$1</f>
        <v>13329.224999999999</v>
      </c>
      <c r="AC4" s="239">
        <v>530</v>
      </c>
    </row>
    <row r="5" spans="1:29" ht="12.75">
      <c r="A5" s="121" t="s">
        <v>542</v>
      </c>
      <c r="B5" s="121" t="s">
        <v>471</v>
      </c>
      <c r="C5" s="121" t="s">
        <v>543</v>
      </c>
      <c r="D5" s="222">
        <v>1.7</v>
      </c>
      <c r="E5" s="218">
        <v>267</v>
      </c>
      <c r="F5" s="222">
        <v>1.27</v>
      </c>
      <c r="G5" s="222">
        <v>2.495880149812734</v>
      </c>
      <c r="H5" s="121" t="b">
        <v>1</v>
      </c>
      <c r="I5" s="121">
        <v>1.18</v>
      </c>
      <c r="J5" s="223">
        <v>1.1151526693328253</v>
      </c>
      <c r="K5" s="222">
        <v>7.58</v>
      </c>
      <c r="L5" s="224">
        <v>37466</v>
      </c>
      <c r="M5" s="218">
        <v>5051.312</v>
      </c>
      <c r="N5" s="233"/>
      <c r="Q5" s="234" t="s">
        <v>419</v>
      </c>
      <c r="R5" s="234" t="s">
        <v>480</v>
      </c>
      <c r="S5" s="234" t="s">
        <v>518</v>
      </c>
      <c r="T5" s="235">
        <v>2.65</v>
      </c>
      <c r="U5" s="236">
        <f>V$1*T5/W5</f>
        <v>232.77027027027026</v>
      </c>
      <c r="V5" s="235">
        <v>1.86</v>
      </c>
      <c r="W5" s="235">
        <v>4.44</v>
      </c>
      <c r="X5" s="234">
        <v>1.18</v>
      </c>
      <c r="Y5" s="237">
        <f>W5/X5-1</f>
        <v>2.7627118644067803</v>
      </c>
      <c r="Z5" s="235">
        <v>9.07</v>
      </c>
      <c r="AA5" s="238">
        <v>36958</v>
      </c>
      <c r="AB5" s="246">
        <f>T5*Z5*V$1</f>
        <v>9373.845</v>
      </c>
      <c r="AC5" s="239">
        <v>650</v>
      </c>
    </row>
    <row r="6" spans="1:29" ht="12.75">
      <c r="A6" s="121" t="s">
        <v>544</v>
      </c>
      <c r="B6" s="121" t="s">
        <v>471</v>
      </c>
      <c r="C6" s="121" t="s">
        <v>545</v>
      </c>
      <c r="D6" s="222">
        <v>1.7</v>
      </c>
      <c r="E6" s="218">
        <v>266.5</v>
      </c>
      <c r="F6" s="222">
        <v>1.27</v>
      </c>
      <c r="G6" s="222">
        <v>2.5005628517823637</v>
      </c>
      <c r="H6" s="121" t="b">
        <v>1</v>
      </c>
      <c r="I6" s="121">
        <v>1.18</v>
      </c>
      <c r="J6" s="223">
        <v>1.1191210608325117</v>
      </c>
      <c r="K6" s="222">
        <v>7.58</v>
      </c>
      <c r="L6" s="224">
        <v>37417</v>
      </c>
      <c r="M6" s="218">
        <v>5051.312</v>
      </c>
      <c r="N6" s="233"/>
      <c r="Q6" s="234" t="s">
        <v>414</v>
      </c>
      <c r="R6" s="234" t="s">
        <v>479</v>
      </c>
      <c r="S6" s="234" t="s">
        <v>415</v>
      </c>
      <c r="T6" s="235">
        <v>3</v>
      </c>
      <c r="U6" s="236">
        <f>V$1*T6/W6</f>
        <v>296.4795918367347</v>
      </c>
      <c r="V6" s="235">
        <v>2.2</v>
      </c>
      <c r="W6" s="235">
        <v>3.946308724832215</v>
      </c>
      <c r="X6" s="234">
        <v>1.18</v>
      </c>
      <c r="Y6" s="237">
        <f>W6/X6-1</f>
        <v>2.344329427823911</v>
      </c>
      <c r="Z6" s="235">
        <v>8.9</v>
      </c>
      <c r="AA6" s="238">
        <v>36504</v>
      </c>
      <c r="AB6" s="246">
        <f>T6*Z6*V$1</f>
        <v>10413.000000000002</v>
      </c>
      <c r="AC6" s="239">
        <v>700</v>
      </c>
    </row>
    <row r="7" spans="1:14" ht="12.75">
      <c r="A7" s="121" t="s">
        <v>434</v>
      </c>
      <c r="B7" s="121" t="s">
        <v>434</v>
      </c>
      <c r="C7" s="121" t="s">
        <v>550</v>
      </c>
      <c r="D7" s="222">
        <v>3.02</v>
      </c>
      <c r="E7" s="218">
        <v>466</v>
      </c>
      <c r="F7" s="222">
        <v>1.28</v>
      </c>
      <c r="G7" s="222">
        <v>2.540429184549356</v>
      </c>
      <c r="H7" s="121" t="b">
        <v>1</v>
      </c>
      <c r="I7" s="121">
        <v>1.18</v>
      </c>
      <c r="J7" s="223">
        <v>1.1529060886011493</v>
      </c>
      <c r="K7" s="222">
        <v>8.38</v>
      </c>
      <c r="L7" s="224">
        <v>36649</v>
      </c>
      <c r="M7" s="218">
        <v>9920.5792</v>
      </c>
      <c r="N7" s="233"/>
    </row>
    <row r="8" spans="1:14" ht="12.75">
      <c r="A8" s="234" t="s">
        <v>456</v>
      </c>
      <c r="B8" s="234" t="s">
        <v>456</v>
      </c>
      <c r="C8" s="234" t="s">
        <v>457</v>
      </c>
      <c r="D8" s="235">
        <v>3.28</v>
      </c>
      <c r="E8" s="236">
        <v>544</v>
      </c>
      <c r="F8" s="235">
        <v>1.29</v>
      </c>
      <c r="G8" s="235">
        <v>2.3635294117647057</v>
      </c>
      <c r="H8" s="234" t="b">
        <v>1</v>
      </c>
      <c r="I8" s="234">
        <v>1.18</v>
      </c>
      <c r="J8" s="237">
        <v>1.0029910269192421</v>
      </c>
      <c r="K8" s="234"/>
      <c r="L8" s="238">
        <v>37161</v>
      </c>
      <c r="M8" s="236"/>
      <c r="N8" s="239">
        <v>570</v>
      </c>
    </row>
    <row r="9" spans="1:14" ht="12.75">
      <c r="A9" s="234" t="s">
        <v>421</v>
      </c>
      <c r="B9" s="234" t="s">
        <v>421</v>
      </c>
      <c r="C9" s="234" t="s">
        <v>532</v>
      </c>
      <c r="D9" s="235">
        <v>3.1</v>
      </c>
      <c r="E9" s="236">
        <v>524</v>
      </c>
      <c r="F9" s="235">
        <v>1.29</v>
      </c>
      <c r="G9" s="235">
        <v>2.319083969465649</v>
      </c>
      <c r="H9" s="234" t="b">
        <v>1</v>
      </c>
      <c r="I9" s="234">
        <v>1.18</v>
      </c>
      <c r="J9" s="237">
        <v>0.9653253978522451</v>
      </c>
      <c r="K9" s="235">
        <v>9.84</v>
      </c>
      <c r="L9" s="238">
        <v>37204</v>
      </c>
      <c r="M9" s="236">
        <v>11957.568000000001</v>
      </c>
      <c r="N9" s="239">
        <v>610</v>
      </c>
    </row>
    <row r="10" spans="1:29" ht="12.75">
      <c r="A10" s="121" t="s">
        <v>420</v>
      </c>
      <c r="B10" s="121" t="s">
        <v>434</v>
      </c>
      <c r="C10" s="121" t="s">
        <v>526</v>
      </c>
      <c r="D10" s="222">
        <v>3.16</v>
      </c>
      <c r="E10" s="218">
        <v>596</v>
      </c>
      <c r="F10" s="222">
        <v>1.297</v>
      </c>
      <c r="G10" s="222">
        <v>2.0783892617449666</v>
      </c>
      <c r="H10" s="121" t="b">
        <v>1</v>
      </c>
      <c r="I10" s="121">
        <v>1.18</v>
      </c>
      <c r="J10" s="223">
        <v>0.76134683198726</v>
      </c>
      <c r="K10" s="222">
        <v>10.847</v>
      </c>
      <c r="L10" s="224">
        <v>37494</v>
      </c>
      <c r="M10" s="218">
        <v>13436.39584</v>
      </c>
      <c r="N10" s="233"/>
      <c r="Q10" s="234" t="s">
        <v>456</v>
      </c>
      <c r="R10" s="234" t="s">
        <v>456</v>
      </c>
      <c r="S10" s="234" t="s">
        <v>457</v>
      </c>
      <c r="T10" s="235">
        <v>3.28</v>
      </c>
      <c r="U10" s="236">
        <f>V$1*T10/W10</f>
        <v>541.2244897959183</v>
      </c>
      <c r="V10" s="235">
        <v>1.29</v>
      </c>
      <c r="W10" s="235">
        <v>2.3635294117647057</v>
      </c>
      <c r="X10" s="234">
        <v>1.18</v>
      </c>
      <c r="Y10" s="237">
        <f>W10/X10-1</f>
        <v>1.0029910269192421</v>
      </c>
      <c r="Z10" s="234">
        <v>9.87</v>
      </c>
      <c r="AA10" s="238">
        <v>37161</v>
      </c>
      <c r="AB10" s="246">
        <f>T10*Z10*V$1</f>
        <v>12625.703999999998</v>
      </c>
      <c r="AC10" s="239">
        <v>570</v>
      </c>
    </row>
    <row r="11" spans="1:29" ht="12.75">
      <c r="A11" s="234" t="s">
        <v>421</v>
      </c>
      <c r="B11" s="234" t="s">
        <v>421</v>
      </c>
      <c r="C11" s="234" t="s">
        <v>533</v>
      </c>
      <c r="D11" s="235">
        <v>3.2</v>
      </c>
      <c r="E11" s="236">
        <v>418</v>
      </c>
      <c r="F11" s="235">
        <v>1.3</v>
      </c>
      <c r="G11" s="235">
        <v>3.0009569377990433</v>
      </c>
      <c r="H11" s="234" t="b">
        <v>1</v>
      </c>
      <c r="I11" s="234">
        <v>1.18</v>
      </c>
      <c r="J11" s="237">
        <v>1.5431838455924098</v>
      </c>
      <c r="K11" s="235">
        <v>10.38</v>
      </c>
      <c r="L11" s="238">
        <v>36811</v>
      </c>
      <c r="M11" s="236">
        <v>13020.672</v>
      </c>
      <c r="N11" s="239">
        <v>680</v>
      </c>
      <c r="Q11" s="234" t="s">
        <v>421</v>
      </c>
      <c r="R11" s="234" t="s">
        <v>421</v>
      </c>
      <c r="S11" s="234" t="s">
        <v>532</v>
      </c>
      <c r="T11" s="235">
        <v>3.1</v>
      </c>
      <c r="U11" s="236">
        <f>V$1*T11/W11</f>
        <v>521.3265306122448</v>
      </c>
      <c r="V11" s="235">
        <v>1.29</v>
      </c>
      <c r="W11" s="235">
        <v>2.319083969465649</v>
      </c>
      <c r="X11" s="234">
        <v>1.18</v>
      </c>
      <c r="Y11" s="237">
        <f>W11/X11-1</f>
        <v>0.9653253978522451</v>
      </c>
      <c r="Z11" s="235">
        <v>9.84</v>
      </c>
      <c r="AA11" s="238">
        <v>37204</v>
      </c>
      <c r="AB11" s="246">
        <f>T11*Z11*V$1</f>
        <v>11896.560000000001</v>
      </c>
      <c r="AC11" s="239">
        <v>610</v>
      </c>
    </row>
    <row r="12" spans="1:14" ht="12.75">
      <c r="A12" s="121" t="s">
        <v>417</v>
      </c>
      <c r="B12" s="121" t="s">
        <v>503</v>
      </c>
      <c r="C12" s="121" t="s">
        <v>505</v>
      </c>
      <c r="D12" s="222">
        <v>3.15</v>
      </c>
      <c r="E12" s="218">
        <v>735</v>
      </c>
      <c r="F12" s="222">
        <v>1.3</v>
      </c>
      <c r="G12" s="222">
        <v>1.68</v>
      </c>
      <c r="H12" s="121" t="b">
        <v>1</v>
      </c>
      <c r="I12" s="121">
        <v>1.18</v>
      </c>
      <c r="J12" s="223">
        <v>0.423728813559322</v>
      </c>
      <c r="K12" s="222">
        <v>12.1</v>
      </c>
      <c r="L12" s="224">
        <v>37167</v>
      </c>
      <c r="M12" s="218">
        <v>14941.08</v>
      </c>
      <c r="N12" s="233"/>
    </row>
    <row r="13" spans="1:14" ht="12.75">
      <c r="A13" s="121" t="s">
        <v>434</v>
      </c>
      <c r="B13" s="121" t="s">
        <v>434</v>
      </c>
      <c r="C13" s="121" t="s">
        <v>551</v>
      </c>
      <c r="D13" s="222">
        <v>3.16</v>
      </c>
      <c r="E13" s="218">
        <v>619</v>
      </c>
      <c r="F13" s="222">
        <v>1.3</v>
      </c>
      <c r="G13" s="222">
        <v>2.0011631663974154</v>
      </c>
      <c r="H13" s="121" t="b">
        <v>1</v>
      </c>
      <c r="I13" s="121">
        <v>1.18</v>
      </c>
      <c r="J13" s="223">
        <v>0.6959009884723861</v>
      </c>
      <c r="K13" s="222">
        <v>8.21</v>
      </c>
      <c r="L13" s="224">
        <v>37454</v>
      </c>
      <c r="M13" s="218">
        <v>10169.891200000002</v>
      </c>
      <c r="N13" s="233"/>
    </row>
    <row r="14" spans="1:19" ht="12.75">
      <c r="A14" s="121" t="s">
        <v>434</v>
      </c>
      <c r="B14" s="121" t="s">
        <v>434</v>
      </c>
      <c r="C14" s="121" t="s">
        <v>552</v>
      </c>
      <c r="D14" s="222">
        <v>3.16</v>
      </c>
      <c r="E14" s="218">
        <v>596</v>
      </c>
      <c r="F14" s="222">
        <v>1.3</v>
      </c>
      <c r="G14" s="222">
        <v>2.0783892617449666</v>
      </c>
      <c r="H14" s="121" t="b">
        <v>1</v>
      </c>
      <c r="I14" s="121">
        <v>1.18</v>
      </c>
      <c r="J14" s="223">
        <v>0.76134683198726</v>
      </c>
      <c r="K14" s="222">
        <v>10.85</v>
      </c>
      <c r="L14" s="224">
        <v>37455</v>
      </c>
      <c r="M14" s="218">
        <v>13440.112000000001</v>
      </c>
      <c r="N14" s="233"/>
      <c r="S14" s="244" t="s">
        <v>679</v>
      </c>
    </row>
    <row r="15" spans="1:14" ht="12.75">
      <c r="A15" s="121" t="s">
        <v>412</v>
      </c>
      <c r="B15" s="121" t="s">
        <v>412</v>
      </c>
      <c r="C15" s="121" t="s">
        <v>467</v>
      </c>
      <c r="D15" s="222">
        <v>1.62</v>
      </c>
      <c r="E15" s="218">
        <v>188</v>
      </c>
      <c r="F15" s="222">
        <v>1.399</v>
      </c>
      <c r="G15" s="222">
        <v>3.377872340425532</v>
      </c>
      <c r="H15" s="121" t="b">
        <v>1</v>
      </c>
      <c r="I15" s="121">
        <v>1.18</v>
      </c>
      <c r="J15" s="223">
        <v>1.8626036783267224</v>
      </c>
      <c r="K15" s="222">
        <v>8.1</v>
      </c>
      <c r="L15" s="224">
        <v>36021</v>
      </c>
      <c r="M15" s="218">
        <v>5143.824</v>
      </c>
      <c r="N15" s="233"/>
    </row>
    <row r="16" spans="1:14" ht="12.75">
      <c r="A16" s="121" t="s">
        <v>424</v>
      </c>
      <c r="B16" s="121" t="s">
        <v>536</v>
      </c>
      <c r="C16" s="121" t="s">
        <v>425</v>
      </c>
      <c r="D16" s="222">
        <v>1.69</v>
      </c>
      <c r="E16" s="218">
        <v>249</v>
      </c>
      <c r="F16" s="222">
        <v>1.41</v>
      </c>
      <c r="G16" s="222">
        <v>2.660562248995984</v>
      </c>
      <c r="H16" s="121" t="b">
        <v>1</v>
      </c>
      <c r="I16" s="121">
        <v>1.18</v>
      </c>
      <c r="J16" s="223">
        <v>1.2547137703355795</v>
      </c>
      <c r="K16" s="222">
        <v>9.12</v>
      </c>
      <c r="L16" s="224">
        <v>35582</v>
      </c>
      <c r="M16" s="218">
        <v>6041.817599999999</v>
      </c>
      <c r="N16" s="233"/>
    </row>
    <row r="17" spans="1:14" ht="12.75">
      <c r="A17" s="121" t="s">
        <v>416</v>
      </c>
      <c r="B17" s="121" t="s">
        <v>480</v>
      </c>
      <c r="C17" s="121" t="s">
        <v>484</v>
      </c>
      <c r="D17" s="222">
        <v>2.65</v>
      </c>
      <c r="E17" s="218">
        <v>352.13559322033893</v>
      </c>
      <c r="F17" s="222">
        <v>1.44</v>
      </c>
      <c r="G17" s="222">
        <v>2.95</v>
      </c>
      <c r="H17" s="121" t="b">
        <v>1</v>
      </c>
      <c r="I17" s="121">
        <v>1.18</v>
      </c>
      <c r="J17" s="223">
        <v>1.5</v>
      </c>
      <c r="K17" s="222">
        <v>0</v>
      </c>
      <c r="L17" s="224">
        <v>37438</v>
      </c>
      <c r="M17" s="218">
        <v>0</v>
      </c>
      <c r="N17" s="233"/>
    </row>
    <row r="18" spans="1:14" ht="12.75">
      <c r="A18" s="121" t="s">
        <v>416</v>
      </c>
      <c r="B18" s="121" t="s">
        <v>480</v>
      </c>
      <c r="C18" s="121" t="s">
        <v>492</v>
      </c>
      <c r="D18" s="222">
        <v>2.65</v>
      </c>
      <c r="E18" s="218">
        <v>351</v>
      </c>
      <c r="F18" s="222">
        <v>1.44</v>
      </c>
      <c r="G18" s="222">
        <v>2.9595441595441594</v>
      </c>
      <c r="H18" s="121" t="b">
        <v>0</v>
      </c>
      <c r="I18" s="121">
        <v>1.18</v>
      </c>
      <c r="J18" s="223">
        <v>1.508088270800135</v>
      </c>
      <c r="K18" s="222">
        <v>9.44</v>
      </c>
      <c r="L18" s="224">
        <v>36795</v>
      </c>
      <c r="M18" s="218">
        <v>9806.271999999999</v>
      </c>
      <c r="N18" s="233"/>
    </row>
    <row r="19" spans="1:14" ht="12.75">
      <c r="A19" s="121" t="s">
        <v>416</v>
      </c>
      <c r="B19" s="121" t="s">
        <v>480</v>
      </c>
      <c r="C19" s="121" t="s">
        <v>493</v>
      </c>
      <c r="D19" s="222">
        <v>2.65</v>
      </c>
      <c r="E19" s="218">
        <v>351</v>
      </c>
      <c r="F19" s="222">
        <v>1.44</v>
      </c>
      <c r="G19" s="222">
        <v>2.9595441595441594</v>
      </c>
      <c r="H19" s="121" t="b">
        <v>0</v>
      </c>
      <c r="I19" s="121">
        <v>1.18</v>
      </c>
      <c r="J19" s="223">
        <v>1.508088270800135</v>
      </c>
      <c r="K19" s="222">
        <v>9.44</v>
      </c>
      <c r="L19" s="224">
        <v>36795</v>
      </c>
      <c r="M19" s="218">
        <v>9806.271999999999</v>
      </c>
      <c r="N19" s="233"/>
    </row>
    <row r="20" spans="1:14" ht="12.75">
      <c r="A20" s="121" t="s">
        <v>416</v>
      </c>
      <c r="B20" s="121" t="s">
        <v>480</v>
      </c>
      <c r="C20" s="121" t="s">
        <v>483</v>
      </c>
      <c r="D20" s="222">
        <v>2.65</v>
      </c>
      <c r="E20" s="218">
        <v>350.94594594594594</v>
      </c>
      <c r="F20" s="222">
        <v>1.44</v>
      </c>
      <c r="G20" s="222">
        <v>2.96</v>
      </c>
      <c r="H20" s="121" t="b">
        <v>1</v>
      </c>
      <c r="I20" s="121">
        <v>1.18</v>
      </c>
      <c r="J20" s="223">
        <v>1.5084745762711864</v>
      </c>
      <c r="K20" s="222"/>
      <c r="L20" s="224">
        <v>37133</v>
      </c>
      <c r="M20" s="218"/>
      <c r="N20" s="233"/>
    </row>
    <row r="21" spans="1:14" ht="12.75">
      <c r="A21" s="121" t="s">
        <v>416</v>
      </c>
      <c r="B21" s="121" t="s">
        <v>480</v>
      </c>
      <c r="C21" s="121" t="s">
        <v>496</v>
      </c>
      <c r="D21" s="222">
        <v>2.65</v>
      </c>
      <c r="E21" s="218">
        <v>350.94594594594594</v>
      </c>
      <c r="F21" s="222">
        <v>1.44</v>
      </c>
      <c r="G21" s="222">
        <v>2.96</v>
      </c>
      <c r="H21" s="121" t="b">
        <v>1</v>
      </c>
      <c r="I21" s="121">
        <v>1.18</v>
      </c>
      <c r="J21" s="223">
        <v>1.5084745762711864</v>
      </c>
      <c r="K21" s="222">
        <v>9.44</v>
      </c>
      <c r="L21" s="224">
        <v>37098</v>
      </c>
      <c r="M21" s="218">
        <v>9806.271999999999</v>
      </c>
      <c r="N21" s="233"/>
    </row>
    <row r="22" spans="1:14" ht="12.75">
      <c r="A22" s="121" t="s">
        <v>416</v>
      </c>
      <c r="B22" s="121" t="s">
        <v>480</v>
      </c>
      <c r="C22" s="121" t="s">
        <v>497</v>
      </c>
      <c r="D22" s="222">
        <v>2.65</v>
      </c>
      <c r="E22" s="218">
        <v>350.94594594594594</v>
      </c>
      <c r="F22" s="222">
        <v>1.44</v>
      </c>
      <c r="G22" s="222">
        <v>2.96</v>
      </c>
      <c r="H22" s="121" t="b">
        <v>1</v>
      </c>
      <c r="I22" s="121">
        <v>1.18</v>
      </c>
      <c r="J22" s="223">
        <v>1.5084745762711864</v>
      </c>
      <c r="K22" s="222">
        <v>9.44</v>
      </c>
      <c r="L22" s="224">
        <v>37098</v>
      </c>
      <c r="M22" s="218">
        <v>9806.271999999999</v>
      </c>
      <c r="N22" s="233"/>
    </row>
    <row r="23" spans="1:14" ht="12.75">
      <c r="A23" s="121" t="s">
        <v>416</v>
      </c>
      <c r="B23" s="121" t="s">
        <v>480</v>
      </c>
      <c r="C23" s="121" t="s">
        <v>498</v>
      </c>
      <c r="D23" s="222">
        <v>2.65</v>
      </c>
      <c r="E23" s="218">
        <v>350.94594594594594</v>
      </c>
      <c r="F23" s="222">
        <v>1.44</v>
      </c>
      <c r="G23" s="222">
        <v>2.96</v>
      </c>
      <c r="H23" s="121" t="b">
        <v>1</v>
      </c>
      <c r="I23" s="121">
        <v>1.18</v>
      </c>
      <c r="J23" s="223">
        <v>1.5084745762711864</v>
      </c>
      <c r="K23" s="222">
        <v>9.44</v>
      </c>
      <c r="L23" s="224">
        <v>37098</v>
      </c>
      <c r="M23" s="218">
        <v>9806.271999999999</v>
      </c>
      <c r="N23" s="233"/>
    </row>
    <row r="24" spans="1:14" ht="12.75">
      <c r="A24" s="121" t="s">
        <v>416</v>
      </c>
      <c r="B24" s="121" t="s">
        <v>480</v>
      </c>
      <c r="C24" s="121" t="s">
        <v>499</v>
      </c>
      <c r="D24" s="222">
        <v>2.65</v>
      </c>
      <c r="E24" s="218">
        <v>350.94594594594594</v>
      </c>
      <c r="F24" s="222">
        <v>1.44</v>
      </c>
      <c r="G24" s="222">
        <v>2.96</v>
      </c>
      <c r="H24" s="121" t="b">
        <v>1</v>
      </c>
      <c r="I24" s="121">
        <v>1.18</v>
      </c>
      <c r="J24" s="223">
        <v>1.5084745762711864</v>
      </c>
      <c r="K24" s="222">
        <v>9.44</v>
      </c>
      <c r="L24" s="224">
        <v>37161</v>
      </c>
      <c r="M24" s="218">
        <v>9806.271999999999</v>
      </c>
      <c r="N24" s="233"/>
    </row>
    <row r="25" spans="1:14" ht="12.75">
      <c r="A25" s="121" t="s">
        <v>416</v>
      </c>
      <c r="B25" s="121" t="s">
        <v>480</v>
      </c>
      <c r="C25" s="121" t="s">
        <v>500</v>
      </c>
      <c r="D25" s="222">
        <v>2.65</v>
      </c>
      <c r="E25" s="218">
        <v>350.94594594594594</v>
      </c>
      <c r="F25" s="222">
        <v>1.44</v>
      </c>
      <c r="G25" s="222">
        <v>2.96</v>
      </c>
      <c r="H25" s="121" t="b">
        <v>1</v>
      </c>
      <c r="I25" s="121">
        <v>1.18</v>
      </c>
      <c r="J25" s="223">
        <v>1.5084745762711864</v>
      </c>
      <c r="K25" s="222">
        <v>9.44</v>
      </c>
      <c r="L25" s="224">
        <v>37161</v>
      </c>
      <c r="M25" s="218">
        <v>9806.271999999999</v>
      </c>
      <c r="N25" s="233"/>
    </row>
    <row r="26" spans="1:14" ht="12.75">
      <c r="A26" s="121" t="s">
        <v>416</v>
      </c>
      <c r="B26" s="121" t="s">
        <v>480</v>
      </c>
      <c r="C26" s="121" t="s">
        <v>501</v>
      </c>
      <c r="D26" s="222">
        <v>2.65</v>
      </c>
      <c r="E26" s="218">
        <v>350.94594594594594</v>
      </c>
      <c r="F26" s="222">
        <v>1.44</v>
      </c>
      <c r="G26" s="222">
        <v>2.96</v>
      </c>
      <c r="H26" s="121" t="b">
        <v>0</v>
      </c>
      <c r="I26" s="121">
        <v>1.18</v>
      </c>
      <c r="J26" s="223">
        <v>1.5084745762711864</v>
      </c>
      <c r="K26" s="222"/>
      <c r="L26" s="224">
        <v>37062</v>
      </c>
      <c r="M26" s="218"/>
      <c r="N26" s="233"/>
    </row>
    <row r="27" spans="1:14" ht="12.75">
      <c r="A27" s="121" t="s">
        <v>416</v>
      </c>
      <c r="B27" s="121" t="s">
        <v>480</v>
      </c>
      <c r="C27" s="121" t="s">
        <v>502</v>
      </c>
      <c r="D27" s="222">
        <v>2.65</v>
      </c>
      <c r="E27" s="218">
        <v>350.94594594594594</v>
      </c>
      <c r="F27" s="222">
        <v>1.44</v>
      </c>
      <c r="G27" s="222">
        <v>2.96</v>
      </c>
      <c r="H27" s="121" t="b">
        <v>0</v>
      </c>
      <c r="I27" s="121">
        <v>1.18</v>
      </c>
      <c r="J27" s="223">
        <v>1.5084745762711864</v>
      </c>
      <c r="K27" s="222"/>
      <c r="L27" s="224">
        <v>37062</v>
      </c>
      <c r="M27" s="218"/>
      <c r="N27" s="233"/>
    </row>
    <row r="28" spans="1:14" ht="12.75">
      <c r="A28" s="121" t="s">
        <v>418</v>
      </c>
      <c r="B28" s="121" t="s">
        <v>480</v>
      </c>
      <c r="C28" s="121" t="s">
        <v>508</v>
      </c>
      <c r="D28" s="222">
        <v>2.65</v>
      </c>
      <c r="E28" s="218">
        <v>350.94594594594594</v>
      </c>
      <c r="F28" s="222">
        <v>1.44</v>
      </c>
      <c r="G28" s="222">
        <v>2.96</v>
      </c>
      <c r="H28" s="121" t="b">
        <v>1</v>
      </c>
      <c r="I28" s="121">
        <v>1.18</v>
      </c>
      <c r="J28" s="223">
        <v>1.5084745762711864</v>
      </c>
      <c r="K28" s="222">
        <v>9.44</v>
      </c>
      <c r="L28" s="224">
        <v>37098</v>
      </c>
      <c r="M28" s="218">
        <v>9806.271999999999</v>
      </c>
      <c r="N28" s="233"/>
    </row>
    <row r="29" spans="1:14" ht="12.75">
      <c r="A29" s="121" t="s">
        <v>418</v>
      </c>
      <c r="B29" s="121" t="s">
        <v>480</v>
      </c>
      <c r="C29" s="121" t="s">
        <v>509</v>
      </c>
      <c r="D29" s="222">
        <v>2.65</v>
      </c>
      <c r="E29" s="218">
        <v>350.94594594594594</v>
      </c>
      <c r="F29" s="222">
        <v>1.44</v>
      </c>
      <c r="G29" s="222">
        <v>2.96</v>
      </c>
      <c r="H29" s="121" t="b">
        <v>1</v>
      </c>
      <c r="I29" s="121">
        <v>1.18</v>
      </c>
      <c r="J29" s="223">
        <v>1.5084745762711864</v>
      </c>
      <c r="K29" s="222">
        <v>9.44</v>
      </c>
      <c r="L29" s="224">
        <v>37098</v>
      </c>
      <c r="M29" s="218">
        <v>9806.271999999999</v>
      </c>
      <c r="N29" s="233"/>
    </row>
    <row r="30" spans="1:14" ht="12.75">
      <c r="A30" s="121" t="s">
        <v>554</v>
      </c>
      <c r="B30" s="121" t="s">
        <v>480</v>
      </c>
      <c r="C30" s="121" t="s">
        <v>555</v>
      </c>
      <c r="D30" s="222">
        <v>2.65</v>
      </c>
      <c r="E30" s="218">
        <v>350.94594594594594</v>
      </c>
      <c r="F30" s="222">
        <v>1.44</v>
      </c>
      <c r="G30" s="222">
        <v>2.96</v>
      </c>
      <c r="H30" s="121" t="b">
        <v>1</v>
      </c>
      <c r="I30" s="121">
        <v>1.18</v>
      </c>
      <c r="J30" s="223">
        <v>1.5084745762711864</v>
      </c>
      <c r="K30" s="222"/>
      <c r="L30" s="224">
        <v>37133</v>
      </c>
      <c r="M30" s="218"/>
      <c r="N30" s="233"/>
    </row>
    <row r="31" spans="1:14" ht="12.75">
      <c r="A31" s="121" t="s">
        <v>475</v>
      </c>
      <c r="B31" s="121" t="s">
        <v>476</v>
      </c>
      <c r="C31" s="121" t="s">
        <v>477</v>
      </c>
      <c r="D31" s="222">
        <v>1.6</v>
      </c>
      <c r="E31" s="218">
        <v>241</v>
      </c>
      <c r="F31" s="222">
        <v>1.45</v>
      </c>
      <c r="G31" s="222">
        <v>2.6024896265560167</v>
      </c>
      <c r="H31" s="121" t="b">
        <v>1</v>
      </c>
      <c r="I31" s="121">
        <v>1.18</v>
      </c>
      <c r="J31" s="223">
        <v>1.205499683522048</v>
      </c>
      <c r="K31" s="222">
        <v>11.64</v>
      </c>
      <c r="L31" s="224">
        <v>37484</v>
      </c>
      <c r="M31" s="218">
        <v>7300.608000000001</v>
      </c>
      <c r="N31" s="233"/>
    </row>
    <row r="32" spans="1:14" ht="12.75">
      <c r="A32" s="121" t="s">
        <v>417</v>
      </c>
      <c r="B32" s="121" t="s">
        <v>480</v>
      </c>
      <c r="C32" s="121" t="s">
        <v>506</v>
      </c>
      <c r="D32" s="222">
        <v>2.65</v>
      </c>
      <c r="E32" s="218">
        <v>351</v>
      </c>
      <c r="F32" s="222">
        <v>1.47</v>
      </c>
      <c r="G32" s="222">
        <v>2.9595441595441594</v>
      </c>
      <c r="H32" s="121" t="b">
        <v>1</v>
      </c>
      <c r="I32" s="121">
        <v>1.18</v>
      </c>
      <c r="J32" s="223">
        <v>1.508088270800135</v>
      </c>
      <c r="K32" s="222">
        <v>9.47</v>
      </c>
      <c r="L32" s="224">
        <v>36878</v>
      </c>
      <c r="M32" s="218">
        <v>9837.436</v>
      </c>
      <c r="N32" s="233"/>
    </row>
    <row r="33" spans="1:14" ht="12.75">
      <c r="A33" s="121" t="s">
        <v>432</v>
      </c>
      <c r="B33" s="121" t="s">
        <v>432</v>
      </c>
      <c r="C33" s="121" t="s">
        <v>433</v>
      </c>
      <c r="D33" s="222">
        <v>2</v>
      </c>
      <c r="E33" s="218">
        <v>264.86486486486484</v>
      </c>
      <c r="F33" s="222">
        <v>1.48</v>
      </c>
      <c r="G33" s="222">
        <v>2.96</v>
      </c>
      <c r="H33" s="121" t="b">
        <v>1</v>
      </c>
      <c r="I33" s="121">
        <v>1.18</v>
      </c>
      <c r="J33" s="223">
        <v>1.5084745762711869</v>
      </c>
      <c r="K33" s="222">
        <v>7.113</v>
      </c>
      <c r="L33" s="224">
        <v>36578</v>
      </c>
      <c r="M33" s="218">
        <v>5576.592000000001</v>
      </c>
      <c r="N33" s="233"/>
    </row>
    <row r="34" spans="1:14" ht="12.75">
      <c r="A34" s="121" t="s">
        <v>462</v>
      </c>
      <c r="B34" s="121" t="s">
        <v>463</v>
      </c>
      <c r="C34" s="121" t="s">
        <v>464</v>
      </c>
      <c r="D34" s="222">
        <v>1.77</v>
      </c>
      <c r="E34" s="218">
        <v>227</v>
      </c>
      <c r="F34" s="222">
        <v>1.48</v>
      </c>
      <c r="G34" s="222">
        <v>3.0565638766519827</v>
      </c>
      <c r="H34" s="121" t="b">
        <v>1</v>
      </c>
      <c r="I34" s="121">
        <v>1.18</v>
      </c>
      <c r="J34" s="223">
        <v>1.5903083700440535</v>
      </c>
      <c r="K34" s="222">
        <v>10.63</v>
      </c>
      <c r="L34" s="224">
        <v>36600</v>
      </c>
      <c r="M34" s="218">
        <v>7375.519200000001</v>
      </c>
      <c r="N34" s="233"/>
    </row>
    <row r="35" spans="1:14" ht="12.75">
      <c r="A35" s="121" t="s">
        <v>462</v>
      </c>
      <c r="B35" s="121" t="s">
        <v>463</v>
      </c>
      <c r="C35" s="121" t="s">
        <v>465</v>
      </c>
      <c r="D35" s="222">
        <v>1.77</v>
      </c>
      <c r="E35" s="218">
        <v>227</v>
      </c>
      <c r="F35" s="222">
        <v>1.48</v>
      </c>
      <c r="G35" s="222">
        <v>3.0565638766519827</v>
      </c>
      <c r="H35" s="121" t="b">
        <v>1</v>
      </c>
      <c r="I35" s="121">
        <v>1.18</v>
      </c>
      <c r="J35" s="223">
        <v>1.5903083700440535</v>
      </c>
      <c r="K35" s="222">
        <v>10.63</v>
      </c>
      <c r="L35" s="224">
        <v>36600</v>
      </c>
      <c r="M35" s="218">
        <v>7375.519200000001</v>
      </c>
      <c r="N35" s="233"/>
    </row>
    <row r="36" spans="1:14" ht="12.75">
      <c r="A36" s="121" t="s">
        <v>462</v>
      </c>
      <c r="B36" s="121" t="s">
        <v>463</v>
      </c>
      <c r="C36" s="121" t="s">
        <v>466</v>
      </c>
      <c r="D36" s="222">
        <v>1.77</v>
      </c>
      <c r="E36" s="218">
        <v>227</v>
      </c>
      <c r="F36" s="222">
        <v>1.48</v>
      </c>
      <c r="G36" s="222">
        <v>3.0565638766519827</v>
      </c>
      <c r="H36" s="121" t="b">
        <v>1</v>
      </c>
      <c r="I36" s="121">
        <v>1.18</v>
      </c>
      <c r="J36" s="223">
        <v>1.5903083700440535</v>
      </c>
      <c r="K36" s="222">
        <v>10.63</v>
      </c>
      <c r="L36" s="224">
        <v>36600</v>
      </c>
      <c r="M36" s="218">
        <v>7375.519200000001</v>
      </c>
      <c r="N36" s="233"/>
    </row>
    <row r="37" spans="1:14" ht="12.75">
      <c r="A37" s="234" t="s">
        <v>419</v>
      </c>
      <c r="B37" s="234" t="s">
        <v>434</v>
      </c>
      <c r="C37" s="234" t="s">
        <v>513</v>
      </c>
      <c r="D37" s="235">
        <v>3.01</v>
      </c>
      <c r="E37" s="236">
        <v>337</v>
      </c>
      <c r="F37" s="235">
        <v>1.5</v>
      </c>
      <c r="G37" s="235">
        <v>3.5012462908011863</v>
      </c>
      <c r="H37" s="234" t="b">
        <v>1</v>
      </c>
      <c r="I37" s="234">
        <v>1.18</v>
      </c>
      <c r="J37" s="237">
        <v>1.9671578735603275</v>
      </c>
      <c r="K37" s="235">
        <v>8.11</v>
      </c>
      <c r="L37" s="238">
        <v>36719</v>
      </c>
      <c r="M37" s="236">
        <v>9569.151199999998</v>
      </c>
      <c r="N37" s="239">
        <v>900</v>
      </c>
    </row>
    <row r="38" spans="1:14" ht="12.75">
      <c r="A38" s="234" t="s">
        <v>419</v>
      </c>
      <c r="B38" s="234" t="s">
        <v>434</v>
      </c>
      <c r="C38" s="234" t="s">
        <v>514</v>
      </c>
      <c r="D38" s="235">
        <v>3.01</v>
      </c>
      <c r="E38" s="236">
        <v>337</v>
      </c>
      <c r="F38" s="235">
        <v>1.5</v>
      </c>
      <c r="G38" s="235">
        <v>3.5012462908011863</v>
      </c>
      <c r="H38" s="234" t="b">
        <v>1</v>
      </c>
      <c r="I38" s="234">
        <v>1.18</v>
      </c>
      <c r="J38" s="237">
        <v>1.9671578735603275</v>
      </c>
      <c r="K38" s="235">
        <v>8.11</v>
      </c>
      <c r="L38" s="238">
        <v>37014</v>
      </c>
      <c r="M38" s="236">
        <v>9569.151199999998</v>
      </c>
      <c r="N38" s="239">
        <v>900</v>
      </c>
    </row>
    <row r="39" spans="1:14" ht="12.75">
      <c r="A39" s="121" t="s">
        <v>419</v>
      </c>
      <c r="B39" s="121" t="s">
        <v>434</v>
      </c>
      <c r="C39" s="121" t="s">
        <v>512</v>
      </c>
      <c r="D39" s="222">
        <v>3.01</v>
      </c>
      <c r="E39" s="218">
        <v>337</v>
      </c>
      <c r="F39" s="222">
        <v>1.5</v>
      </c>
      <c r="G39" s="222">
        <v>3.5012462908011863</v>
      </c>
      <c r="H39" s="121" t="b">
        <v>1</v>
      </c>
      <c r="I39" s="121">
        <v>1.18</v>
      </c>
      <c r="J39" s="223">
        <v>1.9671578735603275</v>
      </c>
      <c r="K39" s="222">
        <v>8.11</v>
      </c>
      <c r="L39" s="224">
        <v>36719</v>
      </c>
      <c r="M39" s="218">
        <v>9569.151199999998</v>
      </c>
      <c r="N39" s="233"/>
    </row>
    <row r="40" spans="1:14" ht="12.75">
      <c r="A40" s="121" t="s">
        <v>419</v>
      </c>
      <c r="B40" s="121" t="s">
        <v>434</v>
      </c>
      <c r="C40" s="121" t="s">
        <v>515</v>
      </c>
      <c r="D40" s="222">
        <v>3.01</v>
      </c>
      <c r="E40" s="218">
        <v>337</v>
      </c>
      <c r="F40" s="222">
        <v>1.5</v>
      </c>
      <c r="G40" s="222">
        <v>3.5012462908011863</v>
      </c>
      <c r="H40" s="121" t="b">
        <v>1</v>
      </c>
      <c r="I40" s="121">
        <v>1.18</v>
      </c>
      <c r="J40" s="223">
        <v>1.9671578735603275</v>
      </c>
      <c r="K40" s="222">
        <v>8.11</v>
      </c>
      <c r="L40" s="224">
        <v>37014</v>
      </c>
      <c r="M40" s="218">
        <v>9569.151199999998</v>
      </c>
      <c r="N40" s="233"/>
    </row>
    <row r="41" spans="1:14" ht="12.75">
      <c r="A41" s="121" t="s">
        <v>475</v>
      </c>
      <c r="B41" s="121" t="s">
        <v>476</v>
      </c>
      <c r="C41" s="121" t="s">
        <v>478</v>
      </c>
      <c r="D41" s="222">
        <v>2.5</v>
      </c>
      <c r="E41" s="218">
        <v>306</v>
      </c>
      <c r="F41" s="222">
        <v>1.515</v>
      </c>
      <c r="G41" s="222">
        <v>3.2026143790849675</v>
      </c>
      <c r="H41" s="121" t="b">
        <v>1</v>
      </c>
      <c r="I41" s="121">
        <v>1.18</v>
      </c>
      <c r="J41" s="223">
        <v>1.7140799822753965</v>
      </c>
      <c r="K41" s="222">
        <v>8.04</v>
      </c>
      <c r="L41" s="224">
        <v>37484</v>
      </c>
      <c r="M41" s="218">
        <v>7879.2</v>
      </c>
      <c r="N41" s="233"/>
    </row>
    <row r="42" spans="1:14" ht="12.75">
      <c r="A42" s="121" t="s">
        <v>434</v>
      </c>
      <c r="B42" s="121" t="s">
        <v>434</v>
      </c>
      <c r="C42" s="121" t="s">
        <v>553</v>
      </c>
      <c r="D42" s="222">
        <v>2.99</v>
      </c>
      <c r="E42" s="218">
        <v>336.8045977011495</v>
      </c>
      <c r="F42" s="222">
        <v>1.53</v>
      </c>
      <c r="G42" s="222">
        <v>3.48</v>
      </c>
      <c r="H42" s="121" t="b">
        <v>1</v>
      </c>
      <c r="I42" s="121">
        <v>1.18</v>
      </c>
      <c r="J42" s="223">
        <v>1.9491525423728815</v>
      </c>
      <c r="K42" s="222">
        <v>8.02</v>
      </c>
      <c r="L42" s="224">
        <v>36992</v>
      </c>
      <c r="M42" s="218">
        <v>9400.0816</v>
      </c>
      <c r="N42" s="233"/>
    </row>
    <row r="43" spans="1:14" ht="12.75">
      <c r="A43" s="121" t="s">
        <v>416</v>
      </c>
      <c r="B43" s="121" t="s">
        <v>480</v>
      </c>
      <c r="C43" s="121" t="s">
        <v>481</v>
      </c>
      <c r="D43" s="222">
        <v>2.65</v>
      </c>
      <c r="E43" s="218">
        <v>259</v>
      </c>
      <c r="F43" s="222">
        <v>1.57</v>
      </c>
      <c r="G43" s="222">
        <v>4.010810810810811</v>
      </c>
      <c r="H43" s="121" t="b">
        <v>1</v>
      </c>
      <c r="I43" s="121">
        <v>1.18</v>
      </c>
      <c r="J43" s="223">
        <v>2.398992212551535</v>
      </c>
      <c r="K43" s="222">
        <v>9.1</v>
      </c>
      <c r="L43" s="224">
        <v>35989</v>
      </c>
      <c r="M43" s="218">
        <v>9453.08</v>
      </c>
      <c r="N43" s="233"/>
    </row>
    <row r="44" spans="1:14" ht="12.75">
      <c r="A44" s="121" t="s">
        <v>416</v>
      </c>
      <c r="B44" s="121" t="s">
        <v>480</v>
      </c>
      <c r="C44" s="121" t="s">
        <v>482</v>
      </c>
      <c r="D44" s="222">
        <v>2.65</v>
      </c>
      <c r="E44" s="218">
        <v>259</v>
      </c>
      <c r="F44" s="222">
        <v>1.57</v>
      </c>
      <c r="G44" s="222">
        <v>4.010810810810811</v>
      </c>
      <c r="H44" s="121" t="b">
        <v>1</v>
      </c>
      <c r="I44" s="121">
        <v>1.18</v>
      </c>
      <c r="J44" s="223">
        <v>2.398992212551535</v>
      </c>
      <c r="K44" s="222">
        <v>9.1</v>
      </c>
      <c r="L44" s="224">
        <v>35989</v>
      </c>
      <c r="M44" s="218">
        <v>9453.08</v>
      </c>
      <c r="N44" s="233"/>
    </row>
    <row r="45" spans="1:14" ht="12.75">
      <c r="A45" s="121" t="s">
        <v>407</v>
      </c>
      <c r="B45" s="121" t="s">
        <v>407</v>
      </c>
      <c r="C45" s="121" t="s">
        <v>459</v>
      </c>
      <c r="D45" s="222">
        <v>1.96</v>
      </c>
      <c r="E45" s="218">
        <v>209</v>
      </c>
      <c r="F45" s="222">
        <v>1.58</v>
      </c>
      <c r="G45" s="222">
        <v>3.6761722488038275</v>
      </c>
      <c r="H45" s="121" t="b">
        <v>1</v>
      </c>
      <c r="I45" s="121">
        <v>1.18</v>
      </c>
      <c r="J45" s="223">
        <v>2.1154002108507015</v>
      </c>
      <c r="K45" s="222">
        <v>7.483</v>
      </c>
      <c r="L45" s="224">
        <v>37285</v>
      </c>
      <c r="M45" s="218">
        <v>5749.33856</v>
      </c>
      <c r="N45" s="233"/>
    </row>
    <row r="46" spans="1:14" ht="12.75">
      <c r="A46" s="121" t="s">
        <v>429</v>
      </c>
      <c r="B46" s="121" t="s">
        <v>539</v>
      </c>
      <c r="C46" s="121" t="s">
        <v>540</v>
      </c>
      <c r="D46" s="222">
        <v>2</v>
      </c>
      <c r="E46" s="218">
        <v>277.0318021201413</v>
      </c>
      <c r="F46" s="222">
        <v>1.59</v>
      </c>
      <c r="G46" s="222">
        <v>2.83</v>
      </c>
      <c r="H46" s="121" t="b">
        <v>1</v>
      </c>
      <c r="I46" s="121">
        <v>1.18</v>
      </c>
      <c r="J46" s="223">
        <v>1.398305084745763</v>
      </c>
      <c r="K46" s="222">
        <v>7.44</v>
      </c>
      <c r="L46" s="224">
        <v>36549</v>
      </c>
      <c r="M46" s="218">
        <v>5832.96</v>
      </c>
      <c r="N46" s="233"/>
    </row>
    <row r="47" spans="1:14" ht="12.75">
      <c r="A47" s="121" t="s">
        <v>546</v>
      </c>
      <c r="B47" s="121" t="s">
        <v>539</v>
      </c>
      <c r="C47" s="121" t="s">
        <v>540</v>
      </c>
      <c r="D47" s="222">
        <v>2</v>
      </c>
      <c r="E47" s="218">
        <v>277.0318021201413</v>
      </c>
      <c r="F47" s="222">
        <v>1.59</v>
      </c>
      <c r="G47" s="222">
        <v>2.83</v>
      </c>
      <c r="H47" s="121" t="b">
        <v>1</v>
      </c>
      <c r="I47" s="121">
        <v>1.18</v>
      </c>
      <c r="J47" s="223">
        <v>1.398305084745763</v>
      </c>
      <c r="K47" s="222">
        <v>7.44</v>
      </c>
      <c r="L47" s="224">
        <v>36920</v>
      </c>
      <c r="M47" s="218">
        <v>5832.96</v>
      </c>
      <c r="N47" s="233"/>
    </row>
    <row r="48" spans="1:14" ht="12.75">
      <c r="A48" s="121" t="s">
        <v>417</v>
      </c>
      <c r="B48" s="121" t="s">
        <v>480</v>
      </c>
      <c r="C48" s="121" t="s">
        <v>507</v>
      </c>
      <c r="D48" s="222">
        <v>2.65</v>
      </c>
      <c r="E48" s="218">
        <v>259</v>
      </c>
      <c r="F48" s="222">
        <v>1.59</v>
      </c>
      <c r="G48" s="222">
        <v>4.010810810810811</v>
      </c>
      <c r="H48" s="121" t="b">
        <v>1</v>
      </c>
      <c r="I48" s="121">
        <v>1.18</v>
      </c>
      <c r="J48" s="223">
        <v>2.398992212551535</v>
      </c>
      <c r="K48" s="222">
        <v>9.45</v>
      </c>
      <c r="L48" s="224">
        <v>36795</v>
      </c>
      <c r="M48" s="218">
        <v>9816.66</v>
      </c>
      <c r="N48" s="233"/>
    </row>
    <row r="49" spans="1:14" ht="12.75">
      <c r="A49" s="121" t="s">
        <v>419</v>
      </c>
      <c r="B49" s="121" t="s">
        <v>434</v>
      </c>
      <c r="C49" s="121" t="s">
        <v>522</v>
      </c>
      <c r="D49" s="222">
        <v>3.18</v>
      </c>
      <c r="E49" s="218">
        <v>282</v>
      </c>
      <c r="F49" s="222">
        <v>1.6</v>
      </c>
      <c r="G49" s="222">
        <v>4.420425531914894</v>
      </c>
      <c r="H49" s="121" t="b">
        <v>1</v>
      </c>
      <c r="I49" s="121">
        <v>1.18</v>
      </c>
      <c r="J49" s="223">
        <v>2.7461233321312664</v>
      </c>
      <c r="K49" s="222">
        <v>4.36</v>
      </c>
      <c r="L49" s="224">
        <v>37162</v>
      </c>
      <c r="M49" s="218">
        <v>5435.001600000001</v>
      </c>
      <c r="N49" s="233"/>
    </row>
    <row r="50" spans="1:14" ht="12.75">
      <c r="A50" s="121" t="s">
        <v>419</v>
      </c>
      <c r="B50" s="121" t="s">
        <v>434</v>
      </c>
      <c r="C50" s="121" t="s">
        <v>523</v>
      </c>
      <c r="D50" s="222">
        <v>3.18</v>
      </c>
      <c r="E50" s="218">
        <v>282</v>
      </c>
      <c r="F50" s="222">
        <v>1.6</v>
      </c>
      <c r="G50" s="222">
        <v>4.420425531914894</v>
      </c>
      <c r="H50" s="121" t="b">
        <v>1</v>
      </c>
      <c r="I50" s="121">
        <v>1.18</v>
      </c>
      <c r="J50" s="223">
        <v>2.7461233321312664</v>
      </c>
      <c r="K50" s="222">
        <v>4.36</v>
      </c>
      <c r="L50" s="224">
        <v>37162</v>
      </c>
      <c r="M50" s="218">
        <v>5435.001600000001</v>
      </c>
      <c r="N50" s="233"/>
    </row>
    <row r="51" spans="1:14" ht="12.75">
      <c r="A51" s="121" t="s">
        <v>421</v>
      </c>
      <c r="B51" s="121" t="s">
        <v>421</v>
      </c>
      <c r="C51" s="121" t="s">
        <v>530</v>
      </c>
      <c r="D51" s="222">
        <v>2.9</v>
      </c>
      <c r="E51" s="218">
        <v>388</v>
      </c>
      <c r="F51" s="222">
        <v>1.61</v>
      </c>
      <c r="G51" s="222">
        <v>2.9298969072164947</v>
      </c>
      <c r="H51" s="121" t="b">
        <v>1</v>
      </c>
      <c r="I51" s="121">
        <v>1.18</v>
      </c>
      <c r="J51" s="223">
        <v>1.4829634806919447</v>
      </c>
      <c r="K51" s="222">
        <v>8.23</v>
      </c>
      <c r="L51" s="224">
        <v>37426</v>
      </c>
      <c r="M51" s="218">
        <v>9355.864</v>
      </c>
      <c r="N51" s="233"/>
    </row>
    <row r="52" spans="1:14" ht="12.75">
      <c r="A52" s="121" t="s">
        <v>407</v>
      </c>
      <c r="B52" s="121" t="s">
        <v>407</v>
      </c>
      <c r="C52" s="121" t="s">
        <v>408</v>
      </c>
      <c r="D52" s="222">
        <v>1.9</v>
      </c>
      <c r="E52" s="218">
        <v>182</v>
      </c>
      <c r="F52" s="222">
        <v>1.62</v>
      </c>
      <c r="G52" s="222">
        <v>4.092307692307692</v>
      </c>
      <c r="H52" s="121" t="b">
        <v>1</v>
      </c>
      <c r="I52" s="121">
        <v>1.18</v>
      </c>
      <c r="J52" s="223">
        <v>2.468057366362451</v>
      </c>
      <c r="K52" s="222">
        <v>9</v>
      </c>
      <c r="L52" s="224">
        <v>36410</v>
      </c>
      <c r="M52" s="218">
        <v>6703.2</v>
      </c>
      <c r="N52" s="233"/>
    </row>
    <row r="53" spans="1:14" ht="12.75">
      <c r="A53" s="121" t="s">
        <v>407</v>
      </c>
      <c r="B53" s="121" t="s">
        <v>407</v>
      </c>
      <c r="C53" s="121" t="s">
        <v>409</v>
      </c>
      <c r="D53" s="222">
        <v>1.9</v>
      </c>
      <c r="E53" s="218">
        <v>177</v>
      </c>
      <c r="F53" s="222">
        <v>1.63</v>
      </c>
      <c r="G53" s="222">
        <v>4.207909604519774</v>
      </c>
      <c r="H53" s="121" t="b">
        <v>1</v>
      </c>
      <c r="I53" s="121">
        <v>1.18</v>
      </c>
      <c r="J53" s="223">
        <v>2.5660250885760796</v>
      </c>
      <c r="K53" s="222">
        <v>9</v>
      </c>
      <c r="L53" s="224">
        <v>36410</v>
      </c>
      <c r="M53" s="218">
        <v>6703.2</v>
      </c>
      <c r="N53" s="233"/>
    </row>
    <row r="54" spans="1:14" ht="12.75">
      <c r="A54" s="234" t="s">
        <v>421</v>
      </c>
      <c r="B54" s="234" t="s">
        <v>421</v>
      </c>
      <c r="C54" s="234" t="s">
        <v>529</v>
      </c>
      <c r="D54" s="235">
        <v>2.9</v>
      </c>
      <c r="E54" s="236">
        <v>322</v>
      </c>
      <c r="F54" s="235">
        <v>1.64</v>
      </c>
      <c r="G54" s="235">
        <v>3.5304347826086957</v>
      </c>
      <c r="H54" s="234" t="b">
        <v>1</v>
      </c>
      <c r="I54" s="234">
        <v>1.18</v>
      </c>
      <c r="J54" s="237">
        <v>1.9918938835666915</v>
      </c>
      <c r="K54" s="235">
        <v>8.47</v>
      </c>
      <c r="L54" s="238">
        <v>36826</v>
      </c>
      <c r="M54" s="236">
        <v>9628.696000000002</v>
      </c>
      <c r="N54" s="239">
        <v>999</v>
      </c>
    </row>
    <row r="55" spans="1:14" ht="12.75">
      <c r="A55" s="121" t="s">
        <v>421</v>
      </c>
      <c r="B55" s="121" t="s">
        <v>421</v>
      </c>
      <c r="C55" s="121" t="s">
        <v>423</v>
      </c>
      <c r="D55" s="222">
        <v>2.9</v>
      </c>
      <c r="E55" s="218">
        <v>282</v>
      </c>
      <c r="F55" s="222">
        <v>1.64</v>
      </c>
      <c r="G55" s="222">
        <v>4.0312056737588655</v>
      </c>
      <c r="H55" s="121" t="b">
        <v>1</v>
      </c>
      <c r="I55" s="121">
        <v>1.18</v>
      </c>
      <c r="J55" s="223">
        <v>2.416275994710903</v>
      </c>
      <c r="K55" s="222">
        <v>8</v>
      </c>
      <c r="L55" s="224">
        <v>36430</v>
      </c>
      <c r="M55" s="218">
        <v>9094.4</v>
      </c>
      <c r="N55" s="233"/>
    </row>
    <row r="56" spans="1:14" ht="12.75">
      <c r="A56" s="121" t="s">
        <v>424</v>
      </c>
      <c r="B56" s="121" t="s">
        <v>536</v>
      </c>
      <c r="C56" s="121" t="s">
        <v>427</v>
      </c>
      <c r="D56" s="222">
        <v>2.01</v>
      </c>
      <c r="E56" s="218">
        <v>279</v>
      </c>
      <c r="F56" s="222">
        <v>1.64</v>
      </c>
      <c r="G56" s="222">
        <v>2.824086021505376</v>
      </c>
      <c r="H56" s="121" t="b">
        <v>1</v>
      </c>
      <c r="I56" s="121">
        <v>1.18</v>
      </c>
      <c r="J56" s="223">
        <v>1.3932932385638783</v>
      </c>
      <c r="K56" s="222">
        <v>7.57</v>
      </c>
      <c r="L56" s="224">
        <v>36090</v>
      </c>
      <c r="M56" s="218">
        <v>5964.554399999999</v>
      </c>
      <c r="N56" s="233"/>
    </row>
    <row r="57" spans="1:14" ht="12.75">
      <c r="A57" s="121" t="s">
        <v>424</v>
      </c>
      <c r="B57" s="121" t="s">
        <v>536</v>
      </c>
      <c r="C57" s="121" t="s">
        <v>426</v>
      </c>
      <c r="D57" s="222">
        <v>1.69</v>
      </c>
      <c r="E57" s="218">
        <v>267</v>
      </c>
      <c r="F57" s="222">
        <v>1.64</v>
      </c>
      <c r="G57" s="222">
        <v>2.4811985018726594</v>
      </c>
      <c r="H57" s="121" t="b">
        <v>1</v>
      </c>
      <c r="I57" s="121">
        <v>1.18</v>
      </c>
      <c r="J57" s="223">
        <v>1.1027105948073386</v>
      </c>
      <c r="K57" s="222">
        <v>8.34</v>
      </c>
      <c r="L57" s="224">
        <v>35582</v>
      </c>
      <c r="M57" s="218">
        <v>5525.0832</v>
      </c>
      <c r="N57" s="233"/>
    </row>
    <row r="58" spans="1:14" ht="12.75">
      <c r="A58" s="121" t="s">
        <v>424</v>
      </c>
      <c r="B58" s="121" t="s">
        <v>536</v>
      </c>
      <c r="C58" s="121" t="s">
        <v>428</v>
      </c>
      <c r="D58" s="222">
        <v>1.69</v>
      </c>
      <c r="E58" s="218">
        <v>267</v>
      </c>
      <c r="F58" s="222">
        <v>1.64</v>
      </c>
      <c r="G58" s="222">
        <v>2.4811985018726594</v>
      </c>
      <c r="H58" s="121" t="b">
        <v>1</v>
      </c>
      <c r="I58" s="121">
        <v>1.18</v>
      </c>
      <c r="J58" s="223">
        <v>1.1027105948073386</v>
      </c>
      <c r="K58" s="222">
        <v>8.34</v>
      </c>
      <c r="L58" s="224">
        <v>35582</v>
      </c>
      <c r="M58" s="218">
        <v>5525.0832</v>
      </c>
      <c r="N58" s="233"/>
    </row>
    <row r="59" spans="1:14" ht="12.75">
      <c r="A59" s="121" t="s">
        <v>407</v>
      </c>
      <c r="B59" s="121" t="s">
        <v>407</v>
      </c>
      <c r="C59" s="121" t="s">
        <v>458</v>
      </c>
      <c r="D59" s="222">
        <v>1.96</v>
      </c>
      <c r="E59" s="218">
        <v>209</v>
      </c>
      <c r="F59" s="222">
        <v>1.658</v>
      </c>
      <c r="G59" s="222">
        <v>3.6761722488038275</v>
      </c>
      <c r="H59" s="121" t="b">
        <v>1</v>
      </c>
      <c r="I59" s="121">
        <v>1.18</v>
      </c>
      <c r="J59" s="223">
        <v>2.1154002108507015</v>
      </c>
      <c r="K59" s="222">
        <v>7.482</v>
      </c>
      <c r="L59" s="224">
        <v>37285</v>
      </c>
      <c r="M59" s="218">
        <v>5748.57024</v>
      </c>
      <c r="N59" s="233"/>
    </row>
    <row r="60" spans="1:14" ht="12.75">
      <c r="A60" s="234" t="s">
        <v>421</v>
      </c>
      <c r="B60" s="234" t="s">
        <v>421</v>
      </c>
      <c r="C60" s="234" t="s">
        <v>531</v>
      </c>
      <c r="D60" s="235">
        <v>2.9</v>
      </c>
      <c r="E60" s="236">
        <v>362</v>
      </c>
      <c r="F60" s="235">
        <v>1.66</v>
      </c>
      <c r="G60" s="235">
        <v>3.140331491712707</v>
      </c>
      <c r="H60" s="234" t="b">
        <v>1</v>
      </c>
      <c r="I60" s="234">
        <v>1.18</v>
      </c>
      <c r="J60" s="237">
        <v>1.6612978743328028</v>
      </c>
      <c r="K60" s="235">
        <v>8.1</v>
      </c>
      <c r="L60" s="238">
        <v>36805</v>
      </c>
      <c r="M60" s="236">
        <v>9208.08</v>
      </c>
      <c r="N60" s="239">
        <v>1300</v>
      </c>
    </row>
    <row r="61" spans="1:14" ht="12.75">
      <c r="A61" s="121" t="s">
        <v>463</v>
      </c>
      <c r="B61" s="121" t="s">
        <v>463</v>
      </c>
      <c r="C61" s="121" t="s">
        <v>541</v>
      </c>
      <c r="D61" s="222">
        <v>1.77</v>
      </c>
      <c r="E61" s="218">
        <v>227</v>
      </c>
      <c r="F61" s="222">
        <v>1.66</v>
      </c>
      <c r="G61" s="222">
        <v>3.0565638766519827</v>
      </c>
      <c r="H61" s="121" t="b">
        <v>1</v>
      </c>
      <c r="I61" s="121">
        <v>1.18</v>
      </c>
      <c r="J61" s="223">
        <v>1.5903083700440535</v>
      </c>
      <c r="K61" s="222">
        <v>8.83</v>
      </c>
      <c r="L61" s="224">
        <v>37379</v>
      </c>
      <c r="M61" s="218">
        <v>6126.6072</v>
      </c>
      <c r="N61" s="233"/>
    </row>
    <row r="62" spans="1:14" ht="12.75">
      <c r="A62" s="121" t="s">
        <v>424</v>
      </c>
      <c r="B62" s="121" t="s">
        <v>536</v>
      </c>
      <c r="C62" s="121" t="s">
        <v>537</v>
      </c>
      <c r="D62" s="222">
        <v>2.01</v>
      </c>
      <c r="E62" s="218">
        <v>258</v>
      </c>
      <c r="F62" s="222">
        <v>1.67</v>
      </c>
      <c r="G62" s="222">
        <v>3.053953488372093</v>
      </c>
      <c r="H62" s="121" t="b">
        <v>1</v>
      </c>
      <c r="I62" s="121">
        <v>1.18</v>
      </c>
      <c r="J62" s="223">
        <v>1.5880961765865194</v>
      </c>
      <c r="K62" s="222">
        <v>10.2</v>
      </c>
      <c r="L62" s="224">
        <v>37267</v>
      </c>
      <c r="M62" s="218">
        <v>8036.783999999998</v>
      </c>
      <c r="N62" s="233"/>
    </row>
    <row r="63" spans="1:14" ht="12.75">
      <c r="A63" s="121" t="s">
        <v>424</v>
      </c>
      <c r="B63" s="121" t="s">
        <v>536</v>
      </c>
      <c r="C63" s="121" t="s">
        <v>538</v>
      </c>
      <c r="D63" s="222">
        <v>2.01</v>
      </c>
      <c r="E63" s="218">
        <v>258</v>
      </c>
      <c r="F63" s="222">
        <v>1.67</v>
      </c>
      <c r="G63" s="222">
        <v>3.053953488372093</v>
      </c>
      <c r="H63" s="121" t="b">
        <v>1</v>
      </c>
      <c r="I63" s="121">
        <v>1.18</v>
      </c>
      <c r="J63" s="223">
        <v>1.5880961765865194</v>
      </c>
      <c r="K63" s="222">
        <v>10.2</v>
      </c>
      <c r="L63" s="224">
        <v>37267</v>
      </c>
      <c r="M63" s="218">
        <v>8036.783999999998</v>
      </c>
      <c r="N63" s="233"/>
    </row>
    <row r="64" spans="1:14" ht="12.75">
      <c r="A64" s="121" t="s">
        <v>434</v>
      </c>
      <c r="B64" s="121" t="s">
        <v>434</v>
      </c>
      <c r="C64" s="121" t="s">
        <v>549</v>
      </c>
      <c r="D64" s="222">
        <v>3.18</v>
      </c>
      <c r="E64" s="218">
        <v>294</v>
      </c>
      <c r="F64" s="222">
        <v>1.68</v>
      </c>
      <c r="G64" s="222">
        <v>4.24</v>
      </c>
      <c r="H64" s="121" t="b">
        <v>1</v>
      </c>
      <c r="I64" s="121">
        <v>1.18</v>
      </c>
      <c r="J64" s="223">
        <v>2.593220338983051</v>
      </c>
      <c r="K64" s="222">
        <v>4.36</v>
      </c>
      <c r="L64" s="224">
        <v>37134</v>
      </c>
      <c r="M64" s="218">
        <v>5435.001600000001</v>
      </c>
      <c r="N64" s="233"/>
    </row>
    <row r="65" spans="1:14" ht="12.75">
      <c r="A65" s="121" t="s">
        <v>416</v>
      </c>
      <c r="B65" s="121" t="s">
        <v>480</v>
      </c>
      <c r="C65" s="121" t="s">
        <v>485</v>
      </c>
      <c r="D65" s="222">
        <v>2.65</v>
      </c>
      <c r="E65" s="218">
        <v>259.0523690773067</v>
      </c>
      <c r="F65" s="222">
        <v>1.68</v>
      </c>
      <c r="G65" s="222">
        <v>4.01</v>
      </c>
      <c r="H65" s="121" t="b">
        <v>1</v>
      </c>
      <c r="I65" s="121">
        <v>1.18</v>
      </c>
      <c r="J65" s="223">
        <v>2.3983050847457625</v>
      </c>
      <c r="K65" s="222">
        <v>9.43</v>
      </c>
      <c r="L65" s="224">
        <v>37098</v>
      </c>
      <c r="M65" s="218">
        <v>9795.884</v>
      </c>
      <c r="N65" s="233"/>
    </row>
    <row r="66" spans="1:14" ht="12.75">
      <c r="A66" s="121" t="s">
        <v>416</v>
      </c>
      <c r="B66" s="121" t="s">
        <v>480</v>
      </c>
      <c r="C66" s="121" t="s">
        <v>486</v>
      </c>
      <c r="D66" s="222">
        <v>2.65</v>
      </c>
      <c r="E66" s="218">
        <v>259.0523690773067</v>
      </c>
      <c r="F66" s="222">
        <v>1.68</v>
      </c>
      <c r="G66" s="222">
        <v>4.01</v>
      </c>
      <c r="H66" s="121" t="b">
        <v>1</v>
      </c>
      <c r="I66" s="121">
        <v>1.18</v>
      </c>
      <c r="J66" s="223">
        <v>2.3983050847457625</v>
      </c>
      <c r="K66" s="222">
        <v>9.43</v>
      </c>
      <c r="L66" s="224">
        <v>37098</v>
      </c>
      <c r="M66" s="218">
        <v>9795.884</v>
      </c>
      <c r="N66" s="233"/>
    </row>
    <row r="67" spans="1:14" ht="12.75">
      <c r="A67" s="121" t="s">
        <v>416</v>
      </c>
      <c r="B67" s="121" t="s">
        <v>480</v>
      </c>
      <c r="C67" s="121" t="s">
        <v>487</v>
      </c>
      <c r="D67" s="222">
        <v>2.65</v>
      </c>
      <c r="E67" s="218">
        <v>259.0523690773067</v>
      </c>
      <c r="F67" s="222">
        <v>1.68</v>
      </c>
      <c r="G67" s="222">
        <v>4.01</v>
      </c>
      <c r="H67" s="121" t="b">
        <v>1</v>
      </c>
      <c r="I67" s="121">
        <v>1.18</v>
      </c>
      <c r="J67" s="223">
        <v>2.3983050847457625</v>
      </c>
      <c r="K67" s="222">
        <v>9.43</v>
      </c>
      <c r="L67" s="224">
        <v>37098</v>
      </c>
      <c r="M67" s="218">
        <v>9795.884</v>
      </c>
      <c r="N67" s="233"/>
    </row>
    <row r="68" spans="1:14" ht="12.75">
      <c r="A68" s="121" t="s">
        <v>416</v>
      </c>
      <c r="B68" s="121" t="s">
        <v>480</v>
      </c>
      <c r="C68" s="121" t="s">
        <v>495</v>
      </c>
      <c r="D68" s="222">
        <v>2.65</v>
      </c>
      <c r="E68" s="218">
        <v>259.0523690773067</v>
      </c>
      <c r="F68" s="222">
        <v>1.68</v>
      </c>
      <c r="G68" s="222">
        <v>4.01</v>
      </c>
      <c r="H68" s="121" t="b">
        <v>1</v>
      </c>
      <c r="I68" s="121">
        <v>1.18</v>
      </c>
      <c r="J68" s="223">
        <v>2.3983050847457625</v>
      </c>
      <c r="K68" s="222">
        <v>9.43</v>
      </c>
      <c r="L68" s="224">
        <v>37228</v>
      </c>
      <c r="M68" s="218">
        <v>9795.884</v>
      </c>
      <c r="N68" s="233"/>
    </row>
    <row r="69" spans="1:14" ht="12.75">
      <c r="A69" s="121" t="s">
        <v>416</v>
      </c>
      <c r="B69" s="121" t="s">
        <v>480</v>
      </c>
      <c r="C69" s="121" t="s">
        <v>488</v>
      </c>
      <c r="D69" s="222">
        <v>2.65</v>
      </c>
      <c r="E69" s="218">
        <v>259</v>
      </c>
      <c r="F69" s="222">
        <v>1.68</v>
      </c>
      <c r="G69" s="222">
        <v>4.010810810810811</v>
      </c>
      <c r="H69" s="121" t="b">
        <v>0</v>
      </c>
      <c r="I69" s="121">
        <v>1.18</v>
      </c>
      <c r="J69" s="223">
        <v>2.398992212551535</v>
      </c>
      <c r="K69" s="222">
        <v>9.43</v>
      </c>
      <c r="L69" s="224">
        <v>36600</v>
      </c>
      <c r="M69" s="218">
        <v>9795.884</v>
      </c>
      <c r="N69" s="233"/>
    </row>
    <row r="70" spans="1:14" ht="12.75">
      <c r="A70" s="121" t="s">
        <v>416</v>
      </c>
      <c r="B70" s="121" t="s">
        <v>480</v>
      </c>
      <c r="C70" s="121" t="s">
        <v>489</v>
      </c>
      <c r="D70" s="222">
        <v>2.65</v>
      </c>
      <c r="E70" s="218">
        <v>259</v>
      </c>
      <c r="F70" s="222">
        <v>1.68</v>
      </c>
      <c r="G70" s="222">
        <v>4.010810810810811</v>
      </c>
      <c r="H70" s="121" t="b">
        <v>1</v>
      </c>
      <c r="I70" s="121">
        <v>1.18</v>
      </c>
      <c r="J70" s="223">
        <v>2.398992212551535</v>
      </c>
      <c r="K70" s="222">
        <v>9.43</v>
      </c>
      <c r="L70" s="224">
        <v>36600</v>
      </c>
      <c r="M70" s="218">
        <v>9795.884</v>
      </c>
      <c r="N70" s="233"/>
    </row>
    <row r="71" spans="1:14" ht="12.75">
      <c r="A71" s="121" t="s">
        <v>416</v>
      </c>
      <c r="B71" s="121" t="s">
        <v>480</v>
      </c>
      <c r="C71" s="121" t="s">
        <v>490</v>
      </c>
      <c r="D71" s="222">
        <v>2.65</v>
      </c>
      <c r="E71" s="218">
        <v>259</v>
      </c>
      <c r="F71" s="222">
        <v>1.68</v>
      </c>
      <c r="G71" s="222">
        <v>4.010810810810811</v>
      </c>
      <c r="H71" s="121" t="b">
        <v>0</v>
      </c>
      <c r="I71" s="121">
        <v>1.18</v>
      </c>
      <c r="J71" s="223">
        <v>2.398992212551535</v>
      </c>
      <c r="K71" s="222">
        <v>9.43</v>
      </c>
      <c r="L71" s="224">
        <v>36600</v>
      </c>
      <c r="M71" s="218">
        <v>9795.884</v>
      </c>
      <c r="N71" s="233"/>
    </row>
    <row r="72" spans="1:14" ht="12.75">
      <c r="A72" s="121" t="s">
        <v>416</v>
      </c>
      <c r="B72" s="121" t="s">
        <v>480</v>
      </c>
      <c r="C72" s="121" t="s">
        <v>491</v>
      </c>
      <c r="D72" s="222">
        <v>2.65</v>
      </c>
      <c r="E72" s="218">
        <v>259</v>
      </c>
      <c r="F72" s="222">
        <v>1.68</v>
      </c>
      <c r="G72" s="222">
        <v>4.010810810810811</v>
      </c>
      <c r="H72" s="121" t="b">
        <v>0</v>
      </c>
      <c r="I72" s="121">
        <v>1.18</v>
      </c>
      <c r="J72" s="223">
        <v>2.398992212551535</v>
      </c>
      <c r="K72" s="222">
        <v>9.43</v>
      </c>
      <c r="L72" s="224">
        <v>36889</v>
      </c>
      <c r="M72" s="218">
        <v>9795.884</v>
      </c>
      <c r="N72" s="233"/>
    </row>
    <row r="73" spans="1:14" ht="12.75">
      <c r="A73" s="121" t="s">
        <v>416</v>
      </c>
      <c r="B73" s="121" t="s">
        <v>480</v>
      </c>
      <c r="C73" s="121" t="s">
        <v>494</v>
      </c>
      <c r="D73" s="222">
        <v>2.65</v>
      </c>
      <c r="E73" s="218">
        <v>259</v>
      </c>
      <c r="F73" s="222">
        <v>1.68</v>
      </c>
      <c r="G73" s="222">
        <v>4.010810810810811</v>
      </c>
      <c r="H73" s="121" t="b">
        <v>0</v>
      </c>
      <c r="I73" s="121">
        <v>1.18</v>
      </c>
      <c r="J73" s="223">
        <v>2.398992212551535</v>
      </c>
      <c r="K73" s="222">
        <v>9.43</v>
      </c>
      <c r="L73" s="224">
        <v>36600</v>
      </c>
      <c r="M73" s="218">
        <v>9795.884</v>
      </c>
      <c r="N73" s="233"/>
    </row>
    <row r="74" spans="1:14" ht="12.75">
      <c r="A74" s="121" t="s">
        <v>510</v>
      </c>
      <c r="B74" s="121" t="s">
        <v>480</v>
      </c>
      <c r="C74" s="121" t="s">
        <v>511</v>
      </c>
      <c r="D74" s="222">
        <v>2.65</v>
      </c>
      <c r="E74" s="218">
        <v>259</v>
      </c>
      <c r="F74" s="222">
        <v>1.68</v>
      </c>
      <c r="G74" s="222">
        <v>4.010810810810811</v>
      </c>
      <c r="H74" s="121" t="b">
        <v>1</v>
      </c>
      <c r="I74" s="121">
        <v>1.18</v>
      </c>
      <c r="J74" s="223">
        <v>2.398992212551535</v>
      </c>
      <c r="K74" s="222">
        <v>9.43</v>
      </c>
      <c r="L74" s="224">
        <v>36920</v>
      </c>
      <c r="M74" s="218">
        <v>9795.884</v>
      </c>
      <c r="N74" s="233"/>
    </row>
    <row r="75" spans="1:14" ht="12.75">
      <c r="A75" s="121" t="s">
        <v>421</v>
      </c>
      <c r="B75" s="121" t="s">
        <v>421</v>
      </c>
      <c r="C75" s="121" t="s">
        <v>534</v>
      </c>
      <c r="D75" s="222">
        <v>2.9</v>
      </c>
      <c r="E75" s="218">
        <v>314</v>
      </c>
      <c r="F75" s="222">
        <v>1.69</v>
      </c>
      <c r="G75" s="222">
        <v>3.620382165605095</v>
      </c>
      <c r="H75" s="121" t="b">
        <v>1</v>
      </c>
      <c r="I75" s="121">
        <v>1.18</v>
      </c>
      <c r="J75" s="223">
        <v>2.068120479326352</v>
      </c>
      <c r="K75" s="222">
        <v>8</v>
      </c>
      <c r="L75" s="224">
        <v>36217</v>
      </c>
      <c r="M75" s="218">
        <v>9094.4</v>
      </c>
      <c r="N75" s="233"/>
    </row>
    <row r="76" spans="1:14" ht="12.75">
      <c r="A76" s="121" t="s">
        <v>421</v>
      </c>
      <c r="B76" s="121" t="s">
        <v>421</v>
      </c>
      <c r="C76" s="121" t="s">
        <v>535</v>
      </c>
      <c r="D76" s="222">
        <v>2.9</v>
      </c>
      <c r="E76" s="218">
        <v>314</v>
      </c>
      <c r="F76" s="222">
        <v>1.69</v>
      </c>
      <c r="G76" s="222">
        <v>3.620382165605095</v>
      </c>
      <c r="H76" s="121" t="b">
        <v>1</v>
      </c>
      <c r="I76" s="121">
        <v>1.18</v>
      </c>
      <c r="J76" s="223">
        <v>2.068120479326352</v>
      </c>
      <c r="K76" s="222">
        <v>8</v>
      </c>
      <c r="L76" s="224">
        <v>36217</v>
      </c>
      <c r="M76" s="218">
        <v>9094.4</v>
      </c>
      <c r="N76" s="233"/>
    </row>
    <row r="77" spans="1:14" ht="12.75">
      <c r="A77" s="121" t="s">
        <v>434</v>
      </c>
      <c r="B77" s="121" t="s">
        <v>434</v>
      </c>
      <c r="C77" s="121" t="s">
        <v>548</v>
      </c>
      <c r="D77" s="222">
        <v>3.18</v>
      </c>
      <c r="E77" s="218">
        <v>282</v>
      </c>
      <c r="F77" s="222">
        <v>1.69</v>
      </c>
      <c r="G77" s="222">
        <v>4.420425531914894</v>
      </c>
      <c r="H77" s="121" t="b">
        <v>1</v>
      </c>
      <c r="I77" s="121">
        <v>1.18</v>
      </c>
      <c r="J77" s="223">
        <v>2.7461233321312664</v>
      </c>
      <c r="K77" s="222">
        <v>4.28</v>
      </c>
      <c r="L77" s="224">
        <v>37134</v>
      </c>
      <c r="M77" s="218">
        <v>5335.276800000001</v>
      </c>
      <c r="N77" s="233"/>
    </row>
    <row r="78" spans="1:14" ht="12.75">
      <c r="A78" s="121" t="s">
        <v>419</v>
      </c>
      <c r="B78" s="121" t="s">
        <v>434</v>
      </c>
      <c r="C78" s="121" t="s">
        <v>524</v>
      </c>
      <c r="D78" s="222">
        <v>3.18</v>
      </c>
      <c r="E78" s="218">
        <v>286</v>
      </c>
      <c r="F78" s="222">
        <v>1.7</v>
      </c>
      <c r="G78" s="222">
        <v>4.358601398601399</v>
      </c>
      <c r="H78" s="121" t="b">
        <v>1</v>
      </c>
      <c r="I78" s="121">
        <v>1.18</v>
      </c>
      <c r="J78" s="223">
        <v>2.6937299988147454</v>
      </c>
      <c r="K78" s="222">
        <v>4.43</v>
      </c>
      <c r="L78" s="224">
        <v>37056</v>
      </c>
      <c r="M78" s="218">
        <v>5522.2608</v>
      </c>
      <c r="N78" s="233"/>
    </row>
    <row r="79" spans="1:14" ht="12.75">
      <c r="A79" s="121" t="s">
        <v>419</v>
      </c>
      <c r="B79" s="121" t="s">
        <v>434</v>
      </c>
      <c r="C79" s="121" t="s">
        <v>525</v>
      </c>
      <c r="D79" s="222">
        <v>3.18</v>
      </c>
      <c r="E79" s="218">
        <v>286</v>
      </c>
      <c r="F79" s="222">
        <v>1.7</v>
      </c>
      <c r="G79" s="222">
        <v>4.358601398601399</v>
      </c>
      <c r="H79" s="121" t="b">
        <v>1</v>
      </c>
      <c r="I79" s="121">
        <v>1.18</v>
      </c>
      <c r="J79" s="223">
        <v>2.6937299988147454</v>
      </c>
      <c r="K79" s="222">
        <v>4.43</v>
      </c>
      <c r="L79" s="224">
        <v>37056</v>
      </c>
      <c r="M79" s="218">
        <v>5522.2608</v>
      </c>
      <c r="N79" s="233"/>
    </row>
    <row r="80" spans="1:14" ht="12.75">
      <c r="A80" s="121" t="s">
        <v>421</v>
      </c>
      <c r="B80" s="121" t="s">
        <v>421</v>
      </c>
      <c r="C80" s="121" t="s">
        <v>422</v>
      </c>
      <c r="D80" s="222">
        <v>2.9</v>
      </c>
      <c r="E80" s="218">
        <v>282</v>
      </c>
      <c r="F80" s="222">
        <v>1.72</v>
      </c>
      <c r="G80" s="222">
        <v>4.0312056737588655</v>
      </c>
      <c r="H80" s="121" t="b">
        <v>1</v>
      </c>
      <c r="I80" s="121">
        <v>1.18</v>
      </c>
      <c r="J80" s="223">
        <v>2.416275994710903</v>
      </c>
      <c r="K80" s="222">
        <v>8</v>
      </c>
      <c r="L80" s="224">
        <v>36217</v>
      </c>
      <c r="M80" s="218">
        <v>9094.4</v>
      </c>
      <c r="N80" s="233"/>
    </row>
    <row r="81" spans="1:14" ht="12.75">
      <c r="A81" s="121" t="s">
        <v>413</v>
      </c>
      <c r="B81" s="121" t="s">
        <v>473</v>
      </c>
      <c r="C81" s="121" t="s">
        <v>474</v>
      </c>
      <c r="D81" s="222">
        <v>1.9</v>
      </c>
      <c r="E81" s="218">
        <v>200</v>
      </c>
      <c r="F81" s="222">
        <v>1.73</v>
      </c>
      <c r="G81" s="222">
        <v>3.7239999999999998</v>
      </c>
      <c r="H81" s="121" t="b">
        <v>1</v>
      </c>
      <c r="I81" s="121">
        <v>1.18</v>
      </c>
      <c r="J81" s="223">
        <v>2.1559322033898303</v>
      </c>
      <c r="K81" s="222">
        <v>10.04</v>
      </c>
      <c r="L81" s="224">
        <v>36195</v>
      </c>
      <c r="M81" s="218">
        <v>7477.791999999999</v>
      </c>
      <c r="N81" s="233"/>
    </row>
    <row r="82" spans="1:14" ht="12.75">
      <c r="A82" s="121" t="s">
        <v>430</v>
      </c>
      <c r="B82" s="121" t="s">
        <v>473</v>
      </c>
      <c r="C82" s="121" t="s">
        <v>431</v>
      </c>
      <c r="D82" s="222">
        <v>1.9</v>
      </c>
      <c r="E82" s="218">
        <v>200</v>
      </c>
      <c r="F82" s="222">
        <v>1.73</v>
      </c>
      <c r="G82" s="222">
        <v>3.7239999999999998</v>
      </c>
      <c r="H82" s="121" t="b">
        <v>1</v>
      </c>
      <c r="I82" s="121">
        <v>1.18</v>
      </c>
      <c r="J82" s="223">
        <v>2.1559322033898303</v>
      </c>
      <c r="K82" s="222">
        <v>10.04</v>
      </c>
      <c r="L82" s="224">
        <v>36168</v>
      </c>
      <c r="M82" s="218">
        <v>7477.791999999999</v>
      </c>
      <c r="N82" s="233"/>
    </row>
    <row r="83" spans="1:14" ht="12.75">
      <c r="A83" s="121" t="s">
        <v>407</v>
      </c>
      <c r="B83" s="121" t="s">
        <v>407</v>
      </c>
      <c r="C83" s="121" t="s">
        <v>460</v>
      </c>
      <c r="D83" s="222">
        <v>1.96</v>
      </c>
      <c r="E83" s="218">
        <v>189</v>
      </c>
      <c r="F83" s="222">
        <v>1.736</v>
      </c>
      <c r="G83" s="222">
        <v>4.065185185185185</v>
      </c>
      <c r="H83" s="121" t="b">
        <v>1</v>
      </c>
      <c r="I83" s="121">
        <v>1.18</v>
      </c>
      <c r="J83" s="223">
        <v>2.4450721908349027</v>
      </c>
      <c r="K83" s="222">
        <v>7.482</v>
      </c>
      <c r="L83" s="224">
        <v>37285</v>
      </c>
      <c r="M83" s="218">
        <v>5748.57024</v>
      </c>
      <c r="N83" s="233"/>
    </row>
    <row r="84" spans="1:14" ht="12.75">
      <c r="A84" s="121" t="s">
        <v>412</v>
      </c>
      <c r="B84" s="121" t="s">
        <v>412</v>
      </c>
      <c r="C84" s="121" t="s">
        <v>468</v>
      </c>
      <c r="D84" s="222">
        <v>1.85</v>
      </c>
      <c r="E84" s="218">
        <v>194</v>
      </c>
      <c r="F84" s="222">
        <v>1.8</v>
      </c>
      <c r="G84" s="222">
        <v>3.7381443298969073</v>
      </c>
      <c r="H84" s="121" t="b">
        <v>1</v>
      </c>
      <c r="I84" s="121">
        <v>1.18</v>
      </c>
      <c r="J84" s="223">
        <v>2.167918923641447</v>
      </c>
      <c r="K84" s="222">
        <v>6.47</v>
      </c>
      <c r="L84" s="224">
        <v>37342</v>
      </c>
      <c r="M84" s="218">
        <v>4692.044</v>
      </c>
      <c r="N84" s="233"/>
    </row>
    <row r="85" spans="1:14" ht="12.75">
      <c r="A85" s="121" t="s">
        <v>407</v>
      </c>
      <c r="B85" s="121" t="s">
        <v>407</v>
      </c>
      <c r="C85" s="121" t="s">
        <v>461</v>
      </c>
      <c r="D85" s="222">
        <v>1.96</v>
      </c>
      <c r="E85" s="218">
        <v>189</v>
      </c>
      <c r="F85" s="222">
        <v>1.837</v>
      </c>
      <c r="G85" s="222">
        <v>4.065185185185185</v>
      </c>
      <c r="H85" s="121" t="b">
        <v>1</v>
      </c>
      <c r="I85" s="121">
        <v>1.18</v>
      </c>
      <c r="J85" s="223">
        <v>2.4450721908349027</v>
      </c>
      <c r="K85" s="222">
        <v>7.482</v>
      </c>
      <c r="L85" s="224">
        <v>37285</v>
      </c>
      <c r="M85" s="218">
        <v>5748.57024</v>
      </c>
      <c r="N85" s="233"/>
    </row>
    <row r="86" spans="1:14" ht="12.75">
      <c r="A86" s="121" t="s">
        <v>546</v>
      </c>
      <c r="B86" s="121" t="s">
        <v>539</v>
      </c>
      <c r="C86" s="121" t="s">
        <v>547</v>
      </c>
      <c r="D86" s="222">
        <v>2.01</v>
      </c>
      <c r="E86" s="218">
        <v>202.55012853470436</v>
      </c>
      <c r="F86" s="222">
        <v>1.85</v>
      </c>
      <c r="G86" s="222">
        <v>3.89</v>
      </c>
      <c r="H86" s="121" t="b">
        <v>1</v>
      </c>
      <c r="I86" s="121">
        <v>1.18</v>
      </c>
      <c r="J86" s="223">
        <v>2.2966101694915255</v>
      </c>
      <c r="K86" s="222">
        <v>5.7</v>
      </c>
      <c r="L86" s="224">
        <v>37398</v>
      </c>
      <c r="M86" s="218">
        <v>4491.143999999999</v>
      </c>
      <c r="N86" s="233"/>
    </row>
    <row r="87" spans="1:14" ht="12.75">
      <c r="A87" s="234" t="s">
        <v>419</v>
      </c>
      <c r="B87" s="234" t="s">
        <v>480</v>
      </c>
      <c r="C87" s="234" t="s">
        <v>518</v>
      </c>
      <c r="D87" s="235">
        <v>2.65</v>
      </c>
      <c r="E87" s="236">
        <v>233.96396396396392</v>
      </c>
      <c r="F87" s="235">
        <v>1.86</v>
      </c>
      <c r="G87" s="235">
        <v>4.44</v>
      </c>
      <c r="H87" s="234" t="b">
        <v>0</v>
      </c>
      <c r="I87" s="234">
        <v>1.18</v>
      </c>
      <c r="J87" s="237">
        <v>2.7627118644067803</v>
      </c>
      <c r="K87" s="235">
        <v>9.07</v>
      </c>
      <c r="L87" s="238">
        <v>36958</v>
      </c>
      <c r="M87" s="236">
        <v>9421.916</v>
      </c>
      <c r="N87" s="239">
        <v>650</v>
      </c>
    </row>
    <row r="88" spans="1:14" ht="12.75">
      <c r="A88" s="121" t="s">
        <v>419</v>
      </c>
      <c r="B88" s="121" t="s">
        <v>480</v>
      </c>
      <c r="C88" s="121" t="s">
        <v>516</v>
      </c>
      <c r="D88" s="222">
        <v>2.65</v>
      </c>
      <c r="E88" s="218">
        <v>234</v>
      </c>
      <c r="F88" s="222">
        <v>1.86</v>
      </c>
      <c r="G88" s="222">
        <v>4.4393162393162395</v>
      </c>
      <c r="H88" s="121" t="b">
        <v>0</v>
      </c>
      <c r="I88" s="121">
        <v>1.18</v>
      </c>
      <c r="J88" s="223">
        <v>2.762132406200203</v>
      </c>
      <c r="K88" s="222">
        <v>9.07</v>
      </c>
      <c r="L88" s="224">
        <v>36889</v>
      </c>
      <c r="M88" s="218">
        <v>9421.916</v>
      </c>
      <c r="N88" s="233"/>
    </row>
    <row r="89" spans="1:14" ht="12.75">
      <c r="A89" s="121" t="s">
        <v>419</v>
      </c>
      <c r="B89" s="121" t="s">
        <v>480</v>
      </c>
      <c r="C89" s="121" t="s">
        <v>517</v>
      </c>
      <c r="D89" s="222">
        <v>2.65</v>
      </c>
      <c r="E89" s="218">
        <v>234</v>
      </c>
      <c r="F89" s="222">
        <v>1.86</v>
      </c>
      <c r="G89" s="222">
        <v>4.4393162393162395</v>
      </c>
      <c r="H89" s="121" t="b">
        <v>0</v>
      </c>
      <c r="I89" s="121">
        <v>1.18</v>
      </c>
      <c r="J89" s="223">
        <v>2.762132406200203</v>
      </c>
      <c r="K89" s="222">
        <v>9.07</v>
      </c>
      <c r="L89" s="224">
        <v>36889</v>
      </c>
      <c r="M89" s="218">
        <v>9421.916</v>
      </c>
      <c r="N89" s="233"/>
    </row>
    <row r="90" spans="1:14" ht="12.75">
      <c r="A90" s="121" t="s">
        <v>419</v>
      </c>
      <c r="B90" s="121" t="s">
        <v>480</v>
      </c>
      <c r="C90" s="121" t="s">
        <v>519</v>
      </c>
      <c r="D90" s="222">
        <v>2.65</v>
      </c>
      <c r="E90" s="218">
        <v>196</v>
      </c>
      <c r="F90" s="222">
        <v>1.86</v>
      </c>
      <c r="G90" s="222">
        <v>5.3</v>
      </c>
      <c r="H90" s="121" t="b">
        <v>1</v>
      </c>
      <c r="I90" s="121">
        <v>1.18</v>
      </c>
      <c r="J90" s="223">
        <v>3.491525423728814</v>
      </c>
      <c r="K90" s="222">
        <v>7.15</v>
      </c>
      <c r="L90" s="224">
        <v>37161</v>
      </c>
      <c r="M90" s="218">
        <v>7427.42</v>
      </c>
      <c r="N90" s="233"/>
    </row>
    <row r="91" spans="1:14" ht="12.75">
      <c r="A91" s="121" t="s">
        <v>419</v>
      </c>
      <c r="B91" s="121" t="s">
        <v>480</v>
      </c>
      <c r="C91" s="121" t="s">
        <v>520</v>
      </c>
      <c r="D91" s="222">
        <v>2.65</v>
      </c>
      <c r="E91" s="218">
        <v>196</v>
      </c>
      <c r="F91" s="222">
        <v>1.86</v>
      </c>
      <c r="G91" s="222">
        <v>5.3</v>
      </c>
      <c r="H91" s="121" t="b">
        <v>1</v>
      </c>
      <c r="I91" s="121">
        <v>1.18</v>
      </c>
      <c r="J91" s="223">
        <v>3.491525423728814</v>
      </c>
      <c r="K91" s="222">
        <v>7.15</v>
      </c>
      <c r="L91" s="224">
        <v>37161</v>
      </c>
      <c r="M91" s="218">
        <v>7427.42</v>
      </c>
      <c r="N91" s="233"/>
    </row>
    <row r="92" spans="1:14" ht="12.75">
      <c r="A92" s="121" t="s">
        <v>419</v>
      </c>
      <c r="B92" s="121" t="s">
        <v>480</v>
      </c>
      <c r="C92" s="121" t="s">
        <v>521</v>
      </c>
      <c r="D92" s="222">
        <v>2.65</v>
      </c>
      <c r="E92" s="218">
        <v>196</v>
      </c>
      <c r="F92" s="222">
        <v>1.86</v>
      </c>
      <c r="G92" s="222">
        <v>5.3</v>
      </c>
      <c r="H92" s="121" t="b">
        <v>1</v>
      </c>
      <c r="I92" s="121">
        <v>1.18</v>
      </c>
      <c r="J92" s="223">
        <v>3.491525423728814</v>
      </c>
      <c r="K92" s="222">
        <v>7.15</v>
      </c>
      <c r="L92" s="224">
        <v>37161</v>
      </c>
      <c r="M92" s="218">
        <v>7427.42</v>
      </c>
      <c r="N92" s="233"/>
    </row>
    <row r="93" spans="1:14" ht="12.75">
      <c r="A93" s="121" t="s">
        <v>407</v>
      </c>
      <c r="B93" s="121" t="s">
        <v>407</v>
      </c>
      <c r="C93" s="121" t="s">
        <v>410</v>
      </c>
      <c r="D93" s="222">
        <v>1.9</v>
      </c>
      <c r="E93" s="218">
        <v>181</v>
      </c>
      <c r="F93" s="222">
        <v>1.88</v>
      </c>
      <c r="G93" s="222">
        <v>4.1149171270718226</v>
      </c>
      <c r="H93" s="121" t="b">
        <v>1</v>
      </c>
      <c r="I93" s="121">
        <v>1.18</v>
      </c>
      <c r="J93" s="223">
        <v>2.487217904298155</v>
      </c>
      <c r="K93" s="222">
        <v>9.1</v>
      </c>
      <c r="L93" s="224">
        <v>36410</v>
      </c>
      <c r="M93" s="218">
        <v>6777.68</v>
      </c>
      <c r="N93" s="233"/>
    </row>
    <row r="94" spans="1:14" ht="12.75">
      <c r="A94" s="121" t="s">
        <v>407</v>
      </c>
      <c r="B94" s="121" t="s">
        <v>407</v>
      </c>
      <c r="C94" s="121" t="s">
        <v>411</v>
      </c>
      <c r="D94" s="222">
        <v>1.9</v>
      </c>
      <c r="E94" s="218">
        <v>176</v>
      </c>
      <c r="F94" s="222">
        <v>1.92</v>
      </c>
      <c r="G94" s="222">
        <v>4.2318181818181815</v>
      </c>
      <c r="H94" s="121" t="b">
        <v>1</v>
      </c>
      <c r="I94" s="121">
        <v>1.18</v>
      </c>
      <c r="J94" s="223">
        <v>2.586286594761171</v>
      </c>
      <c r="K94" s="222">
        <v>9</v>
      </c>
      <c r="L94" s="224">
        <v>36410</v>
      </c>
      <c r="M94" s="218">
        <v>6703.2</v>
      </c>
      <c r="N94" s="233"/>
    </row>
    <row r="95" spans="1:14" ht="12.75">
      <c r="A95" s="121" t="s">
        <v>412</v>
      </c>
      <c r="B95" s="121" t="s">
        <v>412</v>
      </c>
      <c r="C95" s="121" t="s">
        <v>469</v>
      </c>
      <c r="D95" s="222">
        <v>1.85</v>
      </c>
      <c r="E95" s="218">
        <v>184</v>
      </c>
      <c r="F95" s="222">
        <v>2.08</v>
      </c>
      <c r="G95" s="222">
        <v>3.941304347826087</v>
      </c>
      <c r="H95" s="121" t="b">
        <v>1</v>
      </c>
      <c r="I95" s="121">
        <v>1.18</v>
      </c>
      <c r="J95" s="223">
        <v>2.340088430361091</v>
      </c>
      <c r="K95" s="222">
        <v>5.73</v>
      </c>
      <c r="L95" s="224">
        <v>37342</v>
      </c>
      <c r="M95" s="218">
        <v>4155.396000000001</v>
      </c>
      <c r="N95" s="233"/>
    </row>
    <row r="96" spans="1:14" ht="12.75">
      <c r="A96" s="121" t="s">
        <v>527</v>
      </c>
      <c r="B96" s="121" t="s">
        <v>527</v>
      </c>
      <c r="C96" s="121" t="s">
        <v>528</v>
      </c>
      <c r="D96" s="222">
        <v>1.96</v>
      </c>
      <c r="E96" s="218">
        <v>115</v>
      </c>
      <c r="F96" s="222">
        <v>2.1</v>
      </c>
      <c r="G96" s="222">
        <v>6.681043478260869</v>
      </c>
      <c r="H96" s="121" t="b">
        <v>1</v>
      </c>
      <c r="I96" s="121">
        <v>1.18</v>
      </c>
      <c r="J96" s="223">
        <v>4.661901252763449</v>
      </c>
      <c r="K96" s="222">
        <v>5.04</v>
      </c>
      <c r="L96" s="224">
        <v>37098</v>
      </c>
      <c r="M96" s="218">
        <v>3872.3327999999997</v>
      </c>
      <c r="N96" s="233"/>
    </row>
    <row r="97" spans="1:14" ht="12.75">
      <c r="A97" s="234" t="s">
        <v>414</v>
      </c>
      <c r="B97" s="234" t="s">
        <v>479</v>
      </c>
      <c r="C97" s="234" t="s">
        <v>415</v>
      </c>
      <c r="D97" s="235">
        <v>3</v>
      </c>
      <c r="E97" s="236">
        <v>298</v>
      </c>
      <c r="F97" s="235">
        <v>2.2</v>
      </c>
      <c r="G97" s="235">
        <v>3.946308724832215</v>
      </c>
      <c r="H97" s="234" t="b">
        <v>1</v>
      </c>
      <c r="I97" s="234">
        <v>1.18</v>
      </c>
      <c r="J97" s="237">
        <v>2.344329427823911</v>
      </c>
      <c r="K97" s="235">
        <v>8.9</v>
      </c>
      <c r="L97" s="238">
        <v>36504</v>
      </c>
      <c r="M97" s="236">
        <v>10466.4</v>
      </c>
      <c r="N97" s="239">
        <v>700</v>
      </c>
    </row>
    <row r="98" spans="3:13" ht="12.75">
      <c r="C98" s="185" t="s">
        <v>556</v>
      </c>
      <c r="D98" s="187">
        <f>AVERAGE(D3:D97)</f>
        <v>2.5031578947368445</v>
      </c>
      <c r="E98" s="187">
        <f>AVERAGE(E3:E97)</f>
        <v>300.2683961498943</v>
      </c>
      <c r="F98" s="187">
        <f>AVERAGE(F3:F97)</f>
        <v>1.5900210526315803</v>
      </c>
      <c r="G98" s="187">
        <f>AVERAGE(G3:G97)</f>
        <v>3.4740403885820186</v>
      </c>
      <c r="I98" s="187">
        <f>AVERAGE(I3:I97)</f>
        <v>1.1800000000000028</v>
      </c>
      <c r="J98" s="188">
        <f>AVERAGE(J3:J97)</f>
        <v>1.9441020242220493</v>
      </c>
      <c r="K98" s="187">
        <f>AVERAGE(K3:K97)</f>
        <v>8.360438202247186</v>
      </c>
      <c r="L98" s="189">
        <f>AVERAGE(L3:L97)</f>
        <v>36889.11578947368</v>
      </c>
      <c r="M98" s="187">
        <f>AVERAGE(M3:M97)</f>
        <v>8087.192821573039</v>
      </c>
    </row>
    <row r="99" ht="12.75">
      <c r="F99" s="187"/>
    </row>
    <row r="100" ht="12.75">
      <c r="F100" s="187"/>
    </row>
    <row r="101" ht="12.75">
      <c r="F101" s="187"/>
    </row>
    <row r="102" ht="12.75">
      <c r="F102" s="187"/>
    </row>
    <row r="103" ht="12.75">
      <c r="F103" s="187"/>
    </row>
    <row r="104" ht="12.75">
      <c r="F104" s="187"/>
    </row>
    <row r="105" ht="12.75">
      <c r="F105" s="187"/>
    </row>
    <row r="106" ht="12.75">
      <c r="F106" s="187"/>
    </row>
    <row r="107" ht="12.75">
      <c r="F107" s="187"/>
    </row>
    <row r="108" ht="12.75">
      <c r="F108" s="187"/>
    </row>
    <row r="109" ht="12.75">
      <c r="F109" s="187"/>
    </row>
    <row r="110" ht="12.75">
      <c r="F110" s="187"/>
    </row>
    <row r="111" ht="12.75">
      <c r="F111" s="187"/>
    </row>
    <row r="112" ht="12.75">
      <c r="F112" s="187"/>
    </row>
    <row r="113" ht="12.75">
      <c r="F113" s="187"/>
    </row>
    <row r="114" ht="12.75">
      <c r="F114" s="187"/>
    </row>
    <row r="115" ht="12.75">
      <c r="F115" s="187"/>
    </row>
    <row r="116" ht="12.75">
      <c r="F116" s="187"/>
    </row>
    <row r="117" ht="12.75">
      <c r="F117" s="187"/>
    </row>
    <row r="118" ht="12.75">
      <c r="F118" s="187"/>
    </row>
    <row r="119" ht="12.75">
      <c r="F119" s="187"/>
    </row>
    <row r="120" ht="12.75">
      <c r="F120" s="187"/>
    </row>
    <row r="121" ht="12.75">
      <c r="F121" s="187"/>
    </row>
    <row r="122" ht="12.75">
      <c r="F122" s="187"/>
    </row>
    <row r="123" ht="12.75">
      <c r="F123" s="187"/>
    </row>
    <row r="124" ht="12.75">
      <c r="F124" s="187"/>
    </row>
    <row r="125" ht="12.75">
      <c r="F125" s="187"/>
    </row>
    <row r="126" ht="12.75">
      <c r="F126" s="187"/>
    </row>
    <row r="127" ht="12.75">
      <c r="F127" s="187"/>
    </row>
    <row r="128" ht="12.75">
      <c r="F128" s="187"/>
    </row>
    <row r="129" ht="12.75">
      <c r="F129" s="187"/>
    </row>
    <row r="130" ht="12.75">
      <c r="F130" s="187"/>
    </row>
    <row r="131" ht="12.75">
      <c r="F131" s="187"/>
    </row>
    <row r="132" ht="12.75">
      <c r="F132" s="187"/>
    </row>
    <row r="133" ht="12.75">
      <c r="F133" s="187"/>
    </row>
    <row r="134" ht="12.75">
      <c r="F134" s="187"/>
    </row>
    <row r="135" ht="12.75">
      <c r="F135" s="187"/>
    </row>
    <row r="136" ht="12.75">
      <c r="F136" s="187"/>
    </row>
    <row r="137" ht="12.75">
      <c r="F137" s="187"/>
    </row>
    <row r="138" ht="12.75">
      <c r="F138" s="187"/>
    </row>
    <row r="139" ht="12.75">
      <c r="F139" s="187"/>
    </row>
    <row r="140" ht="12.75">
      <c r="F140" s="187"/>
    </row>
    <row r="141" ht="12.75">
      <c r="F141" s="187"/>
    </row>
    <row r="142" ht="12.75">
      <c r="F142" s="187"/>
    </row>
    <row r="143" ht="12.75">
      <c r="F143" s="187"/>
    </row>
    <row r="144" ht="12.75">
      <c r="F144" s="187"/>
    </row>
    <row r="145" ht="12.75">
      <c r="F145" s="187"/>
    </row>
    <row r="146" ht="12.75">
      <c r="F146" s="187"/>
    </row>
    <row r="147" ht="12.75">
      <c r="F147" s="187"/>
    </row>
    <row r="148" ht="12.75">
      <c r="F148" s="187"/>
    </row>
    <row r="149" ht="12.75">
      <c r="F149" s="187"/>
    </row>
    <row r="150" ht="12.75">
      <c r="F150" s="187"/>
    </row>
    <row r="151" ht="12.75">
      <c r="F151" s="187"/>
    </row>
    <row r="152" ht="12.75">
      <c r="F152" s="187"/>
    </row>
    <row r="153" ht="12.75">
      <c r="F153" s="187"/>
    </row>
    <row r="154" ht="12.75">
      <c r="F154" s="187"/>
    </row>
    <row r="155" ht="12.75">
      <c r="F155" s="187"/>
    </row>
    <row r="156" ht="12.75">
      <c r="F156" s="187"/>
    </row>
    <row r="157" ht="12.75">
      <c r="F157" s="187"/>
    </row>
    <row r="158" ht="12.75">
      <c r="F158" s="187"/>
    </row>
    <row r="159" ht="12.75">
      <c r="F159" s="187"/>
    </row>
    <row r="160" ht="12.75">
      <c r="F160" s="187"/>
    </row>
    <row r="161" ht="12.75">
      <c r="F161" s="187"/>
    </row>
    <row r="162" ht="12.75">
      <c r="F162" s="187"/>
    </row>
    <row r="163" ht="12.75">
      <c r="F163" s="187"/>
    </row>
    <row r="164" ht="12.75">
      <c r="F164" s="187"/>
    </row>
    <row r="165" ht="12.75">
      <c r="F165" s="187"/>
    </row>
    <row r="166" ht="12.75">
      <c r="F166" s="187"/>
    </row>
    <row r="167" ht="12.75">
      <c r="F167" s="187"/>
    </row>
    <row r="168" ht="12.75">
      <c r="F168" s="187"/>
    </row>
    <row r="169" ht="12.75">
      <c r="F169" s="187"/>
    </row>
    <row r="170" ht="12.75">
      <c r="F170" s="187"/>
    </row>
    <row r="171" ht="12.75">
      <c r="F171" s="187"/>
    </row>
    <row r="172" ht="12.75">
      <c r="F172" s="187"/>
    </row>
    <row r="173" ht="12.75">
      <c r="F173" s="187"/>
    </row>
    <row r="174" ht="12.75">
      <c r="F174" s="187"/>
    </row>
    <row r="175" ht="12.75">
      <c r="F175" s="187"/>
    </row>
    <row r="176" ht="12.75">
      <c r="F176" s="187"/>
    </row>
    <row r="177" ht="12.75">
      <c r="F177" s="187"/>
    </row>
    <row r="178" ht="12.75">
      <c r="F178" s="187"/>
    </row>
    <row r="179" ht="12.75">
      <c r="F179" s="187"/>
    </row>
    <row r="180" ht="12.75">
      <c r="F180" s="187"/>
    </row>
    <row r="181" ht="12.75">
      <c r="F181" s="187"/>
    </row>
    <row r="182" ht="12.75">
      <c r="F182" s="187"/>
    </row>
    <row r="183" ht="12.75">
      <c r="F183" s="187"/>
    </row>
    <row r="184" ht="12.75">
      <c r="F184" s="187"/>
    </row>
    <row r="185" ht="12.75">
      <c r="F185" s="187"/>
    </row>
    <row r="186" ht="12.75">
      <c r="F186" s="187"/>
    </row>
    <row r="187" ht="12.75">
      <c r="F187" s="187"/>
    </row>
    <row r="188" ht="12.75">
      <c r="F188" s="187"/>
    </row>
    <row r="189" ht="12.75">
      <c r="F189" s="187"/>
    </row>
    <row r="190" ht="12.75">
      <c r="F190" s="187"/>
    </row>
    <row r="191" ht="12.75">
      <c r="F191" s="187"/>
    </row>
    <row r="192" ht="12.75">
      <c r="F192" s="187"/>
    </row>
    <row r="193" ht="12.75">
      <c r="F193" s="187"/>
    </row>
    <row r="194" ht="12.75">
      <c r="F194" s="187"/>
    </row>
    <row r="195" ht="12.75">
      <c r="F195" s="187"/>
    </row>
    <row r="196" ht="12.75">
      <c r="F196" s="187"/>
    </row>
    <row r="197" ht="12.75">
      <c r="F197" s="187"/>
    </row>
    <row r="198" ht="12.75">
      <c r="F198" s="187"/>
    </row>
    <row r="199" ht="12.75">
      <c r="F199" s="187"/>
    </row>
    <row r="200" ht="12.75">
      <c r="F200" s="187"/>
    </row>
    <row r="201" ht="12.75">
      <c r="F201" s="187"/>
    </row>
    <row r="202" ht="12.75">
      <c r="F202" s="187"/>
    </row>
    <row r="203" ht="12.75">
      <c r="F203" s="187"/>
    </row>
    <row r="204" ht="12.75">
      <c r="F204" s="187"/>
    </row>
    <row r="205" ht="12.75">
      <c r="F205" s="187"/>
    </row>
    <row r="206" ht="12.75">
      <c r="F206" s="187"/>
    </row>
    <row r="207" ht="12.75">
      <c r="F207" s="187"/>
    </row>
    <row r="208" ht="12.75">
      <c r="F208" s="187"/>
    </row>
    <row r="209" ht="12.75">
      <c r="F209" s="187"/>
    </row>
    <row r="210" ht="12.75">
      <c r="F210" s="187"/>
    </row>
    <row r="211" ht="12.75">
      <c r="F211" s="187"/>
    </row>
    <row r="212" ht="12.75">
      <c r="F212" s="187"/>
    </row>
    <row r="213" ht="12.75">
      <c r="F213" s="187"/>
    </row>
    <row r="214" ht="12.75">
      <c r="F214" s="187"/>
    </row>
    <row r="215" ht="12.75">
      <c r="F215" s="187"/>
    </row>
    <row r="216" ht="12.75">
      <c r="F216" s="187"/>
    </row>
    <row r="217" ht="12.75">
      <c r="F217" s="187"/>
    </row>
    <row r="218" ht="12.75">
      <c r="F218" s="187"/>
    </row>
    <row r="219" ht="12.75">
      <c r="F219" s="187"/>
    </row>
    <row r="220" ht="12.75">
      <c r="F220" s="187"/>
    </row>
    <row r="221" ht="12.75">
      <c r="F221" s="187"/>
    </row>
    <row r="222" ht="12.75">
      <c r="F222" s="187"/>
    </row>
    <row r="223" ht="12.75">
      <c r="F223" s="187"/>
    </row>
    <row r="224" ht="12.75">
      <c r="F224" s="187"/>
    </row>
    <row r="225" ht="12.75">
      <c r="F225" s="187"/>
    </row>
    <row r="226" ht="12.75">
      <c r="F226" s="187"/>
    </row>
    <row r="227" ht="12.75">
      <c r="F227" s="187"/>
    </row>
    <row r="228" ht="12.75">
      <c r="F228" s="187"/>
    </row>
    <row r="229" ht="12.75">
      <c r="F229" s="187"/>
    </row>
    <row r="230" ht="12.75">
      <c r="F230" s="187"/>
    </row>
    <row r="231" ht="12.75">
      <c r="F231" s="187"/>
    </row>
    <row r="232" ht="12.75">
      <c r="F232" s="187"/>
    </row>
    <row r="233" ht="12.75">
      <c r="F233" s="187"/>
    </row>
    <row r="234" ht="12.75">
      <c r="F234" s="187"/>
    </row>
    <row r="235" ht="12.75">
      <c r="F235" s="187"/>
    </row>
    <row r="236" ht="12.75">
      <c r="F236" s="187"/>
    </row>
    <row r="237" ht="12.75">
      <c r="F237" s="187"/>
    </row>
    <row r="238" ht="12.75">
      <c r="F238" s="187"/>
    </row>
    <row r="239" ht="12.75">
      <c r="F239" s="187"/>
    </row>
    <row r="240" ht="12.75">
      <c r="F240" s="187"/>
    </row>
    <row r="241" ht="12.75">
      <c r="F241" s="187"/>
    </row>
    <row r="242" ht="12.75">
      <c r="F242" s="187"/>
    </row>
    <row r="243" ht="12.75">
      <c r="F243" s="187"/>
    </row>
    <row r="244" ht="12.75">
      <c r="F244" s="187"/>
    </row>
    <row r="245" ht="12.75">
      <c r="F245" s="187"/>
    </row>
    <row r="246" ht="12.75">
      <c r="F246" s="187"/>
    </row>
    <row r="247" ht="12.75">
      <c r="F247" s="187"/>
    </row>
    <row r="248" ht="12.75">
      <c r="F248" s="187"/>
    </row>
    <row r="249" ht="12.75">
      <c r="F249" s="187"/>
    </row>
    <row r="250" ht="12.75">
      <c r="F250" s="187"/>
    </row>
    <row r="251" ht="12.75">
      <c r="F251" s="187"/>
    </row>
    <row r="252" ht="12.75">
      <c r="F252" s="187"/>
    </row>
    <row r="253" ht="12.75">
      <c r="F253" s="187"/>
    </row>
    <row r="254" ht="12.75">
      <c r="F254" s="187"/>
    </row>
    <row r="255" ht="12.75">
      <c r="F255" s="187"/>
    </row>
    <row r="256" ht="12.75">
      <c r="F256" s="187"/>
    </row>
    <row r="257" ht="12.75">
      <c r="F257" s="187"/>
    </row>
    <row r="258" ht="12.75">
      <c r="F258" s="187"/>
    </row>
    <row r="259" ht="12.75">
      <c r="F259" s="187"/>
    </row>
    <row r="260" ht="12.75">
      <c r="F260" s="187"/>
    </row>
    <row r="261" ht="12.75">
      <c r="F261" s="187"/>
    </row>
    <row r="262" ht="12.75">
      <c r="F262" s="187"/>
    </row>
    <row r="263" ht="12.75">
      <c r="F263" s="187"/>
    </row>
    <row r="264" ht="12.75">
      <c r="F264" s="187"/>
    </row>
    <row r="265" ht="12.75">
      <c r="F265" s="187"/>
    </row>
    <row r="266" ht="12.75">
      <c r="F266" s="187"/>
    </row>
    <row r="267" ht="12.75">
      <c r="F267" s="187"/>
    </row>
    <row r="268" ht="12.75">
      <c r="F268" s="187"/>
    </row>
    <row r="269" ht="12.75">
      <c r="F269" s="187"/>
    </row>
    <row r="270" ht="12.75">
      <c r="F270" s="187"/>
    </row>
    <row r="271" ht="12.75">
      <c r="F271" s="187"/>
    </row>
    <row r="272" ht="12.75">
      <c r="F272" s="187"/>
    </row>
    <row r="273" ht="12.75">
      <c r="F273" s="187"/>
    </row>
    <row r="274" ht="12.75">
      <c r="F274" s="187"/>
    </row>
    <row r="275" ht="12.75">
      <c r="F275" s="187"/>
    </row>
    <row r="276" ht="12.75">
      <c r="F276" s="187"/>
    </row>
    <row r="277" ht="12.75">
      <c r="F277" s="187"/>
    </row>
    <row r="278" ht="12.75">
      <c r="F278" s="187"/>
    </row>
    <row r="279" ht="12.75">
      <c r="F279" s="187"/>
    </row>
    <row r="280" ht="12.75">
      <c r="F280" s="187"/>
    </row>
    <row r="281" ht="12.75">
      <c r="F281" s="187"/>
    </row>
    <row r="282" ht="12.75">
      <c r="F282" s="187"/>
    </row>
    <row r="283" ht="12.75">
      <c r="F283" s="187"/>
    </row>
    <row r="284" ht="12.75">
      <c r="F284" s="187"/>
    </row>
    <row r="285" ht="12.75">
      <c r="F285" s="187"/>
    </row>
    <row r="286" ht="12.75">
      <c r="F286" s="187"/>
    </row>
    <row r="287" ht="12.75">
      <c r="F287" s="187"/>
    </row>
    <row r="288" ht="12.75">
      <c r="F288" s="187"/>
    </row>
    <row r="289" ht="12.75">
      <c r="F289" s="187"/>
    </row>
    <row r="290" ht="12.75">
      <c r="F290" s="187"/>
    </row>
    <row r="291" ht="12.75">
      <c r="F291" s="187"/>
    </row>
    <row r="292" ht="12.75">
      <c r="F292" s="187"/>
    </row>
    <row r="293" ht="12.75">
      <c r="F293" s="187"/>
    </row>
    <row r="294" ht="12.75">
      <c r="F294" s="187"/>
    </row>
    <row r="295" ht="12.75">
      <c r="F295" s="187"/>
    </row>
    <row r="296" ht="12.75">
      <c r="F296" s="187"/>
    </row>
    <row r="297" ht="12.75">
      <c r="F297" s="187"/>
    </row>
    <row r="298" ht="12.75">
      <c r="F298" s="187"/>
    </row>
    <row r="299" ht="12.75">
      <c r="F299" s="187"/>
    </row>
    <row r="300" ht="12.75">
      <c r="F300" s="187"/>
    </row>
    <row r="301" ht="12.75">
      <c r="F301" s="187"/>
    </row>
    <row r="302" ht="12.75">
      <c r="F302" s="187"/>
    </row>
    <row r="303" ht="12.75">
      <c r="F303" s="187"/>
    </row>
    <row r="304" ht="12.75">
      <c r="F304" s="187"/>
    </row>
    <row r="305" ht="12.75">
      <c r="F305" s="187"/>
    </row>
    <row r="306" ht="12.75">
      <c r="F306" s="187"/>
    </row>
    <row r="307" ht="12.75">
      <c r="F307" s="187"/>
    </row>
    <row r="308" ht="12.75">
      <c r="F308" s="187"/>
    </row>
    <row r="309" ht="12.75">
      <c r="F309" s="187"/>
    </row>
    <row r="310" ht="12.75">
      <c r="F310" s="187"/>
    </row>
    <row r="311" ht="12.75">
      <c r="F311" s="187"/>
    </row>
    <row r="312" ht="12.75">
      <c r="F312" s="187"/>
    </row>
    <row r="313" ht="12.75">
      <c r="F313" s="187"/>
    </row>
    <row r="314" ht="12.75">
      <c r="F314" s="187"/>
    </row>
    <row r="315" ht="12.75">
      <c r="F315" s="187"/>
    </row>
    <row r="316" ht="12.75">
      <c r="F316" s="187"/>
    </row>
    <row r="317" ht="12.75">
      <c r="F317" s="187"/>
    </row>
    <row r="318" ht="12.75">
      <c r="F318" s="187"/>
    </row>
    <row r="319" ht="12.75">
      <c r="F319" s="187"/>
    </row>
    <row r="320" ht="12.75">
      <c r="F320" s="187"/>
    </row>
    <row r="321" ht="12.75">
      <c r="F321" s="187"/>
    </row>
    <row r="322" ht="12.75">
      <c r="F322" s="187"/>
    </row>
    <row r="323" ht="12.75">
      <c r="F323" s="187"/>
    </row>
    <row r="324" ht="12.75">
      <c r="F324" s="187"/>
    </row>
    <row r="325" ht="12.75">
      <c r="F325" s="187"/>
    </row>
    <row r="326" ht="12.75">
      <c r="F326" s="187"/>
    </row>
    <row r="327" ht="12.75">
      <c r="F327" s="187"/>
    </row>
    <row r="328" ht="12.75">
      <c r="F328" s="187"/>
    </row>
    <row r="329" ht="12.75">
      <c r="F329" s="187"/>
    </row>
    <row r="330" ht="12.75">
      <c r="F330" s="187"/>
    </row>
    <row r="331" ht="12.75">
      <c r="F331" s="187"/>
    </row>
    <row r="332" ht="12.75">
      <c r="F332" s="187"/>
    </row>
    <row r="333" ht="12.75">
      <c r="F333" s="187"/>
    </row>
    <row r="334" ht="12.75">
      <c r="F334" s="187"/>
    </row>
    <row r="335" ht="12.75">
      <c r="F335" s="187"/>
    </row>
    <row r="336" ht="12.75">
      <c r="F336" s="187"/>
    </row>
    <row r="337" ht="12.75">
      <c r="F337" s="187"/>
    </row>
    <row r="338" ht="12.75">
      <c r="F338" s="187"/>
    </row>
    <row r="339" ht="12.75">
      <c r="F339" s="187"/>
    </row>
    <row r="340" ht="12.75">
      <c r="F340" s="187"/>
    </row>
    <row r="341" ht="12.75">
      <c r="F341" s="187"/>
    </row>
    <row r="342" ht="12.75">
      <c r="F342" s="187"/>
    </row>
    <row r="343" ht="12.75">
      <c r="F343" s="187"/>
    </row>
    <row r="344" ht="12.75">
      <c r="F344" s="187"/>
    </row>
    <row r="345" ht="12.75">
      <c r="F345" s="187"/>
    </row>
    <row r="346" ht="12.75">
      <c r="F346" s="187"/>
    </row>
    <row r="347" ht="12.75">
      <c r="F347" s="187"/>
    </row>
    <row r="348" ht="12.75">
      <c r="F348" s="187"/>
    </row>
    <row r="349" ht="12.75">
      <c r="F349" s="187"/>
    </row>
    <row r="350" ht="12.75">
      <c r="F350" s="187"/>
    </row>
    <row r="351" ht="12.75">
      <c r="F351" s="187"/>
    </row>
    <row r="352" ht="12.75">
      <c r="F352" s="187"/>
    </row>
    <row r="353" ht="12.75">
      <c r="F353" s="187"/>
    </row>
    <row r="354" ht="12.75">
      <c r="F354" s="187"/>
    </row>
    <row r="355" ht="12.75">
      <c r="F355" s="187"/>
    </row>
    <row r="356" ht="12.75">
      <c r="F356" s="187"/>
    </row>
    <row r="357" ht="12.75">
      <c r="F357" s="187"/>
    </row>
    <row r="358" ht="12.75">
      <c r="F358" s="187"/>
    </row>
    <row r="359" ht="12.75">
      <c r="F359" s="187"/>
    </row>
    <row r="360" ht="12.75">
      <c r="F360" s="187"/>
    </row>
    <row r="361" ht="12.75">
      <c r="F361" s="187"/>
    </row>
    <row r="362" ht="12.75">
      <c r="F362" s="187"/>
    </row>
    <row r="363" ht="12.75">
      <c r="F363" s="187"/>
    </row>
    <row r="364" ht="12.75">
      <c r="F364" s="187"/>
    </row>
    <row r="365" ht="12.75">
      <c r="F365" s="187"/>
    </row>
    <row r="366" ht="12.75">
      <c r="F366" s="187"/>
    </row>
    <row r="367" ht="12.75">
      <c r="F367" s="187"/>
    </row>
    <row r="368" ht="12.75">
      <c r="F368" s="187"/>
    </row>
    <row r="369" ht="12.75">
      <c r="F369" s="187"/>
    </row>
    <row r="370" ht="12.75">
      <c r="F370" s="187"/>
    </row>
    <row r="371" ht="12.75">
      <c r="F371" s="187"/>
    </row>
    <row r="372" ht="12.75">
      <c r="F372" s="187"/>
    </row>
    <row r="373" ht="12.75">
      <c r="F373" s="187"/>
    </row>
    <row r="374" ht="12.75">
      <c r="F374" s="187"/>
    </row>
    <row r="375" ht="12.75">
      <c r="F375" s="187"/>
    </row>
    <row r="376" ht="12.75">
      <c r="F376" s="187"/>
    </row>
    <row r="377" ht="12.75">
      <c r="F377" s="187"/>
    </row>
    <row r="378" ht="12.75">
      <c r="F378" s="187"/>
    </row>
    <row r="379" ht="12.75">
      <c r="F379" s="187"/>
    </row>
    <row r="380" ht="12.75">
      <c r="F380" s="187"/>
    </row>
    <row r="381" ht="12.75">
      <c r="F381" s="187"/>
    </row>
    <row r="382" ht="12.75">
      <c r="F382" s="187"/>
    </row>
    <row r="383" ht="12.75">
      <c r="F383" s="187"/>
    </row>
    <row r="384" ht="12.75">
      <c r="F384" s="187"/>
    </row>
    <row r="385" ht="12.75">
      <c r="F385" s="187"/>
    </row>
    <row r="386" ht="12.75">
      <c r="F386" s="187"/>
    </row>
    <row r="387" ht="12.75">
      <c r="F387" s="187"/>
    </row>
    <row r="388" ht="12.75">
      <c r="F388" s="187"/>
    </row>
    <row r="389" ht="12.75">
      <c r="F389" s="187"/>
    </row>
    <row r="390" ht="12.75">
      <c r="F390" s="187"/>
    </row>
    <row r="391" ht="12.75">
      <c r="F391" s="187"/>
    </row>
    <row r="392" ht="12.75">
      <c r="F392" s="187"/>
    </row>
    <row r="393" ht="12.75">
      <c r="F393" s="187"/>
    </row>
    <row r="394" ht="12.75">
      <c r="F394" s="187"/>
    </row>
    <row r="395" ht="12.75">
      <c r="F395" s="187"/>
    </row>
    <row r="396" ht="12.75">
      <c r="F396" s="187"/>
    </row>
    <row r="397" ht="12.75">
      <c r="F397" s="187"/>
    </row>
    <row r="398" ht="12.75">
      <c r="F398" s="187"/>
    </row>
    <row r="399" ht="12.75">
      <c r="F399" s="187"/>
    </row>
    <row r="400" ht="12.75">
      <c r="F400" s="187"/>
    </row>
    <row r="401" ht="12.75">
      <c r="F401" s="187"/>
    </row>
    <row r="402" ht="12.75">
      <c r="F402" s="187"/>
    </row>
    <row r="403" ht="12.75">
      <c r="F403" s="187"/>
    </row>
    <row r="404" ht="12.75">
      <c r="F404" s="187"/>
    </row>
    <row r="405" ht="12.75">
      <c r="F405" s="187"/>
    </row>
    <row r="406" ht="12.75">
      <c r="F406" s="187"/>
    </row>
    <row r="407" ht="12.75">
      <c r="F407" s="187"/>
    </row>
    <row r="408" ht="12.75">
      <c r="F408" s="187"/>
    </row>
    <row r="409" ht="12.75">
      <c r="F409" s="187"/>
    </row>
    <row r="410" ht="12.75">
      <c r="F410" s="187"/>
    </row>
    <row r="411" ht="12.75">
      <c r="F411" s="187"/>
    </row>
    <row r="412" ht="12.75">
      <c r="F412" s="187"/>
    </row>
    <row r="413" ht="12.75">
      <c r="F413" s="187"/>
    </row>
    <row r="414" ht="12.75">
      <c r="F414" s="187"/>
    </row>
    <row r="415" ht="12.75">
      <c r="F415" s="187"/>
    </row>
    <row r="416" ht="12.75">
      <c r="F416" s="187"/>
    </row>
    <row r="417" ht="12.75">
      <c r="F417" s="187"/>
    </row>
    <row r="418" ht="12.75">
      <c r="F418" s="187"/>
    </row>
    <row r="419" ht="12.75">
      <c r="F419" s="187"/>
    </row>
    <row r="420" ht="12.75">
      <c r="F420" s="187"/>
    </row>
    <row r="421" ht="12.75">
      <c r="F421" s="187"/>
    </row>
    <row r="422" ht="12.75">
      <c r="F422" s="187"/>
    </row>
    <row r="423" ht="12.75">
      <c r="F423" s="187"/>
    </row>
    <row r="424" ht="12.75">
      <c r="F424" s="187"/>
    </row>
    <row r="425" ht="12.75">
      <c r="F425" s="187"/>
    </row>
    <row r="426" ht="12.75">
      <c r="F426" s="187"/>
    </row>
    <row r="427" ht="12.75">
      <c r="F427" s="187"/>
    </row>
    <row r="428" ht="12.75">
      <c r="F428" s="187"/>
    </row>
    <row r="429" ht="12.75">
      <c r="F429" s="187"/>
    </row>
    <row r="430" ht="12.75">
      <c r="F430" s="187"/>
    </row>
    <row r="431" ht="12.75">
      <c r="F431" s="187"/>
    </row>
    <row r="432" ht="12.75">
      <c r="F432" s="187"/>
    </row>
    <row r="433" ht="12.75">
      <c r="F433" s="187"/>
    </row>
    <row r="434" ht="12.75">
      <c r="F434" s="187"/>
    </row>
    <row r="435" ht="12.75">
      <c r="F435" s="187"/>
    </row>
    <row r="436" ht="12.75">
      <c r="F436" s="187"/>
    </row>
    <row r="437" ht="12.75">
      <c r="F437" s="187"/>
    </row>
    <row r="438" ht="12.75">
      <c r="F438" s="187"/>
    </row>
    <row r="439" ht="12.75">
      <c r="F439" s="187"/>
    </row>
    <row r="440" ht="12.75">
      <c r="F440" s="187"/>
    </row>
    <row r="441" ht="12.75">
      <c r="F441" s="187"/>
    </row>
    <row r="442" ht="12.75">
      <c r="F442" s="187"/>
    </row>
    <row r="443" ht="12.75">
      <c r="F443" s="187"/>
    </row>
    <row r="444" ht="12.75">
      <c r="F444" s="187"/>
    </row>
    <row r="445" ht="12.75">
      <c r="F445" s="187"/>
    </row>
    <row r="446" ht="12.75">
      <c r="F446" s="187"/>
    </row>
    <row r="447" ht="12.75">
      <c r="F447" s="187"/>
    </row>
    <row r="448" ht="12.75">
      <c r="F448" s="187"/>
    </row>
    <row r="449" ht="12.75">
      <c r="F449" s="187"/>
    </row>
    <row r="450" ht="12.75">
      <c r="F450" s="187"/>
    </row>
    <row r="451" ht="12.75">
      <c r="F451" s="187"/>
    </row>
    <row r="452" ht="12.75">
      <c r="F452" s="187"/>
    </row>
    <row r="453" ht="12.75">
      <c r="F453" s="187"/>
    </row>
    <row r="454" ht="12.75">
      <c r="F454" s="187"/>
    </row>
    <row r="455" ht="12.75">
      <c r="F455" s="187"/>
    </row>
    <row r="456" ht="12.75">
      <c r="F456" s="187"/>
    </row>
    <row r="457" ht="12.75">
      <c r="F457" s="187"/>
    </row>
    <row r="458" ht="12.75">
      <c r="F458" s="187"/>
    </row>
    <row r="459" ht="12.75">
      <c r="F459" s="187"/>
    </row>
    <row r="460" ht="12.75">
      <c r="F460" s="187"/>
    </row>
    <row r="461" ht="12.75">
      <c r="F461" s="187"/>
    </row>
    <row r="462" ht="12.75">
      <c r="F462" s="187"/>
    </row>
    <row r="463" ht="12.75">
      <c r="F463" s="187"/>
    </row>
    <row r="464" ht="12.75">
      <c r="F464" s="187"/>
    </row>
    <row r="465" ht="12.75">
      <c r="F465" s="187"/>
    </row>
    <row r="466" ht="12.75">
      <c r="F466" s="187"/>
    </row>
    <row r="467" ht="12.75">
      <c r="F467" s="187"/>
    </row>
    <row r="468" ht="12.75">
      <c r="F468" s="187"/>
    </row>
    <row r="469" ht="12.75">
      <c r="F469" s="187"/>
    </row>
    <row r="470" ht="12.75">
      <c r="F470" s="187"/>
    </row>
    <row r="471" ht="12.75">
      <c r="F471" s="187"/>
    </row>
    <row r="472" ht="12.75">
      <c r="F472" s="187"/>
    </row>
    <row r="473" ht="12.75">
      <c r="F473" s="187"/>
    </row>
    <row r="474" ht="12.75">
      <c r="F474" s="187"/>
    </row>
    <row r="475" ht="12.75">
      <c r="F475" s="187"/>
    </row>
    <row r="476" ht="12.75">
      <c r="F476" s="187"/>
    </row>
    <row r="477" ht="12.75">
      <c r="F477" s="187"/>
    </row>
    <row r="478" ht="12.75">
      <c r="F478" s="187"/>
    </row>
    <row r="479" ht="12.75">
      <c r="F479" s="187"/>
    </row>
    <row r="480" ht="12.75">
      <c r="F480" s="187"/>
    </row>
    <row r="481" ht="12.75">
      <c r="F481" s="187"/>
    </row>
    <row r="482" ht="12.75">
      <c r="F482" s="187"/>
    </row>
    <row r="483" ht="12.75">
      <c r="F483" s="187"/>
    </row>
    <row r="484" ht="12.75">
      <c r="F484" s="187"/>
    </row>
    <row r="485" ht="12.75">
      <c r="F485" s="187"/>
    </row>
    <row r="486" ht="12.75">
      <c r="F486" s="187"/>
    </row>
    <row r="487" ht="12.75">
      <c r="F487" s="187"/>
    </row>
    <row r="488" ht="12.75">
      <c r="F488" s="187"/>
    </row>
    <row r="489" ht="12.75">
      <c r="F489" s="187"/>
    </row>
    <row r="490" ht="12.75">
      <c r="F490" s="187"/>
    </row>
    <row r="491" ht="12.75">
      <c r="F491" s="187"/>
    </row>
    <row r="492" ht="12.75">
      <c r="F492" s="187"/>
    </row>
    <row r="493" ht="12.75">
      <c r="F493" s="187"/>
    </row>
    <row r="494" ht="12.75">
      <c r="F494" s="187"/>
    </row>
    <row r="495" ht="12.75">
      <c r="F495" s="187"/>
    </row>
    <row r="496" ht="12.75">
      <c r="F496" s="187"/>
    </row>
    <row r="497" ht="12.75">
      <c r="F497" s="187"/>
    </row>
    <row r="498" ht="12.75">
      <c r="F498" s="187"/>
    </row>
    <row r="499" ht="12.75">
      <c r="F499" s="187"/>
    </row>
    <row r="500" ht="12.75">
      <c r="F500" s="187"/>
    </row>
    <row r="501" ht="12.75">
      <c r="F501" s="187"/>
    </row>
    <row r="502" ht="12.75">
      <c r="F502" s="187"/>
    </row>
    <row r="503" ht="12.75">
      <c r="F503" s="187"/>
    </row>
    <row r="504" ht="12.75">
      <c r="F504" s="187"/>
    </row>
    <row r="505" ht="12.75">
      <c r="F505" s="187"/>
    </row>
    <row r="506" ht="12.75">
      <c r="F506" s="187"/>
    </row>
    <row r="507" ht="12.75">
      <c r="F507" s="187"/>
    </row>
    <row r="508" ht="12.75">
      <c r="F508" s="187"/>
    </row>
    <row r="509" ht="12.75">
      <c r="F509" s="187"/>
    </row>
    <row r="510" ht="12.75">
      <c r="F510" s="187"/>
    </row>
    <row r="511" ht="12.75">
      <c r="F511" s="187"/>
    </row>
    <row r="512" ht="12.75">
      <c r="F512" s="187"/>
    </row>
    <row r="513" ht="12.75">
      <c r="F513" s="187"/>
    </row>
    <row r="514" ht="12.75">
      <c r="F514" s="187"/>
    </row>
    <row r="515" ht="12.75">
      <c r="F515" s="187"/>
    </row>
    <row r="516" ht="12.75">
      <c r="F516" s="187"/>
    </row>
    <row r="517" ht="12.75">
      <c r="F517" s="187"/>
    </row>
    <row r="518" ht="12.75">
      <c r="F518" s="187"/>
    </row>
    <row r="519" ht="12.75">
      <c r="F519" s="187"/>
    </row>
    <row r="520" ht="12.75">
      <c r="F520" s="187"/>
    </row>
    <row r="521" ht="12.75">
      <c r="F521" s="187"/>
    </row>
    <row r="522" ht="12.75">
      <c r="F522" s="187"/>
    </row>
    <row r="523" ht="12.75">
      <c r="F523" s="187"/>
    </row>
    <row r="524" ht="12.75">
      <c r="F524" s="187"/>
    </row>
    <row r="525" ht="12.75">
      <c r="F525" s="187"/>
    </row>
    <row r="526" ht="12.75">
      <c r="F526" s="187"/>
    </row>
    <row r="527" ht="12.75">
      <c r="F527" s="187"/>
    </row>
    <row r="528" ht="12.75">
      <c r="F528" s="187"/>
    </row>
    <row r="529" ht="12.75">
      <c r="F529" s="187"/>
    </row>
    <row r="530" ht="12.75">
      <c r="F530" s="187"/>
    </row>
    <row r="531" ht="12.75">
      <c r="F531" s="187"/>
    </row>
    <row r="532" ht="12.75">
      <c r="F532" s="187"/>
    </row>
    <row r="533" ht="12.75">
      <c r="F533" s="187"/>
    </row>
    <row r="534" ht="12.75">
      <c r="F534" s="187"/>
    </row>
    <row r="535" ht="12.75">
      <c r="F535" s="187"/>
    </row>
    <row r="536" ht="12.75">
      <c r="F536" s="187"/>
    </row>
    <row r="537" ht="12.75">
      <c r="F537" s="187"/>
    </row>
    <row r="538" ht="12.75">
      <c r="F538" s="187"/>
    </row>
    <row r="539" ht="12.75">
      <c r="F539" s="187"/>
    </row>
    <row r="540" ht="12.75">
      <c r="F540" s="187"/>
    </row>
    <row r="541" ht="12.75">
      <c r="F541" s="187"/>
    </row>
    <row r="542" ht="12.75">
      <c r="F542" s="187"/>
    </row>
    <row r="543" ht="12.75">
      <c r="F543" s="187"/>
    </row>
    <row r="544" ht="12.75">
      <c r="F544" s="187"/>
    </row>
    <row r="545" ht="12.75">
      <c r="F545" s="187"/>
    </row>
    <row r="546" ht="12.75">
      <c r="F546" s="187"/>
    </row>
    <row r="547" ht="12.75">
      <c r="F547" s="187"/>
    </row>
    <row r="548" ht="12.75">
      <c r="F548" s="187"/>
    </row>
    <row r="549" ht="12.75">
      <c r="F549" s="187"/>
    </row>
    <row r="550" ht="12.75">
      <c r="F550" s="187"/>
    </row>
    <row r="551" ht="12.75">
      <c r="F551" s="187"/>
    </row>
    <row r="552" ht="12.75">
      <c r="F552" s="187"/>
    </row>
    <row r="553" ht="12.75">
      <c r="F553" s="187"/>
    </row>
    <row r="554" ht="12.75">
      <c r="F554" s="187"/>
    </row>
    <row r="555" ht="12.75">
      <c r="F555" s="187"/>
    </row>
    <row r="556" ht="12.75">
      <c r="F556" s="187"/>
    </row>
    <row r="557" ht="12.75">
      <c r="F557" s="187"/>
    </row>
    <row r="558" ht="12.75">
      <c r="F558" s="187"/>
    </row>
    <row r="559" ht="12.75">
      <c r="F559" s="187"/>
    </row>
    <row r="560" ht="12.75">
      <c r="F560" s="187"/>
    </row>
    <row r="561" ht="12.75">
      <c r="F561" s="187"/>
    </row>
    <row r="562" ht="12.75">
      <c r="F562" s="187"/>
    </row>
    <row r="563" ht="12.75">
      <c r="F563" s="187"/>
    </row>
    <row r="564" ht="12.75">
      <c r="F564" s="187"/>
    </row>
    <row r="565" ht="12.75">
      <c r="F565" s="187"/>
    </row>
    <row r="566" ht="12.75">
      <c r="F566" s="187"/>
    </row>
    <row r="567" ht="12.75">
      <c r="F567" s="187"/>
    </row>
    <row r="568" ht="12.75">
      <c r="F568" s="187"/>
    </row>
    <row r="569" ht="12.75">
      <c r="F569" s="187"/>
    </row>
    <row r="570" ht="12.75">
      <c r="F570" s="187"/>
    </row>
    <row r="571" ht="12.75">
      <c r="F571" s="187"/>
    </row>
    <row r="572" ht="12.75">
      <c r="F572" s="187"/>
    </row>
    <row r="573" ht="12.75">
      <c r="F573" s="187"/>
    </row>
    <row r="574" ht="12.75">
      <c r="F574" s="187"/>
    </row>
    <row r="575" ht="12.75">
      <c r="F575" s="187"/>
    </row>
    <row r="576" ht="12.75">
      <c r="F576" s="187"/>
    </row>
    <row r="577" ht="12.75">
      <c r="F577" s="187"/>
    </row>
    <row r="578" ht="12.75">
      <c r="F578" s="187"/>
    </row>
    <row r="579" ht="12.75">
      <c r="F579" s="187"/>
    </row>
    <row r="580" ht="12.75">
      <c r="F580" s="187"/>
    </row>
    <row r="581" ht="12.75">
      <c r="F581" s="187"/>
    </row>
    <row r="582" ht="12.75">
      <c r="F582" s="187"/>
    </row>
    <row r="583" ht="12.75">
      <c r="F583" s="187"/>
    </row>
    <row r="584" ht="12.75">
      <c r="F584" s="187"/>
    </row>
    <row r="585" ht="12.75">
      <c r="F585" s="187"/>
    </row>
    <row r="586" ht="12.75">
      <c r="F586" s="187"/>
    </row>
    <row r="587" ht="12.75">
      <c r="F587" s="187"/>
    </row>
    <row r="588" ht="12.75">
      <c r="F588" s="187"/>
    </row>
    <row r="589" ht="12.75">
      <c r="F589" s="187"/>
    </row>
    <row r="590" ht="12.75">
      <c r="F590" s="187"/>
    </row>
    <row r="591" ht="12.75">
      <c r="F591" s="187"/>
    </row>
    <row r="592" ht="12.75">
      <c r="F592" s="187"/>
    </row>
    <row r="593" ht="12.75">
      <c r="F593" s="187"/>
    </row>
    <row r="594" ht="12.75">
      <c r="F594" s="187"/>
    </row>
    <row r="595" ht="12.75">
      <c r="F595" s="187"/>
    </row>
    <row r="596" ht="12.75">
      <c r="F596" s="187"/>
    </row>
    <row r="597" ht="12.75">
      <c r="F597" s="187"/>
    </row>
    <row r="598" ht="12.75">
      <c r="F598" s="187"/>
    </row>
    <row r="599" ht="12.75">
      <c r="F599" s="187"/>
    </row>
    <row r="600" ht="12.75">
      <c r="F600" s="187"/>
    </row>
    <row r="601" ht="12.75">
      <c r="F601" s="187"/>
    </row>
    <row r="602" ht="12.75">
      <c r="F602" s="187"/>
    </row>
    <row r="603" ht="12.75">
      <c r="F603" s="187"/>
    </row>
    <row r="604" ht="12.75">
      <c r="F604" s="187"/>
    </row>
    <row r="605" ht="12.75">
      <c r="F605" s="187"/>
    </row>
    <row r="606" ht="12.75">
      <c r="F606" s="187"/>
    </row>
    <row r="607" ht="12.75">
      <c r="F607" s="187"/>
    </row>
    <row r="608" ht="12.75">
      <c r="F608" s="187"/>
    </row>
    <row r="609" ht="12.75">
      <c r="F609" s="187"/>
    </row>
    <row r="610" ht="12.75">
      <c r="F610" s="187"/>
    </row>
    <row r="611" ht="12.75">
      <c r="F611" s="187"/>
    </row>
    <row r="612" ht="12.75">
      <c r="F612" s="187"/>
    </row>
    <row r="613" ht="12.75">
      <c r="F613" s="187"/>
    </row>
    <row r="614" ht="12.75">
      <c r="F614" s="187"/>
    </row>
    <row r="615" ht="12.75">
      <c r="F615" s="187"/>
    </row>
    <row r="616" ht="12.75">
      <c r="F616" s="187"/>
    </row>
    <row r="617" ht="12.75">
      <c r="F617" s="187"/>
    </row>
    <row r="618" ht="12.75">
      <c r="F618" s="187"/>
    </row>
    <row r="619" ht="12.75">
      <c r="F619" s="187"/>
    </row>
    <row r="620" ht="12.75">
      <c r="F620" s="187"/>
    </row>
    <row r="621" ht="12.75">
      <c r="F621" s="187"/>
    </row>
    <row r="622" ht="12.75">
      <c r="F622" s="187"/>
    </row>
    <row r="623" ht="12.75">
      <c r="F623" s="187"/>
    </row>
    <row r="624" ht="12.75">
      <c r="F624" s="187"/>
    </row>
    <row r="625" ht="12.75">
      <c r="F625" s="187"/>
    </row>
    <row r="626" ht="12.75">
      <c r="F626" s="187"/>
    </row>
    <row r="627" ht="12.75">
      <c r="F627" s="187"/>
    </row>
    <row r="628" ht="12.75">
      <c r="F628" s="187"/>
    </row>
    <row r="629" ht="12.75">
      <c r="F629" s="187"/>
    </row>
    <row r="630" ht="12.75">
      <c r="F630" s="187"/>
    </row>
    <row r="631" ht="12.75">
      <c r="F631" s="187"/>
    </row>
    <row r="632" ht="12.75">
      <c r="F632" s="187"/>
    </row>
    <row r="633" ht="12.75">
      <c r="F633" s="187"/>
    </row>
    <row r="634" ht="12.75">
      <c r="F634" s="187"/>
    </row>
    <row r="635" ht="12.75">
      <c r="F635" s="187"/>
    </row>
    <row r="636" ht="12.75">
      <c r="F636" s="187"/>
    </row>
    <row r="637" ht="12.75">
      <c r="F637" s="187"/>
    </row>
    <row r="638" ht="12.75">
      <c r="F638" s="187"/>
    </row>
    <row r="639" ht="12.75">
      <c r="F639" s="187"/>
    </row>
    <row r="640" ht="12.75">
      <c r="F640" s="187"/>
    </row>
    <row r="641" ht="12.75">
      <c r="F641" s="187"/>
    </row>
    <row r="642" ht="12.75">
      <c r="F642" s="187"/>
    </row>
    <row r="643" ht="12.75">
      <c r="F643" s="187"/>
    </row>
    <row r="644" ht="12.75">
      <c r="F644" s="187"/>
    </row>
    <row r="645" ht="12.75">
      <c r="F645" s="187"/>
    </row>
    <row r="646" ht="12.75">
      <c r="F646" s="187"/>
    </row>
    <row r="647" ht="12.75">
      <c r="F647" s="187"/>
    </row>
    <row r="648" ht="12.75">
      <c r="F648" s="187"/>
    </row>
    <row r="649" ht="12.75">
      <c r="F649" s="187"/>
    </row>
    <row r="650" ht="12.75">
      <c r="F650" s="187"/>
    </row>
    <row r="651" ht="12.75">
      <c r="F651" s="187"/>
    </row>
    <row r="652" ht="12.75">
      <c r="F652" s="187"/>
    </row>
    <row r="653" ht="12.75">
      <c r="F653" s="187"/>
    </row>
    <row r="654" ht="12.75">
      <c r="F654" s="187"/>
    </row>
    <row r="655" ht="12.75">
      <c r="F655" s="187"/>
    </row>
    <row r="656" ht="12.75">
      <c r="F656" s="187"/>
    </row>
    <row r="657" ht="12.75">
      <c r="F657" s="187"/>
    </row>
    <row r="658" ht="12.75">
      <c r="F658" s="187"/>
    </row>
    <row r="659" ht="12.75">
      <c r="F659" s="187"/>
    </row>
    <row r="660" ht="12.75">
      <c r="F660" s="187"/>
    </row>
    <row r="661" ht="12.75">
      <c r="F661" s="187"/>
    </row>
    <row r="662" ht="12.75">
      <c r="F662" s="187"/>
    </row>
    <row r="663" ht="12.75">
      <c r="F663" s="187"/>
    </row>
    <row r="664" ht="12.75">
      <c r="F664" s="187"/>
    </row>
    <row r="665" ht="12.75">
      <c r="F665" s="187"/>
    </row>
    <row r="666" ht="12.75">
      <c r="F666" s="187"/>
    </row>
    <row r="667" ht="12.75">
      <c r="F667" s="187"/>
    </row>
    <row r="668" ht="12.75">
      <c r="F668" s="187"/>
    </row>
    <row r="669" ht="12.75">
      <c r="F669" s="187"/>
    </row>
    <row r="670" ht="12.75">
      <c r="F670" s="187"/>
    </row>
    <row r="671" ht="12.75">
      <c r="F671" s="187"/>
    </row>
    <row r="672" ht="12.75">
      <c r="F672" s="187"/>
    </row>
    <row r="673" ht="12.75">
      <c r="F673" s="187"/>
    </row>
    <row r="674" ht="12.75">
      <c r="F674" s="187"/>
    </row>
    <row r="675" ht="12.75">
      <c r="F675" s="187"/>
    </row>
    <row r="676" ht="12.75">
      <c r="F676" s="187"/>
    </row>
    <row r="677" ht="12.75">
      <c r="F677" s="187"/>
    </row>
    <row r="678" ht="12.75">
      <c r="F678" s="187"/>
    </row>
    <row r="679" ht="12.75">
      <c r="F679" s="187"/>
    </row>
    <row r="680" ht="12.75">
      <c r="F680" s="187"/>
    </row>
    <row r="681" ht="12.75">
      <c r="F681" s="187"/>
    </row>
    <row r="682" ht="12.75">
      <c r="F682" s="187"/>
    </row>
    <row r="683" ht="12.75">
      <c r="F683" s="187"/>
    </row>
    <row r="684" ht="12.75">
      <c r="F684" s="187"/>
    </row>
    <row r="685" ht="12.75">
      <c r="F685" s="187"/>
    </row>
    <row r="686" ht="12.75">
      <c r="F686" s="187"/>
    </row>
    <row r="687" ht="12.75">
      <c r="F687" s="187"/>
    </row>
    <row r="688" ht="12.75">
      <c r="F688" s="187"/>
    </row>
    <row r="689" ht="12.75">
      <c r="F689" s="187"/>
    </row>
    <row r="690" ht="12.75">
      <c r="F690" s="187"/>
    </row>
    <row r="691" ht="12.75">
      <c r="F691" s="187"/>
    </row>
    <row r="692" ht="12.75">
      <c r="F692" s="187"/>
    </row>
    <row r="693" ht="12.75">
      <c r="F693" s="187"/>
    </row>
    <row r="694" ht="12.75">
      <c r="F694" s="187"/>
    </row>
    <row r="695" ht="12.75">
      <c r="F695" s="187"/>
    </row>
    <row r="696" ht="12.75">
      <c r="F696" s="187"/>
    </row>
    <row r="697" ht="12.75">
      <c r="F697" s="187"/>
    </row>
    <row r="698" ht="12.75">
      <c r="F698" s="187"/>
    </row>
    <row r="699" ht="12.75">
      <c r="F699" s="187"/>
    </row>
    <row r="700" ht="12.75">
      <c r="F700" s="187"/>
    </row>
    <row r="701" ht="12.75">
      <c r="F701" s="187"/>
    </row>
    <row r="702" ht="12.75">
      <c r="F702" s="187"/>
    </row>
    <row r="703" ht="12.75">
      <c r="F703" s="187"/>
    </row>
    <row r="704" ht="12.75">
      <c r="F704" s="187"/>
    </row>
    <row r="705" ht="12.75">
      <c r="F705" s="187"/>
    </row>
    <row r="706" ht="12.75">
      <c r="F706" s="187"/>
    </row>
    <row r="707" ht="12.75">
      <c r="F707" s="187"/>
    </row>
    <row r="708" ht="12.75">
      <c r="F708" s="187"/>
    </row>
    <row r="709" ht="12.75">
      <c r="F709" s="187"/>
    </row>
    <row r="710" ht="12.75">
      <c r="F710" s="187"/>
    </row>
    <row r="711" ht="12.75">
      <c r="F711" s="187"/>
    </row>
    <row r="712" ht="12.75">
      <c r="F712" s="187"/>
    </row>
    <row r="713" ht="12.75">
      <c r="F713" s="187"/>
    </row>
    <row r="714" ht="12.75">
      <c r="F714" s="187"/>
    </row>
    <row r="715" ht="12.75">
      <c r="F715" s="187"/>
    </row>
    <row r="716" ht="12.75">
      <c r="F716" s="187"/>
    </row>
    <row r="717" ht="12.75">
      <c r="F717" s="187"/>
    </row>
    <row r="718" ht="12.75">
      <c r="F718" s="187"/>
    </row>
    <row r="719" ht="12.75">
      <c r="F719" s="187"/>
    </row>
    <row r="720" ht="12.75">
      <c r="F720" s="187"/>
    </row>
    <row r="721" ht="12.75">
      <c r="F721" s="187"/>
    </row>
    <row r="722" ht="12.75">
      <c r="F722" s="187"/>
    </row>
    <row r="723" ht="12.75">
      <c r="F723" s="187"/>
    </row>
    <row r="724" ht="12.75">
      <c r="F724" s="187"/>
    </row>
    <row r="725" ht="12.75">
      <c r="F725" s="187"/>
    </row>
    <row r="726" ht="12.75">
      <c r="F726" s="187"/>
    </row>
    <row r="727" ht="12.75">
      <c r="F727" s="187"/>
    </row>
    <row r="728" ht="12.75">
      <c r="F728" s="187"/>
    </row>
    <row r="729" ht="12.75">
      <c r="F729" s="187"/>
    </row>
    <row r="730" ht="12.75">
      <c r="F730" s="187"/>
    </row>
    <row r="731" ht="12.75">
      <c r="F731" s="187"/>
    </row>
    <row r="732" ht="12.75">
      <c r="F732" s="187"/>
    </row>
    <row r="733" ht="12.75">
      <c r="F733" s="187"/>
    </row>
    <row r="734" ht="12.75">
      <c r="F734" s="187"/>
    </row>
    <row r="735" ht="12.75">
      <c r="F735" s="187"/>
    </row>
    <row r="736" ht="12.75">
      <c r="F736" s="187"/>
    </row>
    <row r="737" ht="12.75">
      <c r="F737" s="187"/>
    </row>
    <row r="738" ht="12.75">
      <c r="F738" s="187"/>
    </row>
    <row r="739" ht="12.75">
      <c r="F739" s="187"/>
    </row>
    <row r="740" ht="12.75">
      <c r="F740" s="187"/>
    </row>
    <row r="741" ht="12.75">
      <c r="F741" s="187"/>
    </row>
    <row r="742" ht="12.75">
      <c r="F742" s="187"/>
    </row>
    <row r="743" ht="12.75">
      <c r="F743" s="187"/>
    </row>
    <row r="744" ht="12.75">
      <c r="F744" s="187"/>
    </row>
    <row r="745" ht="12.75">
      <c r="F745" s="187"/>
    </row>
    <row r="746" ht="12.75">
      <c r="F746" s="187"/>
    </row>
    <row r="747" ht="12.75">
      <c r="F747" s="187"/>
    </row>
    <row r="748" ht="12.75">
      <c r="F748" s="187"/>
    </row>
    <row r="749" ht="12.75">
      <c r="F749" s="187"/>
    </row>
    <row r="750" ht="12.75">
      <c r="F750" s="187"/>
    </row>
    <row r="751" ht="12.75">
      <c r="F751" s="187"/>
    </row>
    <row r="752" ht="12.75">
      <c r="F752" s="187"/>
    </row>
    <row r="753" ht="12.75">
      <c r="F753" s="187"/>
    </row>
    <row r="754" ht="12.75">
      <c r="F754" s="187"/>
    </row>
    <row r="755" ht="12.75">
      <c r="F755" s="187"/>
    </row>
    <row r="756" ht="12.75">
      <c r="F756" s="187"/>
    </row>
    <row r="757" ht="12.75">
      <c r="F757" s="187"/>
    </row>
    <row r="758" ht="12.75">
      <c r="F758" s="187"/>
    </row>
    <row r="759" ht="12.75">
      <c r="F759" s="187"/>
    </row>
    <row r="760" ht="12.75">
      <c r="F760" s="187"/>
    </row>
    <row r="761" ht="12.75">
      <c r="F761" s="187"/>
    </row>
    <row r="762" ht="12.75">
      <c r="F762" s="187"/>
    </row>
    <row r="763" ht="12.75">
      <c r="F763" s="187"/>
    </row>
    <row r="764" ht="12.75">
      <c r="F764" s="187"/>
    </row>
    <row r="765" ht="12.75">
      <c r="F765" s="187"/>
    </row>
    <row r="766" ht="12.75">
      <c r="F766" s="187"/>
    </row>
    <row r="767" ht="12.75">
      <c r="F767" s="187"/>
    </row>
    <row r="768" ht="12.75">
      <c r="F768" s="187"/>
    </row>
    <row r="769" ht="12.75">
      <c r="F769" s="187"/>
    </row>
    <row r="770" ht="12.75">
      <c r="F770" s="187"/>
    </row>
    <row r="771" ht="12.75">
      <c r="F771" s="187"/>
    </row>
    <row r="772" ht="12.75">
      <c r="F772" s="187"/>
    </row>
    <row r="773" ht="12.75">
      <c r="F773" s="187"/>
    </row>
    <row r="774" ht="12.75">
      <c r="F774" s="187"/>
    </row>
    <row r="775" ht="12.75">
      <c r="F775" s="187"/>
    </row>
    <row r="776" ht="12.75">
      <c r="F776" s="187"/>
    </row>
    <row r="777" ht="12.75">
      <c r="F777" s="187"/>
    </row>
    <row r="778" ht="12.75">
      <c r="F778" s="187"/>
    </row>
    <row r="779" ht="12.75">
      <c r="F779" s="187"/>
    </row>
    <row r="780" ht="12.75">
      <c r="F780" s="187"/>
    </row>
    <row r="781" ht="12.75">
      <c r="F781" s="187"/>
    </row>
    <row r="782" ht="12.75">
      <c r="F782" s="187"/>
    </row>
    <row r="783" ht="12.75">
      <c r="F783" s="187"/>
    </row>
    <row r="784" ht="12.75">
      <c r="F784" s="187"/>
    </row>
    <row r="785" ht="12.75">
      <c r="F785" s="187"/>
    </row>
    <row r="786" ht="12.75">
      <c r="F786" s="187"/>
    </row>
    <row r="787" ht="12.75">
      <c r="F787" s="187"/>
    </row>
    <row r="788" ht="12.75">
      <c r="F788" s="187"/>
    </row>
    <row r="789" ht="12.75">
      <c r="F789" s="187"/>
    </row>
    <row r="790" ht="12.75">
      <c r="F790" s="187"/>
    </row>
    <row r="791" ht="12.75">
      <c r="F791" s="187"/>
    </row>
    <row r="792" ht="12.75">
      <c r="F792" s="187"/>
    </row>
    <row r="793" ht="12.75">
      <c r="F793" s="187"/>
    </row>
    <row r="794" ht="12.75">
      <c r="F794" s="187"/>
    </row>
    <row r="795" ht="12.75">
      <c r="F795" s="187"/>
    </row>
    <row r="796" ht="12.75">
      <c r="F796" s="187"/>
    </row>
    <row r="797" ht="12.75">
      <c r="F797" s="187"/>
    </row>
    <row r="798" ht="12.75">
      <c r="F798" s="187"/>
    </row>
    <row r="799" ht="12.75">
      <c r="F799" s="187"/>
    </row>
    <row r="800" ht="12.75">
      <c r="F800" s="187"/>
    </row>
    <row r="801" ht="12.75">
      <c r="F801" s="187"/>
    </row>
    <row r="802" ht="12.75">
      <c r="F802" s="187"/>
    </row>
    <row r="803" ht="12.75">
      <c r="F803" s="187"/>
    </row>
    <row r="804" ht="12.75">
      <c r="F804" s="187"/>
    </row>
    <row r="805" ht="12.75">
      <c r="F805" s="187"/>
    </row>
    <row r="806" ht="12.75">
      <c r="F806" s="187"/>
    </row>
    <row r="807" ht="12.75">
      <c r="F807" s="187"/>
    </row>
    <row r="808" ht="12.75">
      <c r="F808" s="187"/>
    </row>
    <row r="809" ht="12.75">
      <c r="F809" s="187"/>
    </row>
    <row r="810" ht="12.75">
      <c r="F810" s="187"/>
    </row>
    <row r="811" ht="12.75">
      <c r="F811" s="187"/>
    </row>
    <row r="812" ht="12.75">
      <c r="F812" s="187"/>
    </row>
    <row r="813" ht="12.75">
      <c r="F813" s="187"/>
    </row>
    <row r="814" ht="12.75">
      <c r="F814" s="187"/>
    </row>
    <row r="815" ht="12.75">
      <c r="F815" s="187"/>
    </row>
    <row r="816" ht="12.75">
      <c r="F816" s="187"/>
    </row>
    <row r="817" ht="12.75">
      <c r="F817" s="187"/>
    </row>
    <row r="818" ht="12.75">
      <c r="F818" s="187"/>
    </row>
    <row r="819" ht="12.75">
      <c r="F819" s="187"/>
    </row>
    <row r="820" ht="12.75">
      <c r="F820" s="187"/>
    </row>
    <row r="821" ht="12.75">
      <c r="F821" s="187"/>
    </row>
    <row r="822" ht="12.75">
      <c r="F822" s="187"/>
    </row>
    <row r="823" ht="12.75">
      <c r="F823" s="187"/>
    </row>
    <row r="824" ht="12.75">
      <c r="F824" s="187"/>
    </row>
    <row r="825" ht="12.75">
      <c r="F825" s="187"/>
    </row>
    <row r="826" ht="12.75">
      <c r="F826" s="187"/>
    </row>
    <row r="827" ht="12.75">
      <c r="F827" s="187"/>
    </row>
    <row r="828" ht="12.75">
      <c r="F828" s="187"/>
    </row>
    <row r="829" ht="12.75">
      <c r="F829" s="187"/>
    </row>
    <row r="830" ht="12.75">
      <c r="F830" s="187"/>
    </row>
    <row r="831" ht="12.75">
      <c r="F831" s="187"/>
    </row>
    <row r="832" ht="12.75">
      <c r="F832" s="187"/>
    </row>
    <row r="833" ht="12.75">
      <c r="F833" s="187"/>
    </row>
    <row r="834" ht="12.75">
      <c r="F834" s="187"/>
    </row>
    <row r="835" ht="12.75">
      <c r="F835" s="187"/>
    </row>
    <row r="836" ht="12.75">
      <c r="F836" s="187"/>
    </row>
    <row r="837" ht="12.75">
      <c r="F837" s="187"/>
    </row>
    <row r="838" ht="12.75">
      <c r="F838" s="187"/>
    </row>
    <row r="839" ht="12.75">
      <c r="F839" s="187"/>
    </row>
    <row r="840" ht="12.75">
      <c r="F840" s="187"/>
    </row>
    <row r="841" ht="12.75">
      <c r="F841" s="187"/>
    </row>
    <row r="842" ht="12.75">
      <c r="F842" s="187"/>
    </row>
    <row r="843" ht="12.75">
      <c r="F843" s="187"/>
    </row>
    <row r="844" ht="12.75">
      <c r="F844" s="187"/>
    </row>
    <row r="845" ht="12.75">
      <c r="F845" s="187"/>
    </row>
    <row r="846" ht="12.75">
      <c r="F846" s="187"/>
    </row>
    <row r="847" ht="12.75">
      <c r="F847" s="187"/>
    </row>
    <row r="848" ht="12.75">
      <c r="F848" s="187"/>
    </row>
    <row r="849" ht="12.75">
      <c r="F849" s="187"/>
    </row>
    <row r="850" ht="12.75">
      <c r="F850" s="187"/>
    </row>
    <row r="851" ht="12.75">
      <c r="F851" s="187"/>
    </row>
    <row r="852" ht="12.75">
      <c r="F852" s="187"/>
    </row>
    <row r="853" ht="12.75">
      <c r="F853" s="187"/>
    </row>
    <row r="854" ht="12.75">
      <c r="F854" s="187"/>
    </row>
    <row r="855" ht="12.75">
      <c r="F855" s="187"/>
    </row>
    <row r="856" ht="12.75">
      <c r="F856" s="187"/>
    </row>
    <row r="857" ht="12.75">
      <c r="F857" s="187"/>
    </row>
    <row r="858" ht="12.75">
      <c r="F858" s="187"/>
    </row>
    <row r="859" ht="12.75">
      <c r="F859" s="187"/>
    </row>
    <row r="860" ht="12.75">
      <c r="F860" s="187"/>
    </row>
    <row r="861" ht="12.75">
      <c r="F861" s="187"/>
    </row>
    <row r="862" ht="12.75">
      <c r="F862" s="187"/>
    </row>
    <row r="863" ht="12.75">
      <c r="F863" s="187"/>
    </row>
    <row r="864" ht="12.75">
      <c r="F864" s="187"/>
    </row>
    <row r="865" ht="12.75">
      <c r="F865" s="187"/>
    </row>
    <row r="866" ht="12.75">
      <c r="F866" s="187"/>
    </row>
    <row r="867" ht="12.75">
      <c r="F867" s="187"/>
    </row>
    <row r="868" ht="12.75">
      <c r="F868" s="187"/>
    </row>
    <row r="869" ht="12.75">
      <c r="F869" s="187"/>
    </row>
    <row r="870" ht="12.75">
      <c r="F870" s="187"/>
    </row>
    <row r="871" ht="12.75">
      <c r="F871" s="187"/>
    </row>
    <row r="872" ht="12.75">
      <c r="F872" s="187"/>
    </row>
    <row r="873" ht="12.75">
      <c r="F873" s="187"/>
    </row>
    <row r="874" ht="12.75">
      <c r="F874" s="187"/>
    </row>
    <row r="875" ht="12.75">
      <c r="F875" s="187"/>
    </row>
    <row r="876" ht="12.75">
      <c r="F876" s="187"/>
    </row>
    <row r="877" ht="12.75">
      <c r="F877" s="187"/>
    </row>
    <row r="878" ht="12.75">
      <c r="F878" s="187"/>
    </row>
    <row r="879" ht="12.75">
      <c r="F879" s="187"/>
    </row>
    <row r="880" ht="12.75">
      <c r="F880" s="187"/>
    </row>
    <row r="881" ht="12.75">
      <c r="F881" s="187"/>
    </row>
    <row r="882" ht="12.75">
      <c r="F882" s="187"/>
    </row>
    <row r="883" ht="12.75">
      <c r="F883" s="187"/>
    </row>
    <row r="884" ht="12.75">
      <c r="F884" s="187"/>
    </row>
    <row r="885" ht="12.75">
      <c r="F885" s="187"/>
    </row>
    <row r="886" ht="12.75">
      <c r="F886" s="187"/>
    </row>
    <row r="887" ht="12.75">
      <c r="F887" s="187"/>
    </row>
    <row r="888" ht="12.75">
      <c r="F888" s="187"/>
    </row>
    <row r="889" ht="12.75">
      <c r="F889" s="187"/>
    </row>
    <row r="890" ht="12.75">
      <c r="F890" s="187"/>
    </row>
    <row r="891" ht="12.75">
      <c r="F891" s="187"/>
    </row>
    <row r="892" ht="12.75">
      <c r="F892" s="187"/>
    </row>
    <row r="893" ht="12.75">
      <c r="F893" s="187"/>
    </row>
    <row r="894" ht="12.75">
      <c r="F894" s="187"/>
    </row>
    <row r="895" ht="12.75">
      <c r="F895" s="187"/>
    </row>
    <row r="896" ht="12.75">
      <c r="F896" s="187"/>
    </row>
    <row r="897" ht="12.75">
      <c r="F897" s="187"/>
    </row>
    <row r="898" ht="12.75">
      <c r="F898" s="187"/>
    </row>
    <row r="899" ht="12.75">
      <c r="F899" s="187"/>
    </row>
    <row r="900" ht="12.75">
      <c r="F900" s="187"/>
    </row>
    <row r="901" ht="12.75">
      <c r="F901" s="187"/>
    </row>
    <row r="902" ht="12.75">
      <c r="F902" s="187"/>
    </row>
    <row r="903" ht="12.75">
      <c r="F903" s="187"/>
    </row>
    <row r="904" ht="12.75">
      <c r="F904" s="187"/>
    </row>
    <row r="905" ht="12.75">
      <c r="F905" s="187"/>
    </row>
    <row r="906" ht="12.75">
      <c r="F906" s="187"/>
    </row>
    <row r="907" ht="12.75">
      <c r="F907" s="187"/>
    </row>
    <row r="908" ht="12.75">
      <c r="F908" s="187"/>
    </row>
    <row r="909" ht="12.75">
      <c r="F909" s="187"/>
    </row>
    <row r="910" ht="12.75">
      <c r="F910" s="187"/>
    </row>
    <row r="911" ht="12.75">
      <c r="F911" s="187"/>
    </row>
    <row r="912" ht="12.75">
      <c r="F912" s="187"/>
    </row>
    <row r="913" ht="12.75">
      <c r="F913" s="187"/>
    </row>
    <row r="914" ht="12.75">
      <c r="F914" s="187"/>
    </row>
    <row r="915" ht="12.75">
      <c r="F915" s="187"/>
    </row>
    <row r="916" ht="12.75">
      <c r="F916" s="187"/>
    </row>
    <row r="917" ht="12.75">
      <c r="F917" s="187"/>
    </row>
    <row r="918" ht="12.75">
      <c r="F918" s="187"/>
    </row>
    <row r="919" ht="12.75">
      <c r="F919" s="187"/>
    </row>
    <row r="920" ht="12.75">
      <c r="F920" s="187"/>
    </row>
    <row r="921" ht="12.75">
      <c r="F921" s="187"/>
    </row>
    <row r="922" ht="12.75">
      <c r="F922" s="187"/>
    </row>
    <row r="923" ht="12.75">
      <c r="F923" s="187"/>
    </row>
    <row r="924" ht="12.75">
      <c r="F924" s="187"/>
    </row>
    <row r="925" ht="12.75">
      <c r="F925" s="187"/>
    </row>
    <row r="926" ht="12.75">
      <c r="F926" s="187"/>
    </row>
    <row r="927" ht="12.75">
      <c r="F927" s="187"/>
    </row>
    <row r="928" ht="12.75">
      <c r="F928" s="187"/>
    </row>
    <row r="929" ht="12.75">
      <c r="F929" s="187"/>
    </row>
    <row r="930" ht="12.75">
      <c r="F930" s="187"/>
    </row>
    <row r="931" ht="12.75">
      <c r="F931" s="187"/>
    </row>
    <row r="932" ht="12.75">
      <c r="F932" s="187"/>
    </row>
    <row r="933" ht="12.75">
      <c r="F933" s="187"/>
    </row>
    <row r="934" ht="12.75">
      <c r="F934" s="187"/>
    </row>
    <row r="935" ht="12.75">
      <c r="F935" s="187"/>
    </row>
    <row r="936" ht="12.75">
      <c r="F936" s="187"/>
    </row>
    <row r="937" ht="12.75">
      <c r="F937" s="187"/>
    </row>
    <row r="938" ht="12.75">
      <c r="F938" s="187"/>
    </row>
    <row r="939" ht="12.75">
      <c r="F939" s="187"/>
    </row>
    <row r="940" ht="12.75">
      <c r="F940" s="187"/>
    </row>
    <row r="941" ht="12.75">
      <c r="F941" s="187"/>
    </row>
    <row r="942" ht="12.75">
      <c r="F942" s="187"/>
    </row>
    <row r="943" ht="12.75">
      <c r="F943" s="187"/>
    </row>
    <row r="944" ht="12.75">
      <c r="F944" s="187"/>
    </row>
    <row r="945" ht="12.75">
      <c r="F945" s="187"/>
    </row>
    <row r="946" ht="12.75">
      <c r="F946" s="187"/>
    </row>
    <row r="947" ht="12.75">
      <c r="F947" s="187"/>
    </row>
    <row r="948" ht="12.75">
      <c r="F948" s="187"/>
    </row>
    <row r="949" ht="12.75">
      <c r="F949" s="187"/>
    </row>
    <row r="950" ht="12.75">
      <c r="F950" s="187"/>
    </row>
    <row r="951" ht="12.75">
      <c r="F951" s="187"/>
    </row>
    <row r="952" ht="12.75">
      <c r="F952" s="187"/>
    </row>
    <row r="953" ht="12.75">
      <c r="F953" s="187"/>
    </row>
    <row r="954" ht="12.75">
      <c r="F954" s="187"/>
    </row>
    <row r="955" ht="12.75">
      <c r="F955" s="187"/>
    </row>
    <row r="956" ht="12.75">
      <c r="F956" s="187"/>
    </row>
    <row r="957" ht="12.75">
      <c r="F957" s="187"/>
    </row>
    <row r="958" ht="12.75">
      <c r="F958" s="187"/>
    </row>
    <row r="959" ht="12.75">
      <c r="F959" s="187"/>
    </row>
    <row r="960" ht="12.75">
      <c r="F960" s="187"/>
    </row>
    <row r="961" ht="12.75">
      <c r="F961" s="187"/>
    </row>
    <row r="962" ht="12.75">
      <c r="F962" s="187"/>
    </row>
    <row r="963" ht="12.75">
      <c r="F963" s="187"/>
    </row>
    <row r="964" ht="12.75">
      <c r="F964" s="187"/>
    </row>
    <row r="965" ht="12.75">
      <c r="F965" s="187"/>
    </row>
    <row r="966" ht="12.75">
      <c r="F966" s="187"/>
    </row>
    <row r="967" ht="12.75">
      <c r="F967" s="187"/>
    </row>
    <row r="968" ht="12.75">
      <c r="F968" s="187"/>
    </row>
    <row r="969" ht="12.75">
      <c r="F969" s="187"/>
    </row>
    <row r="970" ht="12.75">
      <c r="F970" s="187"/>
    </row>
    <row r="971" ht="12.75">
      <c r="F971" s="187"/>
    </row>
    <row r="972" ht="12.75">
      <c r="F972" s="187"/>
    </row>
    <row r="973" ht="12.75">
      <c r="F973" s="187"/>
    </row>
    <row r="974" ht="12.75">
      <c r="F974" s="187"/>
    </row>
    <row r="975" ht="12.75">
      <c r="F975" s="187"/>
    </row>
    <row r="976" ht="12.75">
      <c r="F976" s="187"/>
    </row>
    <row r="977" ht="12.75">
      <c r="F977" s="187"/>
    </row>
    <row r="978" ht="12.75">
      <c r="F978" s="187"/>
    </row>
    <row r="979" ht="12.75">
      <c r="F979" s="187"/>
    </row>
    <row r="980" ht="12.75">
      <c r="F980" s="187"/>
    </row>
    <row r="981" ht="12.75">
      <c r="F981" s="187"/>
    </row>
    <row r="982" ht="12.75">
      <c r="F982" s="187"/>
    </row>
    <row r="983" ht="12.75">
      <c r="F983" s="187"/>
    </row>
    <row r="984" ht="12.75">
      <c r="F984" s="187"/>
    </row>
    <row r="985" ht="12.75">
      <c r="F985" s="187"/>
    </row>
    <row r="986" ht="12.75">
      <c r="F986" s="187"/>
    </row>
    <row r="987" ht="12.75">
      <c r="F987" s="187"/>
    </row>
    <row r="988" ht="12.75">
      <c r="F988" s="187"/>
    </row>
    <row r="989" ht="12.75">
      <c r="F989" s="187"/>
    </row>
    <row r="990" ht="12.75">
      <c r="F990" s="187"/>
    </row>
    <row r="991" ht="12.75">
      <c r="F991" s="187"/>
    </row>
    <row r="992" ht="12.75">
      <c r="F992" s="187"/>
    </row>
    <row r="993" ht="12.75">
      <c r="F993" s="187"/>
    </row>
    <row r="994" ht="12.75">
      <c r="F994" s="187"/>
    </row>
    <row r="995" ht="12.75">
      <c r="F995" s="187"/>
    </row>
    <row r="996" ht="12.75">
      <c r="F996" s="187"/>
    </row>
    <row r="997" ht="12.75">
      <c r="F997" s="187"/>
    </row>
    <row r="998" ht="12.75">
      <c r="F998" s="187"/>
    </row>
    <row r="999" ht="12.75">
      <c r="F999" s="187"/>
    </row>
  </sheetData>
  <printOptions/>
  <pageMargins left="0.75" right="0.75" top="1" bottom="1" header="0.5" footer="0.5"/>
  <pageSetup fitToHeight="3" fitToWidth="1" horizontalDpi="96" verticalDpi="96" orientation="portrait" scale="32"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9"/>
  <dimension ref="A1:X84"/>
  <sheetViews>
    <sheetView zoomScale="75" zoomScaleNormal="75" workbookViewId="0" topLeftCell="A13">
      <selection activeCell="B10" sqref="B10"/>
    </sheetView>
  </sheetViews>
  <sheetFormatPr defaultColWidth="9.140625" defaultRowHeight="12.75"/>
  <cols>
    <col min="1" max="3" width="12.57421875" style="0" customWidth="1"/>
    <col min="5" max="5" width="14.421875" style="0" customWidth="1"/>
    <col min="6" max="6" width="84.140625" style="0" customWidth="1"/>
    <col min="7" max="7" width="8.8515625" style="0" customWidth="1"/>
    <col min="9" max="9" width="40.421875" style="0" customWidth="1"/>
    <col min="10" max="10" width="29.8515625" style="0" customWidth="1"/>
    <col min="11" max="11" width="9.140625" style="214" customWidth="1"/>
  </cols>
  <sheetData>
    <row r="1" spans="9:24" ht="114.75">
      <c r="I1" s="199" t="s">
        <v>404</v>
      </c>
      <c r="J1" s="199" t="s">
        <v>405</v>
      </c>
      <c r="K1" s="212" t="s">
        <v>604</v>
      </c>
      <c r="L1" s="200" t="s">
        <v>605</v>
      </c>
      <c r="M1" s="200" t="s">
        <v>606</v>
      </c>
      <c r="N1" s="200" t="s">
        <v>607</v>
      </c>
      <c r="O1" s="200" t="s">
        <v>608</v>
      </c>
      <c r="P1" s="200" t="s">
        <v>609</v>
      </c>
      <c r="Q1" s="200" t="s">
        <v>610</v>
      </c>
      <c r="R1" s="200" t="s">
        <v>611</v>
      </c>
      <c r="S1" s="200" t="s">
        <v>612</v>
      </c>
      <c r="T1" s="200" t="s">
        <v>613</v>
      </c>
      <c r="U1" s="200" t="s">
        <v>614</v>
      </c>
      <c r="V1" s="200" t="s">
        <v>615</v>
      </c>
      <c r="W1" s="199" t="s">
        <v>616</v>
      </c>
      <c r="X1" s="199" t="s">
        <v>617</v>
      </c>
    </row>
    <row r="2" spans="1:24" ht="12.75">
      <c r="A2" s="121" t="s">
        <v>670</v>
      </c>
      <c r="B2" s="121"/>
      <c r="C2" s="121"/>
      <c r="D2" s="121" t="s">
        <v>669</v>
      </c>
      <c r="E2" s="121" t="s">
        <v>404</v>
      </c>
      <c r="F2" s="121" t="s">
        <v>288</v>
      </c>
      <c r="I2" s="201" t="s">
        <v>620</v>
      </c>
      <c r="J2" s="202" t="s">
        <v>621</v>
      </c>
      <c r="K2" s="213">
        <v>1.6</v>
      </c>
      <c r="L2" s="203">
        <v>307.75956284153006</v>
      </c>
      <c r="M2" s="203">
        <v>654.8837209302326</v>
      </c>
      <c r="N2" s="204">
        <v>6</v>
      </c>
      <c r="O2" s="203">
        <v>3379.2</v>
      </c>
      <c r="P2" s="203">
        <v>344.4779111087375</v>
      </c>
      <c r="Q2" s="203">
        <v>370.7443518307787</v>
      </c>
      <c r="R2" s="203">
        <v>3869.1839999999997</v>
      </c>
      <c r="S2" s="205">
        <v>1.83</v>
      </c>
      <c r="T2" s="205" t="e">
        <v>#N/A</v>
      </c>
      <c r="U2" s="205">
        <v>0.86</v>
      </c>
      <c r="V2" s="205">
        <v>1.18</v>
      </c>
      <c r="W2" s="206">
        <v>1.1279069767441863</v>
      </c>
      <c r="X2" s="207">
        <v>104.72649281097009</v>
      </c>
    </row>
    <row r="3" spans="1:24" ht="12.75">
      <c r="A3" s="121">
        <v>2603632000</v>
      </c>
      <c r="B3" s="121" t="str">
        <f aca="true" t="shared" si="0" ref="B3:B9">MID(A3,3,4)</f>
        <v>0363</v>
      </c>
      <c r="C3" s="121"/>
      <c r="D3" s="217">
        <v>3.2</v>
      </c>
      <c r="E3" s="121" t="s">
        <v>503</v>
      </c>
      <c r="F3" s="121" t="s">
        <v>569</v>
      </c>
      <c r="G3" s="198">
        <v>919.99</v>
      </c>
      <c r="I3" s="201" t="s">
        <v>619</v>
      </c>
      <c r="J3" s="202" t="s">
        <v>467</v>
      </c>
      <c r="K3" s="213">
        <v>1.62</v>
      </c>
      <c r="L3" s="203">
        <v>407.31428571428575</v>
      </c>
      <c r="M3" s="203">
        <v>663.0697674418604</v>
      </c>
      <c r="N3" s="204">
        <v>8.15</v>
      </c>
      <c r="O3" s="203">
        <v>4647.456</v>
      </c>
      <c r="P3" s="203">
        <v>253.80576962785344</v>
      </c>
      <c r="Q3" s="203">
        <v>273.1584595619772</v>
      </c>
      <c r="R3" s="203">
        <v>2691.5328</v>
      </c>
      <c r="S3" s="205">
        <v>1.4</v>
      </c>
      <c r="T3" s="205">
        <v>3.377872340425532</v>
      </c>
      <c r="U3" s="205">
        <v>0.86</v>
      </c>
      <c r="V3" s="205">
        <v>1.18</v>
      </c>
      <c r="W3" s="206">
        <v>0.627906976744186</v>
      </c>
      <c r="X3" s="207">
        <v>77.16079101491025</v>
      </c>
    </row>
    <row r="4" spans="1:24" ht="12.75">
      <c r="A4" s="121">
        <v>2603642000</v>
      </c>
      <c r="B4" s="121" t="str">
        <f t="shared" si="0"/>
        <v>0364</v>
      </c>
      <c r="C4" s="121"/>
      <c r="D4" s="217">
        <v>3.2</v>
      </c>
      <c r="E4" s="121" t="s">
        <v>503</v>
      </c>
      <c r="F4" s="121" t="s">
        <v>571</v>
      </c>
      <c r="G4" s="198">
        <v>999.99</v>
      </c>
      <c r="I4" s="201" t="s">
        <v>650</v>
      </c>
      <c r="J4" s="202" t="s">
        <v>651</v>
      </c>
      <c r="K4" s="213">
        <v>1.69</v>
      </c>
      <c r="L4" s="203">
        <v>421.9007092198582</v>
      </c>
      <c r="M4" s="203">
        <v>691.7209302325581</v>
      </c>
      <c r="N4" s="209">
        <v>9.12</v>
      </c>
      <c r="O4" s="203">
        <v>5425.3056</v>
      </c>
      <c r="P4" s="203">
        <v>267.76328856259397</v>
      </c>
      <c r="Q4" s="203">
        <v>288.18023931549175</v>
      </c>
      <c r="R4" s="203">
        <v>2230.8</v>
      </c>
      <c r="S4" s="205">
        <v>1.41</v>
      </c>
      <c r="T4" s="205">
        <v>2.660562248995984</v>
      </c>
      <c r="U4" s="205">
        <v>0.86</v>
      </c>
      <c r="V4" s="205">
        <v>1.18</v>
      </c>
      <c r="W4" s="206">
        <v>0.6395348837209303</v>
      </c>
      <c r="X4" s="207">
        <v>81.4040877815255</v>
      </c>
    </row>
    <row r="5" spans="1:24" ht="12.75">
      <c r="A5" s="121">
        <v>2603652000</v>
      </c>
      <c r="B5" s="121" t="str">
        <f t="shared" si="0"/>
        <v>0365</v>
      </c>
      <c r="C5" s="121"/>
      <c r="D5" s="217">
        <v>3.2</v>
      </c>
      <c r="E5" s="121" t="s">
        <v>561</v>
      </c>
      <c r="F5" s="121" t="s">
        <v>562</v>
      </c>
      <c r="G5" s="198">
        <v>999.99</v>
      </c>
      <c r="I5" s="201" t="s">
        <v>650</v>
      </c>
      <c r="J5" s="202" t="s">
        <v>426</v>
      </c>
      <c r="K5" s="213">
        <v>1.69</v>
      </c>
      <c r="L5" s="203">
        <v>362.7317073170732</v>
      </c>
      <c r="M5" s="203">
        <v>691.7209302325581</v>
      </c>
      <c r="N5" s="204">
        <v>8.34</v>
      </c>
      <c r="O5" s="203">
        <v>4961.2991999999995</v>
      </c>
      <c r="P5" s="203">
        <v>326.4812247906218</v>
      </c>
      <c r="Q5" s="203">
        <v>351.3754181809067</v>
      </c>
      <c r="R5" s="203">
        <v>2694.8063999999995</v>
      </c>
      <c r="S5" s="205">
        <v>1.64</v>
      </c>
      <c r="T5" s="205">
        <v>2.4811985018726594</v>
      </c>
      <c r="U5" s="205">
        <v>0.86</v>
      </c>
      <c r="V5" s="205">
        <v>1.18</v>
      </c>
      <c r="W5" s="206">
        <v>0.9069767441860463</v>
      </c>
      <c r="X5" s="207">
        <v>99.25522809547867</v>
      </c>
    </row>
    <row r="6" spans="1:24" ht="12.75">
      <c r="A6" s="121">
        <v>2603772000</v>
      </c>
      <c r="B6" s="121" t="str">
        <f t="shared" si="0"/>
        <v>0377</v>
      </c>
      <c r="C6" s="121"/>
      <c r="D6" s="217">
        <v>3.2</v>
      </c>
      <c r="E6" s="121" t="s">
        <v>421</v>
      </c>
      <c r="F6" s="121" t="s">
        <v>567</v>
      </c>
      <c r="G6" s="198">
        <v>659.99</v>
      </c>
      <c r="I6" s="201" t="s">
        <v>650</v>
      </c>
      <c r="J6" s="202" t="s">
        <v>428</v>
      </c>
      <c r="K6" s="213">
        <v>1.69</v>
      </c>
      <c r="L6" s="203">
        <v>362.7317073170732</v>
      </c>
      <c r="M6" s="203">
        <v>691.7209302325581</v>
      </c>
      <c r="N6" s="204">
        <v>8.34</v>
      </c>
      <c r="O6" s="203">
        <v>4961.2991999999995</v>
      </c>
      <c r="P6" s="203">
        <v>326.4812247906218</v>
      </c>
      <c r="Q6" s="203">
        <v>351.3754181809067</v>
      </c>
      <c r="R6" s="203">
        <v>2694.8063999999995</v>
      </c>
      <c r="S6" s="205">
        <v>1.64</v>
      </c>
      <c r="T6" s="205">
        <v>2.4811985018726594</v>
      </c>
      <c r="U6" s="205">
        <v>0.86</v>
      </c>
      <c r="V6" s="205">
        <v>1.18</v>
      </c>
      <c r="W6" s="206">
        <v>0.9069767441860463</v>
      </c>
      <c r="X6" s="207">
        <v>99.25522809547867</v>
      </c>
    </row>
    <row r="7" spans="1:24" ht="12.75">
      <c r="A7" s="121">
        <v>2603792000</v>
      </c>
      <c r="B7" s="121" t="str">
        <f t="shared" si="0"/>
        <v>0379</v>
      </c>
      <c r="C7" s="121"/>
      <c r="D7" s="217">
        <v>3.2</v>
      </c>
      <c r="E7" s="121" t="s">
        <v>421</v>
      </c>
      <c r="F7" s="121" t="s">
        <v>567</v>
      </c>
      <c r="G7" s="198">
        <v>659.99</v>
      </c>
      <c r="I7" s="201" t="s">
        <v>619</v>
      </c>
      <c r="J7" s="202" t="s">
        <v>468</v>
      </c>
      <c r="K7" s="213">
        <v>1.85</v>
      </c>
      <c r="L7" s="203">
        <v>361.77777777777777</v>
      </c>
      <c r="M7" s="203">
        <v>757.2093023255815</v>
      </c>
      <c r="N7" s="204">
        <v>6.47</v>
      </c>
      <c r="O7" s="203">
        <v>4213.264</v>
      </c>
      <c r="P7" s="203">
        <v>392.41701387998035</v>
      </c>
      <c r="Q7" s="203">
        <v>422.33881118832886</v>
      </c>
      <c r="R7" s="203">
        <v>4167.68</v>
      </c>
      <c r="S7" s="205">
        <v>1.8</v>
      </c>
      <c r="T7" s="205">
        <v>3.7381443298969073</v>
      </c>
      <c r="U7" s="205">
        <v>0.86</v>
      </c>
      <c r="V7" s="205">
        <v>1.18</v>
      </c>
      <c r="W7" s="206">
        <v>1.0930232558139537</v>
      </c>
      <c r="X7" s="207">
        <v>119.30070479912906</v>
      </c>
    </row>
    <row r="8" spans="1:24" ht="12.75">
      <c r="A8" s="121">
        <v>2603882000</v>
      </c>
      <c r="B8" s="121" t="str">
        <f t="shared" si="0"/>
        <v>0388</v>
      </c>
      <c r="C8" s="121"/>
      <c r="D8" s="217">
        <v>3.1</v>
      </c>
      <c r="E8" s="121" t="s">
        <v>416</v>
      </c>
      <c r="F8" s="121" t="s">
        <v>576</v>
      </c>
      <c r="G8" s="198">
        <v>919.99</v>
      </c>
      <c r="I8" s="201" t="s">
        <v>619</v>
      </c>
      <c r="J8" s="202" t="s">
        <v>469</v>
      </c>
      <c r="K8" s="213">
        <v>1.85</v>
      </c>
      <c r="L8" s="203">
        <v>313.0769230769231</v>
      </c>
      <c r="M8" s="203">
        <v>757.2093023255815</v>
      </c>
      <c r="N8" s="204">
        <v>5.73</v>
      </c>
      <c r="O8" s="203">
        <v>3731.3760000000007</v>
      </c>
      <c r="P8" s="203">
        <v>440.74660519662274</v>
      </c>
      <c r="Q8" s="203">
        <v>474.3535338428652</v>
      </c>
      <c r="R8" s="203">
        <v>4649.567999999999</v>
      </c>
      <c r="S8" s="205">
        <v>2.08</v>
      </c>
      <c r="T8" s="205">
        <v>3.941304347826087</v>
      </c>
      <c r="U8" s="205">
        <v>0.86</v>
      </c>
      <c r="V8" s="205">
        <v>1.18</v>
      </c>
      <c r="W8" s="206">
        <v>1.418604651162791</v>
      </c>
      <c r="X8" s="207">
        <v>133.99363120851442</v>
      </c>
    </row>
    <row r="9" spans="1:24" ht="12.75">
      <c r="A9" s="121">
        <v>2603892000</v>
      </c>
      <c r="B9" s="121" t="str">
        <f t="shared" si="0"/>
        <v>0389</v>
      </c>
      <c r="C9" s="121"/>
      <c r="D9" s="217">
        <v>3.1</v>
      </c>
      <c r="E9" s="121" t="s">
        <v>416</v>
      </c>
      <c r="F9" s="121" t="s">
        <v>577</v>
      </c>
      <c r="G9" s="198">
        <v>769.99</v>
      </c>
      <c r="I9" s="201" t="s">
        <v>618</v>
      </c>
      <c r="J9" s="202" t="s">
        <v>408</v>
      </c>
      <c r="K9" s="213">
        <v>1.9</v>
      </c>
      <c r="L9" s="203">
        <v>412.83950617283944</v>
      </c>
      <c r="M9" s="203">
        <v>777.6744186046511</v>
      </c>
      <c r="N9" s="204">
        <v>8.05</v>
      </c>
      <c r="O9" s="203">
        <v>5383.84</v>
      </c>
      <c r="P9" s="203">
        <v>362.05365027326786</v>
      </c>
      <c r="Q9" s="203">
        <v>389.66024110660453</v>
      </c>
      <c r="R9" s="203">
        <v>3223.615999999998</v>
      </c>
      <c r="S9" s="205">
        <v>1.62</v>
      </c>
      <c r="T9" s="205">
        <v>4.092307692307692</v>
      </c>
      <c r="U9" s="205">
        <v>0.86</v>
      </c>
      <c r="V9" s="205">
        <v>1.18</v>
      </c>
      <c r="W9" s="206">
        <v>0.8837209302325584</v>
      </c>
      <c r="X9" s="207">
        <v>110.06978322787191</v>
      </c>
    </row>
    <row r="10" spans="1:24" ht="12.75">
      <c r="A10" s="121">
        <v>2622032000</v>
      </c>
      <c r="B10" s="121">
        <v>2203</v>
      </c>
      <c r="C10" s="121"/>
      <c r="D10" s="217">
        <v>3</v>
      </c>
      <c r="E10" s="121" t="s">
        <v>559</v>
      </c>
      <c r="F10" s="121" t="s">
        <v>578</v>
      </c>
      <c r="G10" s="198">
        <v>599.99</v>
      </c>
      <c r="I10" s="201" t="s">
        <v>618</v>
      </c>
      <c r="J10" s="202" t="s">
        <v>409</v>
      </c>
      <c r="K10" s="213">
        <v>1.9</v>
      </c>
      <c r="L10" s="203">
        <v>410.30674846625766</v>
      </c>
      <c r="M10" s="203">
        <v>777.6744186046511</v>
      </c>
      <c r="N10" s="204">
        <v>8.43</v>
      </c>
      <c r="O10" s="203">
        <v>5637.9839999999995</v>
      </c>
      <c r="P10" s="203">
        <v>364.56709989576547</v>
      </c>
      <c r="Q10" s="203">
        <v>392.36534126281754</v>
      </c>
      <c r="R10" s="203">
        <v>2969.471999999999</v>
      </c>
      <c r="S10" s="205">
        <v>1.63</v>
      </c>
      <c r="T10" s="205">
        <v>4.207909604519774</v>
      </c>
      <c r="U10" s="205">
        <v>0.86</v>
      </c>
      <c r="V10" s="205">
        <v>1.18</v>
      </c>
      <c r="W10" s="206">
        <v>0.8953488372093021</v>
      </c>
      <c r="X10" s="207">
        <v>110.83390991156554</v>
      </c>
    </row>
    <row r="11" spans="1:24" ht="12.75">
      <c r="A11" s="121">
        <v>2622042000</v>
      </c>
      <c r="B11" s="121">
        <v>2204</v>
      </c>
      <c r="C11" s="121"/>
      <c r="D11" s="217">
        <v>3</v>
      </c>
      <c r="E11" s="121" t="s">
        <v>559</v>
      </c>
      <c r="F11" s="121" t="s">
        <v>578</v>
      </c>
      <c r="G11" s="198">
        <v>629.99</v>
      </c>
      <c r="I11" s="201" t="s">
        <v>618</v>
      </c>
      <c r="J11" s="202" t="s">
        <v>410</v>
      </c>
      <c r="K11" s="213">
        <v>1.9</v>
      </c>
      <c r="L11" s="203">
        <v>355.74468085106383</v>
      </c>
      <c r="M11" s="203">
        <v>777.6744186046511</v>
      </c>
      <c r="N11" s="204">
        <v>7.71</v>
      </c>
      <c r="O11" s="203">
        <v>5156.447999999999</v>
      </c>
      <c r="P11" s="203">
        <v>418.7132220825502</v>
      </c>
      <c r="Q11" s="203">
        <v>450.6401052663446</v>
      </c>
      <c r="R11" s="203">
        <v>3451.007999999999</v>
      </c>
      <c r="S11" s="205">
        <v>1.88</v>
      </c>
      <c r="T11" s="205">
        <v>4.1149171270718226</v>
      </c>
      <c r="U11" s="205">
        <v>0.86</v>
      </c>
      <c r="V11" s="205">
        <v>1.18</v>
      </c>
      <c r="W11" s="206">
        <v>1.1860465116279069</v>
      </c>
      <c r="X11" s="207">
        <v>127.29514964007245</v>
      </c>
    </row>
    <row r="12" spans="1:24" ht="12.75">
      <c r="A12" s="121">
        <v>2622052000</v>
      </c>
      <c r="B12" s="121">
        <v>2205</v>
      </c>
      <c r="C12" s="121"/>
      <c r="D12" s="217">
        <v>3</v>
      </c>
      <c r="E12" s="121" t="s">
        <v>559</v>
      </c>
      <c r="F12" s="121" t="s">
        <v>578</v>
      </c>
      <c r="G12" s="198">
        <v>499.99</v>
      </c>
      <c r="I12" s="201" t="s">
        <v>618</v>
      </c>
      <c r="J12" s="202" t="s">
        <v>411</v>
      </c>
      <c r="K12" s="213">
        <v>1.9</v>
      </c>
      <c r="L12" s="203">
        <v>348.3333333333333</v>
      </c>
      <c r="M12" s="203">
        <v>777.6744186046511</v>
      </c>
      <c r="N12" s="204">
        <v>8.22</v>
      </c>
      <c r="O12" s="203">
        <v>5497.536</v>
      </c>
      <c r="P12" s="203">
        <v>426.0680703462551</v>
      </c>
      <c r="Q12" s="203">
        <v>458.5557607101571</v>
      </c>
      <c r="R12" s="203">
        <v>3109.92</v>
      </c>
      <c r="S12" s="205">
        <v>1.92</v>
      </c>
      <c r="T12" s="205">
        <v>4.2318181818181815</v>
      </c>
      <c r="U12" s="205">
        <v>0.86</v>
      </c>
      <c r="V12" s="205">
        <v>1.18</v>
      </c>
      <c r="W12" s="206">
        <v>1.2325581395348837</v>
      </c>
      <c r="X12" s="207">
        <v>129.53113470319465</v>
      </c>
    </row>
    <row r="13" spans="1:24" ht="12.75">
      <c r="A13" s="121">
        <v>2622062000</v>
      </c>
      <c r="B13" s="121">
        <v>2206</v>
      </c>
      <c r="C13" s="121"/>
      <c r="D13" s="217">
        <v>3.5</v>
      </c>
      <c r="E13" s="121" t="s">
        <v>559</v>
      </c>
      <c r="F13" s="121" t="s">
        <v>582</v>
      </c>
      <c r="G13" s="198">
        <v>649.99</v>
      </c>
      <c r="I13" s="201" t="s">
        <v>620</v>
      </c>
      <c r="J13" s="202" t="s">
        <v>474</v>
      </c>
      <c r="K13" s="213">
        <v>1.9</v>
      </c>
      <c r="L13" s="203">
        <v>386.5895953757225</v>
      </c>
      <c r="M13" s="203">
        <v>777.6744186046511</v>
      </c>
      <c r="N13" s="204">
        <v>10.04</v>
      </c>
      <c r="O13" s="203">
        <v>6714.751999999999</v>
      </c>
      <c r="P13" s="203">
        <v>388.10344896192856</v>
      </c>
      <c r="Q13" s="203">
        <v>417.69633694527556</v>
      </c>
      <c r="R13" s="203">
        <v>1892.7039999999997</v>
      </c>
      <c r="S13" s="205">
        <v>1.73</v>
      </c>
      <c r="T13" s="205">
        <v>3.7239999999999998</v>
      </c>
      <c r="U13" s="205">
        <v>0.86</v>
      </c>
      <c r="V13" s="205">
        <v>1.18</v>
      </c>
      <c r="W13" s="206">
        <v>1.0116279069767442</v>
      </c>
      <c r="X13" s="207">
        <v>117.98931585135583</v>
      </c>
    </row>
    <row r="14" spans="1:24" ht="12.75">
      <c r="A14" s="121">
        <v>2622082000</v>
      </c>
      <c r="B14" s="121">
        <v>2208</v>
      </c>
      <c r="C14" s="121"/>
      <c r="D14" s="217">
        <v>3.5</v>
      </c>
      <c r="E14" s="121" t="s">
        <v>559</v>
      </c>
      <c r="F14" s="121" t="s">
        <v>582</v>
      </c>
      <c r="G14" s="198">
        <v>619.99</v>
      </c>
      <c r="I14" s="201" t="s">
        <v>620</v>
      </c>
      <c r="J14" s="202" t="s">
        <v>622</v>
      </c>
      <c r="K14" s="213">
        <v>1.9</v>
      </c>
      <c r="L14" s="203">
        <v>348.3333333333333</v>
      </c>
      <c r="M14" s="203">
        <v>777.6744186046511</v>
      </c>
      <c r="N14" s="204">
        <v>5</v>
      </c>
      <c r="O14" s="203">
        <v>3344</v>
      </c>
      <c r="P14" s="203">
        <v>426.0680703462551</v>
      </c>
      <c r="Q14" s="203">
        <v>458.5557607101571</v>
      </c>
      <c r="R14" s="203">
        <v>5263.455999999998</v>
      </c>
      <c r="S14" s="205">
        <v>1.92</v>
      </c>
      <c r="T14" s="205" t="e">
        <v>#N/A</v>
      </c>
      <c r="U14" s="205">
        <v>0.86</v>
      </c>
      <c r="V14" s="205">
        <v>1.18</v>
      </c>
      <c r="W14" s="206">
        <v>1.2325581395348837</v>
      </c>
      <c r="X14" s="207">
        <v>129.53113470319465</v>
      </c>
    </row>
    <row r="15" spans="1:24" ht="12.75">
      <c r="A15" s="121">
        <v>2622932000</v>
      </c>
      <c r="B15" s="121">
        <v>2293</v>
      </c>
      <c r="C15" s="121"/>
      <c r="D15" s="217">
        <v>3.2</v>
      </c>
      <c r="E15" s="121" t="s">
        <v>559</v>
      </c>
      <c r="F15" s="121" t="s">
        <v>574</v>
      </c>
      <c r="G15" s="198">
        <v>579.99</v>
      </c>
      <c r="I15" s="201" t="s">
        <v>620</v>
      </c>
      <c r="J15" s="202" t="s">
        <v>623</v>
      </c>
      <c r="K15" s="213">
        <v>1.9</v>
      </c>
      <c r="L15" s="203">
        <v>327.84313725490193</v>
      </c>
      <c r="M15" s="203">
        <v>777.6744186046511</v>
      </c>
      <c r="N15" s="204">
        <v>4.85</v>
      </c>
      <c r="O15" s="203">
        <v>3243.68</v>
      </c>
      <c r="P15" s="203">
        <v>446.4020626047335</v>
      </c>
      <c r="Q15" s="203">
        <v>480.4402198783444</v>
      </c>
      <c r="R15" s="203">
        <v>5363.775999999999</v>
      </c>
      <c r="S15" s="205">
        <v>2.04</v>
      </c>
      <c r="T15" s="205" t="e">
        <v>#N/A</v>
      </c>
      <c r="U15" s="205">
        <v>0.86</v>
      </c>
      <c r="V15" s="205">
        <v>1.18</v>
      </c>
      <c r="W15" s="206">
        <v>1.3720930232558142</v>
      </c>
      <c r="X15" s="207">
        <v>135.71297576006188</v>
      </c>
    </row>
    <row r="16" spans="1:24" ht="12.75">
      <c r="A16" s="121">
        <v>2622942000</v>
      </c>
      <c r="B16" s="121">
        <v>2294</v>
      </c>
      <c r="C16" s="121"/>
      <c r="D16" s="217">
        <v>3.2</v>
      </c>
      <c r="E16" s="121" t="s">
        <v>559</v>
      </c>
      <c r="F16" s="121" t="s">
        <v>574</v>
      </c>
      <c r="G16" s="198">
        <v>729.99</v>
      </c>
      <c r="I16" s="201" t="s">
        <v>653</v>
      </c>
      <c r="J16" s="202" t="s">
        <v>654</v>
      </c>
      <c r="K16" s="213">
        <v>1.9</v>
      </c>
      <c r="L16" s="203">
        <v>386.5895953757225</v>
      </c>
      <c r="M16" s="203">
        <v>777.6744186046511</v>
      </c>
      <c r="N16" s="209">
        <v>10.04</v>
      </c>
      <c r="O16" s="203">
        <v>6714.751999999999</v>
      </c>
      <c r="P16" s="203">
        <v>388.10344896192856</v>
      </c>
      <c r="Q16" s="203">
        <v>417.69633694527556</v>
      </c>
      <c r="R16" s="203">
        <v>1892.7039999999997</v>
      </c>
      <c r="S16" s="205">
        <v>1.73</v>
      </c>
      <c r="T16" s="205">
        <v>3.7239999999999998</v>
      </c>
      <c r="U16" s="205">
        <v>0.86</v>
      </c>
      <c r="V16" s="205">
        <v>1.18</v>
      </c>
      <c r="W16" s="206">
        <v>1.0116279069767442</v>
      </c>
      <c r="X16" s="207">
        <v>117.98931585135583</v>
      </c>
    </row>
    <row r="17" spans="1:24" ht="12.75">
      <c r="A17" s="121">
        <v>2622952000</v>
      </c>
      <c r="B17" s="121">
        <v>2295</v>
      </c>
      <c r="C17" s="121"/>
      <c r="D17" s="217">
        <v>3.2</v>
      </c>
      <c r="E17" s="121" t="s">
        <v>559</v>
      </c>
      <c r="F17" s="121" t="s">
        <v>568</v>
      </c>
      <c r="G17" s="198">
        <v>689.99</v>
      </c>
      <c r="I17" s="201" t="s">
        <v>653</v>
      </c>
      <c r="J17" s="202" t="s">
        <v>655</v>
      </c>
      <c r="K17" s="213">
        <v>1.9</v>
      </c>
      <c r="L17" s="203">
        <v>386.5895953757225</v>
      </c>
      <c r="M17" s="203">
        <v>777.6744186046511</v>
      </c>
      <c r="N17" s="208">
        <v>10.04</v>
      </c>
      <c r="O17" s="203">
        <v>6714.751999999999</v>
      </c>
      <c r="P17" s="203">
        <v>388.10344896192856</v>
      </c>
      <c r="Q17" s="203">
        <v>417.69633694527556</v>
      </c>
      <c r="R17" s="203">
        <v>1892.7039999999997</v>
      </c>
      <c r="S17" s="205">
        <v>1.73</v>
      </c>
      <c r="T17" s="205">
        <v>3.7239999999999998</v>
      </c>
      <c r="U17" s="205">
        <v>0.86</v>
      </c>
      <c r="V17" s="205">
        <v>1.18</v>
      </c>
      <c r="W17" s="206">
        <v>1.0116279069767442</v>
      </c>
      <c r="X17" s="207">
        <v>117.98931585135583</v>
      </c>
    </row>
    <row r="18" spans="1:24" ht="12.75">
      <c r="A18" s="121">
        <v>2622972000</v>
      </c>
      <c r="B18" s="121">
        <v>2297</v>
      </c>
      <c r="C18" s="121"/>
      <c r="D18" s="217">
        <v>3</v>
      </c>
      <c r="E18" s="121" t="s">
        <v>559</v>
      </c>
      <c r="F18" s="121" t="s">
        <v>575</v>
      </c>
      <c r="G18" s="198">
        <v>549.99</v>
      </c>
      <c r="I18" s="201" t="s">
        <v>618</v>
      </c>
      <c r="J18" s="202" t="s">
        <v>458</v>
      </c>
      <c r="K18" s="213">
        <v>1.96</v>
      </c>
      <c r="L18" s="203">
        <v>415.6144578313253</v>
      </c>
      <c r="M18" s="203">
        <v>802.2325581395348</v>
      </c>
      <c r="N18" s="202">
        <v>7.48</v>
      </c>
      <c r="O18" s="203">
        <v>5160.6016</v>
      </c>
      <c r="P18" s="203">
        <v>383.6707774080299</v>
      </c>
      <c r="Q18" s="203">
        <v>412.92567418539215</v>
      </c>
      <c r="R18" s="203">
        <v>3718.6687999999995</v>
      </c>
      <c r="S18" s="205">
        <v>1.66</v>
      </c>
      <c r="T18" s="205">
        <v>3.6761722488038275</v>
      </c>
      <c r="U18" s="205">
        <v>0.86</v>
      </c>
      <c r="V18" s="205">
        <v>1.18</v>
      </c>
      <c r="W18" s="206">
        <v>0.9302325581395348</v>
      </c>
      <c r="X18" s="207">
        <v>116.64171668562521</v>
      </c>
    </row>
    <row r="19" spans="1:24" ht="12.75">
      <c r="A19" s="121">
        <v>2622982000</v>
      </c>
      <c r="B19" s="121">
        <v>2298</v>
      </c>
      <c r="C19" s="121"/>
      <c r="D19" s="217">
        <v>3</v>
      </c>
      <c r="E19" s="121" t="s">
        <v>559</v>
      </c>
      <c r="F19" s="121" t="s">
        <v>575</v>
      </c>
      <c r="G19" s="198">
        <v>749.99</v>
      </c>
      <c r="I19" s="201" t="s">
        <v>618</v>
      </c>
      <c r="J19" s="202" t="s">
        <v>459</v>
      </c>
      <c r="K19" s="213">
        <v>1.96</v>
      </c>
      <c r="L19" s="203">
        <v>436.6582278481012</v>
      </c>
      <c r="M19" s="203">
        <v>802.2325581395348</v>
      </c>
      <c r="N19" s="202">
        <v>7.48</v>
      </c>
      <c r="O19" s="203">
        <v>5160.6016</v>
      </c>
      <c r="P19" s="203">
        <v>362.7874312959473</v>
      </c>
      <c r="Q19" s="203">
        <v>390.4499729322632</v>
      </c>
      <c r="R19" s="203">
        <v>3718.6687999999995</v>
      </c>
      <c r="S19" s="205">
        <v>1.58</v>
      </c>
      <c r="T19" s="205">
        <v>3.6761722488038275</v>
      </c>
      <c r="U19" s="205">
        <v>0.86</v>
      </c>
      <c r="V19" s="205">
        <v>1.18</v>
      </c>
      <c r="W19" s="206">
        <v>0.8372093023255816</v>
      </c>
      <c r="X19" s="207">
        <v>110.29286375210384</v>
      </c>
    </row>
    <row r="20" spans="1:24" ht="12.75">
      <c r="A20" s="121">
        <v>2622992000</v>
      </c>
      <c r="B20" s="121">
        <v>2299</v>
      </c>
      <c r="C20" s="121"/>
      <c r="D20" s="217">
        <v>3</v>
      </c>
      <c r="E20" s="121" t="s">
        <v>559</v>
      </c>
      <c r="F20" s="121" t="s">
        <v>575</v>
      </c>
      <c r="G20" s="198">
        <v>699.99</v>
      </c>
      <c r="I20" s="201" t="s">
        <v>618</v>
      </c>
      <c r="J20" s="202" t="s">
        <v>460</v>
      </c>
      <c r="K20" s="213">
        <v>1.96</v>
      </c>
      <c r="L20" s="203">
        <v>396.50574712643675</v>
      </c>
      <c r="M20" s="203">
        <v>802.2325581395348</v>
      </c>
      <c r="N20" s="202">
        <v>7.48</v>
      </c>
      <c r="O20" s="203">
        <v>5160.6016</v>
      </c>
      <c r="P20" s="203">
        <v>402.63381583164517</v>
      </c>
      <c r="Q20" s="203">
        <v>433.3346442888081</v>
      </c>
      <c r="R20" s="203">
        <v>3718.6687999999995</v>
      </c>
      <c r="S20" s="205">
        <v>1.74</v>
      </c>
      <c r="T20" s="205">
        <v>4.065185185185185</v>
      </c>
      <c r="U20" s="205">
        <v>0.86</v>
      </c>
      <c r="V20" s="205">
        <v>1.18</v>
      </c>
      <c r="W20" s="206">
        <v>1.0232558139534884</v>
      </c>
      <c r="X20" s="207">
        <v>122.40676705054692</v>
      </c>
    </row>
    <row r="21" spans="1:24" ht="12.75">
      <c r="A21" s="121">
        <v>2623012000</v>
      </c>
      <c r="B21" s="121">
        <v>2301</v>
      </c>
      <c r="C21" s="121"/>
      <c r="D21" s="217">
        <v>3.2</v>
      </c>
      <c r="E21" s="121" t="s">
        <v>559</v>
      </c>
      <c r="F21" s="121" t="s">
        <v>560</v>
      </c>
      <c r="G21" s="198">
        <v>729.99</v>
      </c>
      <c r="I21" s="201" t="s">
        <v>618</v>
      </c>
      <c r="J21" s="202" t="s">
        <v>461</v>
      </c>
      <c r="K21" s="213">
        <v>1.96</v>
      </c>
      <c r="L21" s="203">
        <v>374.9565217391304</v>
      </c>
      <c r="M21" s="203">
        <v>802.2325581395348</v>
      </c>
      <c r="N21" s="202">
        <v>7.48</v>
      </c>
      <c r="O21" s="203">
        <v>5160.6016</v>
      </c>
      <c r="P21" s="203">
        <v>424.0187640539287</v>
      </c>
      <c r="Q21" s="203">
        <v>456.3501948130408</v>
      </c>
      <c r="R21" s="203">
        <v>3718.6687999999995</v>
      </c>
      <c r="S21" s="205">
        <v>1.84</v>
      </c>
      <c r="T21" s="205">
        <v>4.065185185185185</v>
      </c>
      <c r="U21" s="205">
        <v>0.86</v>
      </c>
      <c r="V21" s="205">
        <v>1.18</v>
      </c>
      <c r="W21" s="206">
        <v>1.1395348837209305</v>
      </c>
      <c r="X21" s="207">
        <v>128.90811460881463</v>
      </c>
    </row>
    <row r="22" spans="1:24" ht="12.75">
      <c r="A22" s="121">
        <v>2623022000</v>
      </c>
      <c r="B22" s="121">
        <v>2302</v>
      </c>
      <c r="C22" s="121"/>
      <c r="D22" s="217">
        <v>3.2</v>
      </c>
      <c r="E22" s="121" t="s">
        <v>559</v>
      </c>
      <c r="F22" s="121" t="s">
        <v>560</v>
      </c>
      <c r="G22" s="198">
        <v>499.99</v>
      </c>
      <c r="I22" s="201" t="s">
        <v>640</v>
      </c>
      <c r="J22" s="202" t="s">
        <v>641</v>
      </c>
      <c r="K22" s="213">
        <v>1.96</v>
      </c>
      <c r="L22" s="203">
        <v>328.5333333333333</v>
      </c>
      <c r="M22" s="203">
        <v>802.2325581395348</v>
      </c>
      <c r="N22" s="202">
        <v>5.04</v>
      </c>
      <c r="O22" s="203">
        <v>3477.1967999999997</v>
      </c>
      <c r="P22" s="203">
        <v>470.0880525099338</v>
      </c>
      <c r="Q22" s="203">
        <v>505.9322665138162</v>
      </c>
      <c r="R22" s="203">
        <v>5402.0736</v>
      </c>
      <c r="S22" s="205">
        <v>2.1</v>
      </c>
      <c r="T22" s="205">
        <v>6.681043478260869</v>
      </c>
      <c r="U22" s="205">
        <v>0.86</v>
      </c>
      <c r="V22" s="205">
        <v>1.18</v>
      </c>
      <c r="W22" s="206">
        <v>1.4418604651162794</v>
      </c>
      <c r="X22" s="207">
        <v>142.913874777197</v>
      </c>
    </row>
    <row r="23" spans="1:24" ht="12.75">
      <c r="A23" s="121">
        <v>2623032000</v>
      </c>
      <c r="B23" s="121">
        <v>2303</v>
      </c>
      <c r="C23" s="121"/>
      <c r="D23" s="217">
        <v>3.2</v>
      </c>
      <c r="E23" s="121" t="s">
        <v>559</v>
      </c>
      <c r="F23" s="121" t="s">
        <v>560</v>
      </c>
      <c r="G23" s="198">
        <v>589.99</v>
      </c>
      <c r="I23" s="201" t="s">
        <v>652</v>
      </c>
      <c r="J23" s="202" t="s">
        <v>540</v>
      </c>
      <c r="K23" s="213">
        <v>2</v>
      </c>
      <c r="L23" s="203">
        <v>442.76729559748424</v>
      </c>
      <c r="M23" s="203">
        <v>818.6046511627907</v>
      </c>
      <c r="N23" s="204">
        <v>7.44</v>
      </c>
      <c r="O23" s="203">
        <v>5237.76</v>
      </c>
      <c r="P23" s="203">
        <v>372.972217994361</v>
      </c>
      <c r="Q23" s="203">
        <v>401.411349616431</v>
      </c>
      <c r="R23" s="203">
        <v>3822.72</v>
      </c>
      <c r="S23" s="205">
        <v>1.59</v>
      </c>
      <c r="T23" s="205">
        <v>2.83</v>
      </c>
      <c r="U23" s="205">
        <v>0.86</v>
      </c>
      <c r="V23" s="205">
        <v>1.18</v>
      </c>
      <c r="W23" s="206">
        <v>0.8488372093023258</v>
      </c>
      <c r="X23" s="207">
        <v>113.38919288252522</v>
      </c>
    </row>
    <row r="24" spans="1:24" ht="12.75">
      <c r="A24" s="121">
        <v>2623812000</v>
      </c>
      <c r="B24" s="121">
        <v>2381</v>
      </c>
      <c r="C24" s="121"/>
      <c r="D24" s="217">
        <v>3.2</v>
      </c>
      <c r="E24" s="121" t="s">
        <v>419</v>
      </c>
      <c r="F24" s="121" t="s">
        <v>667</v>
      </c>
      <c r="G24" s="198">
        <v>589.99</v>
      </c>
      <c r="I24" s="201" t="s">
        <v>656</v>
      </c>
      <c r="J24" s="202" t="s">
        <v>433</v>
      </c>
      <c r="K24" s="213">
        <v>2</v>
      </c>
      <c r="L24" s="203">
        <v>475.6756756756757</v>
      </c>
      <c r="M24" s="203">
        <v>818.6046511627907</v>
      </c>
      <c r="N24" s="204">
        <v>7.11</v>
      </c>
      <c r="O24" s="203">
        <v>5005.44</v>
      </c>
      <c r="P24" s="203">
        <v>340.31470982862</v>
      </c>
      <c r="Q24" s="203">
        <v>366.26370645305224</v>
      </c>
      <c r="R24" s="203">
        <v>4055.04</v>
      </c>
      <c r="S24" s="205">
        <v>1.48</v>
      </c>
      <c r="T24" s="205">
        <v>2.96</v>
      </c>
      <c r="U24" s="205">
        <v>0.86</v>
      </c>
      <c r="V24" s="205">
        <v>1.18</v>
      </c>
      <c r="W24" s="206">
        <v>0.7209302325581395</v>
      </c>
      <c r="X24" s="207">
        <v>103.46081668233373</v>
      </c>
    </row>
    <row r="25" spans="1:24" ht="12.75">
      <c r="A25" s="121">
        <v>2623822000</v>
      </c>
      <c r="B25" s="121">
        <v>2382</v>
      </c>
      <c r="C25" s="121"/>
      <c r="D25" s="217">
        <v>3.2</v>
      </c>
      <c r="E25" s="121" t="s">
        <v>419</v>
      </c>
      <c r="F25" s="121" t="s">
        <v>667</v>
      </c>
      <c r="G25" s="198">
        <v>429.99</v>
      </c>
      <c r="I25" s="201" t="s">
        <v>657</v>
      </c>
      <c r="J25" s="202" t="s">
        <v>540</v>
      </c>
      <c r="K25" s="213">
        <v>2</v>
      </c>
      <c r="L25" s="203">
        <v>442.76729559748424</v>
      </c>
      <c r="M25" s="203">
        <v>818.6046511627907</v>
      </c>
      <c r="N25" s="202">
        <v>7.44</v>
      </c>
      <c r="O25" s="203">
        <v>5237.76</v>
      </c>
      <c r="P25" s="203">
        <v>372.972217994361</v>
      </c>
      <c r="Q25" s="203">
        <v>401.411349616431</v>
      </c>
      <c r="R25" s="203">
        <v>3822.72</v>
      </c>
      <c r="S25" s="205">
        <v>1.59</v>
      </c>
      <c r="T25" s="205">
        <v>2.83</v>
      </c>
      <c r="U25" s="205">
        <v>0.86</v>
      </c>
      <c r="V25" s="205">
        <v>1.18</v>
      </c>
      <c r="W25" s="206">
        <v>0.8488372093023258</v>
      </c>
      <c r="X25" s="207">
        <v>113.38919288252522</v>
      </c>
    </row>
    <row r="26" spans="1:24" ht="12.75">
      <c r="A26" s="121">
        <v>2623832000</v>
      </c>
      <c r="B26" s="121">
        <v>2383</v>
      </c>
      <c r="C26" s="121"/>
      <c r="D26" s="217">
        <v>3.2</v>
      </c>
      <c r="E26" s="121" t="s">
        <v>419</v>
      </c>
      <c r="F26" s="121" t="s">
        <v>667</v>
      </c>
      <c r="G26" s="198">
        <v>459.99</v>
      </c>
      <c r="I26" s="201" t="s">
        <v>650</v>
      </c>
      <c r="J26" s="202" t="s">
        <v>427</v>
      </c>
      <c r="K26" s="213">
        <v>2.01</v>
      </c>
      <c r="L26" s="203">
        <v>431.4146341463415</v>
      </c>
      <c r="M26" s="203">
        <v>822.6976744186046</v>
      </c>
      <c r="N26" s="202">
        <v>7.57</v>
      </c>
      <c r="O26" s="203">
        <v>5355.9264</v>
      </c>
      <c r="P26" s="203">
        <v>388.30015492849105</v>
      </c>
      <c r="Q26" s="203">
        <v>417.9080417417885</v>
      </c>
      <c r="R26" s="203">
        <v>3749.855999999998</v>
      </c>
      <c r="S26" s="205">
        <v>1.64</v>
      </c>
      <c r="T26" s="205">
        <v>2.824086021505376</v>
      </c>
      <c r="U26" s="205">
        <v>0.86</v>
      </c>
      <c r="V26" s="205">
        <v>1.18</v>
      </c>
      <c r="W26" s="206">
        <v>0.9069767441860463</v>
      </c>
      <c r="X26" s="207">
        <v>118.04911743900126</v>
      </c>
    </row>
    <row r="27" spans="1:24" ht="12.75">
      <c r="A27" s="121">
        <v>2623902000</v>
      </c>
      <c r="B27" s="121">
        <v>2390</v>
      </c>
      <c r="C27" s="121"/>
      <c r="D27" s="217">
        <v>3.2</v>
      </c>
      <c r="E27" s="121" t="s">
        <v>419</v>
      </c>
      <c r="F27" s="121" t="s">
        <v>565</v>
      </c>
      <c r="G27" s="198">
        <v>459.99</v>
      </c>
      <c r="I27" s="201" t="s">
        <v>620</v>
      </c>
      <c r="J27" s="202" t="s">
        <v>478</v>
      </c>
      <c r="K27" s="213">
        <v>2.5</v>
      </c>
      <c r="L27" s="203">
        <v>578.9473684210526</v>
      </c>
      <c r="M27" s="203">
        <v>1023.2558139534884</v>
      </c>
      <c r="N27" s="210">
        <v>8.04</v>
      </c>
      <c r="O27" s="203">
        <v>7075.2</v>
      </c>
      <c r="P27" s="203">
        <v>440.92132926649526</v>
      </c>
      <c r="Q27" s="203">
        <v>474.5415806230655</v>
      </c>
      <c r="R27" s="203">
        <v>4250.4</v>
      </c>
      <c r="S27" s="205">
        <v>1.52</v>
      </c>
      <c r="T27" s="205">
        <v>3.2026143790849675</v>
      </c>
      <c r="U27" s="205">
        <v>0.86</v>
      </c>
      <c r="V27" s="205">
        <v>1.18</v>
      </c>
      <c r="W27" s="206">
        <v>0.7674418604651163</v>
      </c>
      <c r="X27" s="207">
        <v>134.0467499672427</v>
      </c>
    </row>
    <row r="28" spans="1:24" ht="12.75">
      <c r="A28" s="121">
        <v>2623922000</v>
      </c>
      <c r="B28" s="121">
        <v>2392</v>
      </c>
      <c r="C28" s="121"/>
      <c r="D28" s="217">
        <v>3.2</v>
      </c>
      <c r="E28" s="121" t="s">
        <v>419</v>
      </c>
      <c r="F28" s="121" t="s">
        <v>565</v>
      </c>
      <c r="G28" s="198">
        <v>519.99</v>
      </c>
      <c r="I28" s="201" t="s">
        <v>625</v>
      </c>
      <c r="J28" s="202" t="s">
        <v>485</v>
      </c>
      <c r="K28" s="213">
        <v>2.65</v>
      </c>
      <c r="L28" s="203">
        <v>555.2380952380952</v>
      </c>
      <c r="M28" s="203">
        <v>1084.6511627906975</v>
      </c>
      <c r="N28" s="208">
        <v>9.43</v>
      </c>
      <c r="O28" s="203">
        <v>8796.304</v>
      </c>
      <c r="P28" s="203">
        <v>525.3771694495175</v>
      </c>
      <c r="Q28" s="203">
        <v>565.4371786200433</v>
      </c>
      <c r="R28" s="203">
        <v>3208.8319999999985</v>
      </c>
      <c r="S28" s="205">
        <v>1.68</v>
      </c>
      <c r="T28" s="205">
        <v>4.01</v>
      </c>
      <c r="U28" s="205">
        <v>0.86</v>
      </c>
      <c r="V28" s="205">
        <v>1.18</v>
      </c>
      <c r="W28" s="206">
        <v>0.9534883720930232</v>
      </c>
      <c r="X28" s="207">
        <v>159.7226021904054</v>
      </c>
    </row>
    <row r="29" spans="1:24" ht="12.75">
      <c r="A29" s="121">
        <v>2623932000</v>
      </c>
      <c r="B29" s="121">
        <v>2393</v>
      </c>
      <c r="C29" s="121"/>
      <c r="D29" s="217">
        <v>3.2</v>
      </c>
      <c r="E29" s="121" t="s">
        <v>419</v>
      </c>
      <c r="F29" s="121" t="s">
        <v>565</v>
      </c>
      <c r="G29" s="198">
        <v>449.88</v>
      </c>
      <c r="I29" s="201" t="s">
        <v>625</v>
      </c>
      <c r="J29" s="202" t="s">
        <v>486</v>
      </c>
      <c r="K29" s="213">
        <v>2.65</v>
      </c>
      <c r="L29" s="203">
        <v>555.2380952380952</v>
      </c>
      <c r="M29" s="203">
        <v>1084.6511627906975</v>
      </c>
      <c r="N29" s="215">
        <v>9.43</v>
      </c>
      <c r="O29" s="203">
        <v>8796.304</v>
      </c>
      <c r="P29" s="203">
        <v>525.3771694495175</v>
      </c>
      <c r="Q29" s="203">
        <v>565.4371786200433</v>
      </c>
      <c r="R29" s="203">
        <v>3208.8319999999985</v>
      </c>
      <c r="S29" s="205">
        <v>1.68</v>
      </c>
      <c r="T29" s="205">
        <v>4.01</v>
      </c>
      <c r="U29" s="205">
        <v>0.86</v>
      </c>
      <c r="V29" s="205">
        <v>1.18</v>
      </c>
      <c r="W29" s="206">
        <v>0.9534883720930232</v>
      </c>
      <c r="X29" s="207">
        <v>159.7226021904054</v>
      </c>
    </row>
    <row r="30" spans="1:24" ht="12.75">
      <c r="A30" s="121">
        <v>2630932000</v>
      </c>
      <c r="B30" s="121">
        <v>3093</v>
      </c>
      <c r="C30" s="121"/>
      <c r="D30" s="217">
        <v>3</v>
      </c>
      <c r="E30" s="121" t="s">
        <v>579</v>
      </c>
      <c r="F30" s="121" t="s">
        <v>580</v>
      </c>
      <c r="G30" s="198">
        <v>749.99</v>
      </c>
      <c r="I30" s="201" t="s">
        <v>625</v>
      </c>
      <c r="J30" s="202" t="s">
        <v>487</v>
      </c>
      <c r="K30" s="213">
        <v>2.65</v>
      </c>
      <c r="L30" s="203">
        <v>555.2380952380952</v>
      </c>
      <c r="M30" s="203">
        <v>1084.6511627906975</v>
      </c>
      <c r="N30" s="208">
        <v>9.43</v>
      </c>
      <c r="O30" s="203">
        <v>8796.304</v>
      </c>
      <c r="P30" s="203">
        <v>525.3771694495175</v>
      </c>
      <c r="Q30" s="203">
        <v>565.4371786200433</v>
      </c>
      <c r="R30" s="203">
        <v>3208.8319999999985</v>
      </c>
      <c r="S30" s="205">
        <v>1.68</v>
      </c>
      <c r="T30" s="205">
        <v>4.01</v>
      </c>
      <c r="U30" s="205">
        <v>0.86</v>
      </c>
      <c r="V30" s="205">
        <v>1.18</v>
      </c>
      <c r="W30" s="206">
        <v>0.9534883720930232</v>
      </c>
      <c r="X30" s="207">
        <v>159.7226021904054</v>
      </c>
    </row>
    <row r="31" spans="1:24" ht="12.75">
      <c r="A31" s="121">
        <v>2630942000</v>
      </c>
      <c r="B31" s="121">
        <v>3094</v>
      </c>
      <c r="C31" s="121"/>
      <c r="D31" s="217">
        <v>3.5</v>
      </c>
      <c r="E31" s="121" t="s">
        <v>579</v>
      </c>
      <c r="F31" s="121" t="s">
        <v>581</v>
      </c>
      <c r="G31" s="198">
        <v>669.99</v>
      </c>
      <c r="I31" s="201" t="s">
        <v>625</v>
      </c>
      <c r="J31" s="202" t="s">
        <v>488</v>
      </c>
      <c r="K31" s="213">
        <v>2.65</v>
      </c>
      <c r="L31" s="203">
        <v>555.2380952380952</v>
      </c>
      <c r="M31" s="203">
        <v>1084.6511627906975</v>
      </c>
      <c r="N31" s="208">
        <v>9.43</v>
      </c>
      <c r="O31" s="203">
        <v>8796.304</v>
      </c>
      <c r="P31" s="203">
        <v>525.3771694495175</v>
      </c>
      <c r="Q31" s="203">
        <v>565.4371786200433</v>
      </c>
      <c r="R31" s="203">
        <v>3208.8319999999985</v>
      </c>
      <c r="S31" s="205">
        <v>1.68</v>
      </c>
      <c r="T31" s="205">
        <v>4.010810810810811</v>
      </c>
      <c r="U31" s="205">
        <v>0.86</v>
      </c>
      <c r="V31" s="205">
        <v>1.18</v>
      </c>
      <c r="W31" s="206">
        <v>0.9534883720930232</v>
      </c>
      <c r="X31" s="207">
        <v>159.7226021904054</v>
      </c>
    </row>
    <row r="32" spans="1:24" ht="12.75">
      <c r="A32" s="121">
        <v>2635702000</v>
      </c>
      <c r="B32" s="121">
        <v>3570</v>
      </c>
      <c r="C32" s="121"/>
      <c r="D32" s="217">
        <v>3.2</v>
      </c>
      <c r="E32" s="121" t="s">
        <v>503</v>
      </c>
      <c r="F32" s="121" t="s">
        <v>668</v>
      </c>
      <c r="G32" s="198">
        <v>519.99</v>
      </c>
      <c r="I32" s="201" t="s">
        <v>625</v>
      </c>
      <c r="J32" s="202" t="s">
        <v>626</v>
      </c>
      <c r="K32" s="213">
        <v>2.65</v>
      </c>
      <c r="L32" s="203">
        <v>555.2380952380952</v>
      </c>
      <c r="M32" s="203">
        <v>1084.6511627906975</v>
      </c>
      <c r="N32" s="208">
        <v>9.43</v>
      </c>
      <c r="O32" s="203">
        <v>8796.304</v>
      </c>
      <c r="P32" s="203">
        <v>525.3771694495175</v>
      </c>
      <c r="Q32" s="203">
        <v>565.4371786200433</v>
      </c>
      <c r="R32" s="203">
        <v>3208.8319999999985</v>
      </c>
      <c r="S32" s="205">
        <v>1.68</v>
      </c>
      <c r="T32" s="205">
        <v>4.010810810810811</v>
      </c>
      <c r="U32" s="205">
        <v>0.86</v>
      </c>
      <c r="V32" s="205">
        <v>1.18</v>
      </c>
      <c r="W32" s="206">
        <v>0.9534883720930232</v>
      </c>
      <c r="X32" s="207">
        <v>159.7226021904054</v>
      </c>
    </row>
    <row r="33" spans="1:24" ht="12.75">
      <c r="A33" s="121">
        <v>2635822000</v>
      </c>
      <c r="B33" s="121">
        <v>3582</v>
      </c>
      <c r="C33" s="121"/>
      <c r="D33" s="217">
        <v>3.2</v>
      </c>
      <c r="E33" s="121" t="s">
        <v>503</v>
      </c>
      <c r="F33" s="121" t="s">
        <v>563</v>
      </c>
      <c r="G33" s="198">
        <v>799.99</v>
      </c>
      <c r="I33" s="201" t="s">
        <v>625</v>
      </c>
      <c r="J33" s="202" t="s">
        <v>627</v>
      </c>
      <c r="K33" s="213">
        <v>2.65</v>
      </c>
      <c r="L33" s="203">
        <v>555.2380952380952</v>
      </c>
      <c r="M33" s="203">
        <v>1084.6511627906975</v>
      </c>
      <c r="N33" s="208">
        <v>9.43</v>
      </c>
      <c r="O33" s="203">
        <v>8796.304</v>
      </c>
      <c r="P33" s="203">
        <v>525.3771694495175</v>
      </c>
      <c r="Q33" s="203">
        <v>565.4371786200433</v>
      </c>
      <c r="R33" s="203">
        <v>3208.8319999999985</v>
      </c>
      <c r="S33" s="205">
        <v>1.68</v>
      </c>
      <c r="T33" s="205">
        <v>4.010810810810811</v>
      </c>
      <c r="U33" s="205">
        <v>0.86</v>
      </c>
      <c r="V33" s="205">
        <v>1.18</v>
      </c>
      <c r="W33" s="206">
        <v>0.9534883720930232</v>
      </c>
      <c r="X33" s="207">
        <v>159.7226021904054</v>
      </c>
    </row>
    <row r="34" spans="1:24" ht="12.75">
      <c r="A34" s="121">
        <v>2636972000</v>
      </c>
      <c r="B34" s="121">
        <v>3697</v>
      </c>
      <c r="C34" s="121"/>
      <c r="D34" s="217">
        <v>3.3</v>
      </c>
      <c r="E34" s="121" t="s">
        <v>421</v>
      </c>
      <c r="F34" s="121" t="s">
        <v>583</v>
      </c>
      <c r="G34" s="198">
        <v>529.99</v>
      </c>
      <c r="I34" s="201" t="s">
        <v>625</v>
      </c>
      <c r="J34" s="202" t="s">
        <v>483</v>
      </c>
      <c r="K34" s="213">
        <v>2.65</v>
      </c>
      <c r="L34" s="203">
        <v>647.7777777777777</v>
      </c>
      <c r="M34" s="203">
        <v>1084.6511627906975</v>
      </c>
      <c r="N34" s="202">
        <v>9.44</v>
      </c>
      <c r="O34" s="203">
        <v>8805.632</v>
      </c>
      <c r="P34" s="203">
        <v>433.54294877338236</v>
      </c>
      <c r="Q34" s="203">
        <v>466.6005986173527</v>
      </c>
      <c r="R34" s="203">
        <v>3199.503999999999</v>
      </c>
      <c r="S34" s="205">
        <v>1.44</v>
      </c>
      <c r="T34" s="205">
        <v>2.96</v>
      </c>
      <c r="U34" s="205">
        <v>0.86</v>
      </c>
      <c r="V34" s="205">
        <v>1.18</v>
      </c>
      <c r="W34" s="206">
        <v>0.6744186046511627</v>
      </c>
      <c r="X34" s="207">
        <v>131.80361075061907</v>
      </c>
    </row>
    <row r="35" spans="1:24" ht="12.75">
      <c r="A35" s="121">
        <v>2636982000</v>
      </c>
      <c r="B35" s="121">
        <v>3698</v>
      </c>
      <c r="C35" s="121"/>
      <c r="D35" s="217">
        <v>3.3</v>
      </c>
      <c r="E35" s="121" t="s">
        <v>421</v>
      </c>
      <c r="F35" s="121" t="s">
        <v>587</v>
      </c>
      <c r="G35" s="198">
        <v>529.99</v>
      </c>
      <c r="I35" s="201" t="s">
        <v>625</v>
      </c>
      <c r="J35" s="202" t="s">
        <v>489</v>
      </c>
      <c r="K35" s="213">
        <v>2.65</v>
      </c>
      <c r="L35" s="203">
        <v>555.2380952380952</v>
      </c>
      <c r="M35" s="203">
        <v>1084.6511627906975</v>
      </c>
      <c r="N35" s="202">
        <v>9.43</v>
      </c>
      <c r="O35" s="203">
        <v>8796.304</v>
      </c>
      <c r="P35" s="203">
        <v>525.3771694495175</v>
      </c>
      <c r="Q35" s="203">
        <v>565.4371786200433</v>
      </c>
      <c r="R35" s="203">
        <v>3208.8319999999985</v>
      </c>
      <c r="S35" s="205">
        <v>1.68</v>
      </c>
      <c r="T35" s="205">
        <v>4.010810810810811</v>
      </c>
      <c r="U35" s="205">
        <v>0.86</v>
      </c>
      <c r="V35" s="205">
        <v>1.18</v>
      </c>
      <c r="W35" s="206">
        <v>0.9534883720930232</v>
      </c>
      <c r="X35" s="207">
        <v>159.7226021904054</v>
      </c>
    </row>
    <row r="36" spans="1:24" ht="12.75">
      <c r="A36" s="121">
        <v>2637642000</v>
      </c>
      <c r="B36" s="121">
        <v>3764</v>
      </c>
      <c r="C36" s="121"/>
      <c r="D36" s="217">
        <v>3.3</v>
      </c>
      <c r="E36" s="121" t="s">
        <v>421</v>
      </c>
      <c r="F36" s="121" t="s">
        <v>566</v>
      </c>
      <c r="G36" s="198">
        <v>519.88</v>
      </c>
      <c r="I36" s="201" t="s">
        <v>625</v>
      </c>
      <c r="J36" s="202" t="s">
        <v>490</v>
      </c>
      <c r="K36" s="213">
        <v>2.65</v>
      </c>
      <c r="L36" s="203">
        <v>555.2380952380952</v>
      </c>
      <c r="M36" s="203">
        <v>1084.6511627906975</v>
      </c>
      <c r="N36" s="202">
        <v>9.43</v>
      </c>
      <c r="O36" s="203">
        <v>8796.304</v>
      </c>
      <c r="P36" s="203">
        <v>525.3771694495175</v>
      </c>
      <c r="Q36" s="203">
        <v>565.4371786200433</v>
      </c>
      <c r="R36" s="203">
        <v>3208.8319999999985</v>
      </c>
      <c r="S36" s="205">
        <v>1.68</v>
      </c>
      <c r="T36" s="205">
        <v>4.010810810810811</v>
      </c>
      <c r="U36" s="205">
        <v>0.86</v>
      </c>
      <c r="V36" s="205">
        <v>1.18</v>
      </c>
      <c r="W36" s="206">
        <v>0.9534883720930232</v>
      </c>
      <c r="X36" s="207">
        <v>159.7226021904054</v>
      </c>
    </row>
    <row r="37" spans="1:24" ht="12.75">
      <c r="A37" s="121">
        <v>2637652000</v>
      </c>
      <c r="B37" s="121">
        <v>3765</v>
      </c>
      <c r="C37" s="121"/>
      <c r="D37" s="217">
        <v>3.3</v>
      </c>
      <c r="E37" s="121" t="s">
        <v>421</v>
      </c>
      <c r="F37" s="121" t="s">
        <v>566</v>
      </c>
      <c r="G37" s="198">
        <v>649.99</v>
      </c>
      <c r="I37" s="201" t="s">
        <v>625</v>
      </c>
      <c r="J37" s="202" t="s">
        <v>628</v>
      </c>
      <c r="K37" s="213">
        <v>2.65</v>
      </c>
      <c r="L37" s="203">
        <v>647.7777777777777</v>
      </c>
      <c r="M37" s="203">
        <v>1084.6511627906975</v>
      </c>
      <c r="N37" s="202">
        <v>9.44</v>
      </c>
      <c r="O37" s="203">
        <v>8805.632</v>
      </c>
      <c r="P37" s="203">
        <v>433.54294877338236</v>
      </c>
      <c r="Q37" s="203">
        <v>466.6005986173527</v>
      </c>
      <c r="R37" s="203">
        <v>3199.503999999999</v>
      </c>
      <c r="S37" s="205">
        <v>1.44</v>
      </c>
      <c r="T37" s="205">
        <v>2.9595441595441594</v>
      </c>
      <c r="U37" s="205">
        <v>0.86</v>
      </c>
      <c r="V37" s="205">
        <v>1.18</v>
      </c>
      <c r="W37" s="206">
        <v>0.6744186046511627</v>
      </c>
      <c r="X37" s="207">
        <v>131.80361075061907</v>
      </c>
    </row>
    <row r="38" spans="1:24" ht="12.75">
      <c r="A38" s="121">
        <v>2637742000</v>
      </c>
      <c r="B38" s="121">
        <v>3774</v>
      </c>
      <c r="C38" s="121"/>
      <c r="D38" s="217">
        <v>3.2</v>
      </c>
      <c r="E38" s="121" t="s">
        <v>421</v>
      </c>
      <c r="F38" s="121" t="s">
        <v>564</v>
      </c>
      <c r="G38" s="198">
        <v>999.99</v>
      </c>
      <c r="I38" s="201" t="s">
        <v>625</v>
      </c>
      <c r="J38" s="202" t="s">
        <v>629</v>
      </c>
      <c r="K38" s="213">
        <v>2.65</v>
      </c>
      <c r="L38" s="203">
        <v>647.7777777777777</v>
      </c>
      <c r="M38" s="203">
        <v>1084.6511627906975</v>
      </c>
      <c r="N38" s="202">
        <v>9.44</v>
      </c>
      <c r="O38" s="203">
        <v>8805.632</v>
      </c>
      <c r="P38" s="203">
        <v>433.54294877338236</v>
      </c>
      <c r="Q38" s="203">
        <v>466.6005986173527</v>
      </c>
      <c r="R38" s="203">
        <v>3199.503999999999</v>
      </c>
      <c r="S38" s="205">
        <v>1.44</v>
      </c>
      <c r="T38" s="205">
        <v>2.9595441595441594</v>
      </c>
      <c r="U38" s="205">
        <v>0.86</v>
      </c>
      <c r="V38" s="205">
        <v>1.18</v>
      </c>
      <c r="W38" s="206">
        <v>0.6744186046511627</v>
      </c>
      <c r="X38" s="207">
        <v>131.80361075061907</v>
      </c>
    </row>
    <row r="39" spans="1:24" ht="12.75">
      <c r="A39" s="121">
        <v>2637862000</v>
      </c>
      <c r="B39" s="121">
        <v>3786</v>
      </c>
      <c r="C39" s="121"/>
      <c r="D39" s="217">
        <v>3.2</v>
      </c>
      <c r="E39" s="121" t="s">
        <v>421</v>
      </c>
      <c r="F39" s="121" t="s">
        <v>572</v>
      </c>
      <c r="G39" s="198">
        <v>449.99</v>
      </c>
      <c r="I39" s="201" t="s">
        <v>625</v>
      </c>
      <c r="J39" s="202" t="s">
        <v>630</v>
      </c>
      <c r="K39" s="213">
        <v>2.65</v>
      </c>
      <c r="L39" s="203">
        <v>555.2380952380952</v>
      </c>
      <c r="M39" s="203">
        <v>1084.6511627906975</v>
      </c>
      <c r="N39" s="202">
        <v>9.43</v>
      </c>
      <c r="O39" s="203">
        <v>8796.304</v>
      </c>
      <c r="P39" s="203">
        <v>525.3771694495175</v>
      </c>
      <c r="Q39" s="203">
        <v>565.4371786200433</v>
      </c>
      <c r="R39" s="203">
        <v>3208.8319999999985</v>
      </c>
      <c r="S39" s="205">
        <v>1.68</v>
      </c>
      <c r="T39" s="205">
        <v>4.010810810810811</v>
      </c>
      <c r="U39" s="205">
        <v>0.86</v>
      </c>
      <c r="V39" s="205">
        <v>1.18</v>
      </c>
      <c r="W39" s="206">
        <v>0.9534883720930232</v>
      </c>
      <c r="X39" s="207">
        <v>159.7226021904054</v>
      </c>
    </row>
    <row r="40" spans="1:24" ht="12.75">
      <c r="A40" s="121">
        <v>2637882000</v>
      </c>
      <c r="B40" s="121">
        <v>3788</v>
      </c>
      <c r="C40" s="121"/>
      <c r="D40" s="217">
        <v>3.2</v>
      </c>
      <c r="E40" s="121" t="s">
        <v>421</v>
      </c>
      <c r="F40" s="121" t="s">
        <v>573</v>
      </c>
      <c r="G40" s="198">
        <v>499.99</v>
      </c>
      <c r="I40" s="201" t="s">
        <v>625</v>
      </c>
      <c r="J40" s="202" t="s">
        <v>631</v>
      </c>
      <c r="K40" s="213">
        <v>2.65</v>
      </c>
      <c r="L40" s="203">
        <v>555.2380952380952</v>
      </c>
      <c r="M40" s="203">
        <v>1084.6511627906975</v>
      </c>
      <c r="N40" s="202">
        <v>9.43</v>
      </c>
      <c r="O40" s="203">
        <v>8796.304</v>
      </c>
      <c r="P40" s="203">
        <v>525.3771694495175</v>
      </c>
      <c r="Q40" s="203">
        <v>565.4371786200433</v>
      </c>
      <c r="R40" s="203">
        <v>3208.8319999999985</v>
      </c>
      <c r="S40" s="205">
        <v>1.68</v>
      </c>
      <c r="T40" s="205">
        <v>4.010810810810811</v>
      </c>
      <c r="U40" s="205">
        <v>0.86</v>
      </c>
      <c r="V40" s="205">
        <v>1.18</v>
      </c>
      <c r="W40" s="206">
        <v>0.9534883720930232</v>
      </c>
      <c r="X40" s="207">
        <v>159.7226021904054</v>
      </c>
    </row>
    <row r="41" spans="1:24" ht="12.75">
      <c r="A41" s="121">
        <v>2637912000</v>
      </c>
      <c r="B41" s="121">
        <v>3791</v>
      </c>
      <c r="C41" s="121"/>
      <c r="D41" s="217">
        <v>3.2</v>
      </c>
      <c r="E41" s="121" t="s">
        <v>421</v>
      </c>
      <c r="F41" s="121" t="s">
        <v>570</v>
      </c>
      <c r="G41" s="198">
        <v>999.99</v>
      </c>
      <c r="I41" s="201" t="s">
        <v>625</v>
      </c>
      <c r="J41" s="202" t="s">
        <v>632</v>
      </c>
      <c r="K41" s="213">
        <v>2.65</v>
      </c>
      <c r="L41" s="203">
        <v>555.2380952380952</v>
      </c>
      <c r="M41" s="203">
        <v>1084.6511627906975</v>
      </c>
      <c r="N41" s="202">
        <v>9.43</v>
      </c>
      <c r="O41" s="203">
        <v>8796.304</v>
      </c>
      <c r="P41" s="203">
        <v>525.3771694495175</v>
      </c>
      <c r="Q41" s="203">
        <v>565.4371786200433</v>
      </c>
      <c r="R41" s="203">
        <v>3208.8319999999985</v>
      </c>
      <c r="S41" s="205">
        <v>1.68</v>
      </c>
      <c r="T41" s="205">
        <v>4.010810810810811</v>
      </c>
      <c r="U41" s="205">
        <v>0.86</v>
      </c>
      <c r="V41" s="205">
        <v>1.18</v>
      </c>
      <c r="W41" s="206">
        <v>0.9534883720930232</v>
      </c>
      <c r="X41" s="207">
        <v>159.7226021904054</v>
      </c>
    </row>
    <row r="42" spans="1:24" ht="12.75">
      <c r="A42" s="121">
        <v>2637982000</v>
      </c>
      <c r="B42" s="121">
        <v>3798</v>
      </c>
      <c r="C42" s="121"/>
      <c r="D42" s="217">
        <v>3.2</v>
      </c>
      <c r="E42" s="121" t="s">
        <v>421</v>
      </c>
      <c r="F42" s="121" t="s">
        <v>570</v>
      </c>
      <c r="G42" s="198">
        <v>1299.99</v>
      </c>
      <c r="I42" s="201" t="s">
        <v>625</v>
      </c>
      <c r="J42" s="202" t="s">
        <v>633</v>
      </c>
      <c r="K42" s="213">
        <v>2.65</v>
      </c>
      <c r="L42" s="203">
        <v>555.2380952380952</v>
      </c>
      <c r="M42" s="203">
        <v>1084.6511627906975</v>
      </c>
      <c r="N42" s="202">
        <v>9.43</v>
      </c>
      <c r="O42" s="203">
        <v>8796.304</v>
      </c>
      <c r="P42" s="203">
        <v>525.3771694495175</v>
      </c>
      <c r="Q42" s="203">
        <v>565.4371786200433</v>
      </c>
      <c r="R42" s="203">
        <v>3208.8319999999985</v>
      </c>
      <c r="S42" s="205">
        <v>1.68</v>
      </c>
      <c r="T42" s="205">
        <v>4.010810810810811</v>
      </c>
      <c r="U42" s="205">
        <v>0.86</v>
      </c>
      <c r="V42" s="205">
        <v>1.18</v>
      </c>
      <c r="W42" s="206">
        <v>0.9534883720930232</v>
      </c>
      <c r="X42" s="207">
        <v>159.7226021904054</v>
      </c>
    </row>
    <row r="43" spans="1:24" ht="12.75">
      <c r="A43" s="121">
        <v>2641821000</v>
      </c>
      <c r="B43" s="121">
        <v>4182</v>
      </c>
      <c r="C43" s="121"/>
      <c r="D43" s="217">
        <v>3.7</v>
      </c>
      <c r="E43" s="121" t="s">
        <v>579</v>
      </c>
      <c r="F43" s="121" t="s">
        <v>584</v>
      </c>
      <c r="G43" s="198">
        <v>1099.99</v>
      </c>
      <c r="I43" s="201" t="s">
        <v>625</v>
      </c>
      <c r="J43" s="202" t="s">
        <v>628</v>
      </c>
      <c r="K43" s="213">
        <v>2.65</v>
      </c>
      <c r="L43" s="203">
        <v>647.7777777777777</v>
      </c>
      <c r="M43" s="203">
        <v>1084.6511627906975</v>
      </c>
      <c r="N43" s="202">
        <v>9.44</v>
      </c>
      <c r="O43" s="203">
        <v>8805.632</v>
      </c>
      <c r="P43" s="203">
        <v>433.54294877338236</v>
      </c>
      <c r="Q43" s="203">
        <v>466.6005986173527</v>
      </c>
      <c r="R43" s="203">
        <v>3199.503999999999</v>
      </c>
      <c r="S43" s="205">
        <v>1.44</v>
      </c>
      <c r="T43" s="205">
        <v>2.9595441595441594</v>
      </c>
      <c r="U43" s="205">
        <v>0.86</v>
      </c>
      <c r="V43" s="205">
        <v>1.18</v>
      </c>
      <c r="W43" s="206">
        <v>0.6744186046511627</v>
      </c>
      <c r="X43" s="207">
        <v>131.80361075061907</v>
      </c>
    </row>
    <row r="44" spans="1:24" ht="12.75">
      <c r="A44" s="121">
        <v>2641825000</v>
      </c>
      <c r="B44" s="121">
        <v>4182</v>
      </c>
      <c r="C44" s="121"/>
      <c r="D44" s="217">
        <v>3.7</v>
      </c>
      <c r="E44" s="121" t="s">
        <v>579</v>
      </c>
      <c r="F44" s="121" t="s">
        <v>586</v>
      </c>
      <c r="G44" s="198">
        <v>1099.99</v>
      </c>
      <c r="I44" s="201" t="s">
        <v>625</v>
      </c>
      <c r="J44" s="202" t="s">
        <v>629</v>
      </c>
      <c r="K44" s="213">
        <v>2.65</v>
      </c>
      <c r="L44" s="203">
        <v>647.7777777777777</v>
      </c>
      <c r="M44" s="203">
        <v>1084.6511627906975</v>
      </c>
      <c r="N44" s="202">
        <v>9.44</v>
      </c>
      <c r="O44" s="203">
        <v>8805.632</v>
      </c>
      <c r="P44" s="203">
        <v>433.54294877338236</v>
      </c>
      <c r="Q44" s="203">
        <v>466.6005986173527</v>
      </c>
      <c r="R44" s="203">
        <v>3199.503999999999</v>
      </c>
      <c r="S44" s="205">
        <v>1.44</v>
      </c>
      <c r="T44" s="205">
        <v>2.9595441595441594</v>
      </c>
      <c r="U44" s="205">
        <v>0.86</v>
      </c>
      <c r="V44" s="205">
        <v>1.18</v>
      </c>
      <c r="W44" s="206">
        <v>0.6744186046511627</v>
      </c>
      <c r="X44" s="207">
        <v>131.80361075061907</v>
      </c>
    </row>
    <row r="45" spans="1:24" ht="12.75">
      <c r="A45" s="121">
        <v>2642822000</v>
      </c>
      <c r="B45" s="121">
        <v>4282</v>
      </c>
      <c r="C45" s="121"/>
      <c r="D45" s="217">
        <v>3.7</v>
      </c>
      <c r="E45" s="121" t="s">
        <v>559</v>
      </c>
      <c r="F45" s="121" t="s">
        <v>585</v>
      </c>
      <c r="G45" s="198">
        <v>1099.99</v>
      </c>
      <c r="I45" s="201" t="s">
        <v>625</v>
      </c>
      <c r="J45" s="202" t="s">
        <v>495</v>
      </c>
      <c r="K45" s="213">
        <v>2.65</v>
      </c>
      <c r="L45" s="203">
        <v>555.2380952380952</v>
      </c>
      <c r="M45" s="203">
        <v>1084.6511627906975</v>
      </c>
      <c r="N45" s="202">
        <v>9.43</v>
      </c>
      <c r="O45" s="203">
        <v>8796.304</v>
      </c>
      <c r="P45" s="203">
        <v>525.3771694495175</v>
      </c>
      <c r="Q45" s="203">
        <v>565.4371786200433</v>
      </c>
      <c r="R45" s="203">
        <v>3208.8319999999985</v>
      </c>
      <c r="S45" s="205">
        <v>1.68</v>
      </c>
      <c r="T45" s="205">
        <v>4.01</v>
      </c>
      <c r="U45" s="205">
        <v>0.86</v>
      </c>
      <c r="V45" s="205">
        <v>1.18</v>
      </c>
      <c r="W45" s="206">
        <v>0.9534883720930232</v>
      </c>
      <c r="X45" s="207">
        <v>159.7226021904054</v>
      </c>
    </row>
    <row r="46" spans="1:24" ht="12.75">
      <c r="A46" s="121">
        <v>2642922000</v>
      </c>
      <c r="B46" s="121">
        <v>4292</v>
      </c>
      <c r="C46" s="121"/>
      <c r="D46" s="217">
        <v>3.7</v>
      </c>
      <c r="E46" s="121" t="s">
        <v>559</v>
      </c>
      <c r="F46" s="121" t="s">
        <v>588</v>
      </c>
      <c r="G46" s="198">
        <v>1449.99</v>
      </c>
      <c r="I46" s="201" t="s">
        <v>625</v>
      </c>
      <c r="J46" s="202" t="s">
        <v>496</v>
      </c>
      <c r="K46" s="213">
        <v>2.65</v>
      </c>
      <c r="L46" s="203">
        <v>647.7777777777777</v>
      </c>
      <c r="M46" s="203">
        <v>1084.6511627906975</v>
      </c>
      <c r="N46" s="202">
        <v>9.44</v>
      </c>
      <c r="O46" s="203">
        <v>8805.632</v>
      </c>
      <c r="P46" s="203">
        <v>433.54294877338236</v>
      </c>
      <c r="Q46" s="203">
        <v>466.6005986173527</v>
      </c>
      <c r="R46" s="203">
        <v>3199.503999999999</v>
      </c>
      <c r="S46" s="205">
        <v>1.44</v>
      </c>
      <c r="T46" s="205">
        <v>2.96</v>
      </c>
      <c r="U46" s="205">
        <v>0.86</v>
      </c>
      <c r="V46" s="205">
        <v>1.18</v>
      </c>
      <c r="W46" s="206">
        <v>0.6744186046511627</v>
      </c>
      <c r="X46" s="207">
        <v>131.80361075061907</v>
      </c>
    </row>
    <row r="47" spans="1:24" ht="12.75">
      <c r="A47" s="121">
        <v>2642932000</v>
      </c>
      <c r="B47" s="121">
        <v>4293</v>
      </c>
      <c r="C47" s="121"/>
      <c r="D47" s="217">
        <v>3.7</v>
      </c>
      <c r="E47" s="121" t="s">
        <v>559</v>
      </c>
      <c r="F47" s="121" t="s">
        <v>588</v>
      </c>
      <c r="G47" s="198">
        <v>1449.99</v>
      </c>
      <c r="I47" s="201" t="s">
        <v>625</v>
      </c>
      <c r="J47" s="202" t="s">
        <v>497</v>
      </c>
      <c r="K47" s="213">
        <v>2.65</v>
      </c>
      <c r="L47" s="203">
        <v>647.7777777777777</v>
      </c>
      <c r="M47" s="203">
        <v>1084.6511627906975</v>
      </c>
      <c r="N47" s="202">
        <v>9.44</v>
      </c>
      <c r="O47" s="203">
        <v>8805.632</v>
      </c>
      <c r="P47" s="203">
        <v>433.54294877338236</v>
      </c>
      <c r="Q47" s="203">
        <v>466.6005986173527</v>
      </c>
      <c r="R47" s="203">
        <v>3199.503999999999</v>
      </c>
      <c r="S47" s="205">
        <v>1.44</v>
      </c>
      <c r="T47" s="205">
        <v>2.96</v>
      </c>
      <c r="U47" s="205">
        <v>0.86</v>
      </c>
      <c r="V47" s="205">
        <v>1.18</v>
      </c>
      <c r="W47" s="206">
        <v>0.6744186046511627</v>
      </c>
      <c r="X47" s="207">
        <v>131.80361075061907</v>
      </c>
    </row>
    <row r="48" spans="9:24" ht="12.75">
      <c r="I48" s="201" t="s">
        <v>625</v>
      </c>
      <c r="J48" s="202" t="s">
        <v>498</v>
      </c>
      <c r="K48" s="213">
        <v>2.65</v>
      </c>
      <c r="L48" s="203">
        <v>647.7777777777777</v>
      </c>
      <c r="M48" s="203">
        <v>1084.6511627906975</v>
      </c>
      <c r="N48" s="202">
        <v>9.44</v>
      </c>
      <c r="O48" s="203">
        <v>8805.632</v>
      </c>
      <c r="P48" s="203">
        <v>433.54294877338236</v>
      </c>
      <c r="Q48" s="203">
        <v>466.6005986173527</v>
      </c>
      <c r="R48" s="203">
        <v>3199.503999999999</v>
      </c>
      <c r="S48" s="205">
        <v>1.44</v>
      </c>
      <c r="T48" s="205">
        <v>2.96</v>
      </c>
      <c r="U48" s="205">
        <v>0.86</v>
      </c>
      <c r="V48" s="205">
        <v>1.18</v>
      </c>
      <c r="W48" s="206">
        <v>0.6744186046511627</v>
      </c>
      <c r="X48" s="207">
        <v>131.80361075061907</v>
      </c>
    </row>
    <row r="49" spans="9:24" ht="12.75">
      <c r="I49" s="201" t="s">
        <v>625</v>
      </c>
      <c r="J49" s="202" t="s">
        <v>499</v>
      </c>
      <c r="K49" s="213">
        <v>2.65</v>
      </c>
      <c r="L49" s="203">
        <v>647.7777777777777</v>
      </c>
      <c r="M49" s="203">
        <v>1084.6511627906975</v>
      </c>
      <c r="N49" s="202">
        <v>9.44</v>
      </c>
      <c r="O49" s="203">
        <v>8805.632</v>
      </c>
      <c r="P49" s="203">
        <v>433.54294877338236</v>
      </c>
      <c r="Q49" s="203">
        <v>466.6005986173527</v>
      </c>
      <c r="R49" s="203">
        <v>3199.503999999999</v>
      </c>
      <c r="S49" s="205">
        <v>1.44</v>
      </c>
      <c r="T49" s="205">
        <v>2.96</v>
      </c>
      <c r="U49" s="205">
        <v>0.86</v>
      </c>
      <c r="V49" s="205">
        <v>1.18</v>
      </c>
      <c r="W49" s="206">
        <v>0.6744186046511627</v>
      </c>
      <c r="X49" s="207">
        <v>131.80361075061907</v>
      </c>
    </row>
    <row r="50" spans="9:24" ht="12.75">
      <c r="I50" s="201" t="s">
        <v>625</v>
      </c>
      <c r="J50" s="202" t="s">
        <v>500</v>
      </c>
      <c r="K50" s="213">
        <v>2.65</v>
      </c>
      <c r="L50" s="203">
        <v>647.7777777777777</v>
      </c>
      <c r="M50" s="203">
        <v>1084.6511627906975</v>
      </c>
      <c r="N50" s="202">
        <v>9.44</v>
      </c>
      <c r="O50" s="203">
        <v>8805.632</v>
      </c>
      <c r="P50" s="203">
        <v>433.54294877338236</v>
      </c>
      <c r="Q50" s="203">
        <v>466.6005986173527</v>
      </c>
      <c r="R50" s="203">
        <v>3199.503999999999</v>
      </c>
      <c r="S50" s="205">
        <v>1.44</v>
      </c>
      <c r="T50" s="205">
        <v>2.96</v>
      </c>
      <c r="U50" s="205">
        <v>0.86</v>
      </c>
      <c r="V50" s="205">
        <v>1.18</v>
      </c>
      <c r="W50" s="206">
        <v>0.6744186046511627</v>
      </c>
      <c r="X50" s="207">
        <v>131.80361075061907</v>
      </c>
    </row>
    <row r="51" spans="9:24" ht="12.75">
      <c r="I51" s="201" t="s">
        <v>625</v>
      </c>
      <c r="J51" s="202" t="s">
        <v>555</v>
      </c>
      <c r="K51" s="213">
        <v>2.65</v>
      </c>
      <c r="L51" s="203">
        <v>647.7777777777777</v>
      </c>
      <c r="M51" s="203">
        <v>1084.6511627906975</v>
      </c>
      <c r="N51" s="202">
        <v>9.44</v>
      </c>
      <c r="O51" s="203">
        <v>8805.632</v>
      </c>
      <c r="P51" s="203">
        <v>433.54294877338236</v>
      </c>
      <c r="Q51" s="203">
        <v>466.6005986173527</v>
      </c>
      <c r="R51" s="203">
        <v>3199.503999999999</v>
      </c>
      <c r="S51" s="205">
        <v>1.44</v>
      </c>
      <c r="T51" s="205">
        <v>2.96</v>
      </c>
      <c r="U51" s="205">
        <v>0.86</v>
      </c>
      <c r="V51" s="205">
        <v>1.18</v>
      </c>
      <c r="W51" s="206">
        <v>0.6744186046511627</v>
      </c>
      <c r="X51" s="207">
        <v>131.80361075061907</v>
      </c>
    </row>
    <row r="52" spans="9:24" ht="12.75">
      <c r="I52" s="201" t="s">
        <v>634</v>
      </c>
      <c r="J52" s="202" t="s">
        <v>635</v>
      </c>
      <c r="K52" s="213">
        <v>2.65</v>
      </c>
      <c r="L52" s="203">
        <v>634.5578231292517</v>
      </c>
      <c r="M52" s="203">
        <v>1084.6511627906975</v>
      </c>
      <c r="N52" s="202">
        <v>9.47</v>
      </c>
      <c r="O52" s="203">
        <v>8833.616</v>
      </c>
      <c r="P52" s="203">
        <v>446.66212315568737</v>
      </c>
      <c r="Q52" s="203">
        <v>480.72011004630855</v>
      </c>
      <c r="R52" s="203">
        <v>3171.52</v>
      </c>
      <c r="S52" s="205">
        <v>1.47</v>
      </c>
      <c r="T52" s="205">
        <v>2.9595441595441594</v>
      </c>
      <c r="U52" s="205">
        <v>0.86</v>
      </c>
      <c r="V52" s="205">
        <v>1.18</v>
      </c>
      <c r="W52" s="206">
        <v>0.7093023255813953</v>
      </c>
      <c r="X52" s="207">
        <v>135.79203809916</v>
      </c>
    </row>
    <row r="53" spans="9:24" ht="12.75">
      <c r="I53" s="201" t="s">
        <v>634</v>
      </c>
      <c r="J53" s="202" t="s">
        <v>507</v>
      </c>
      <c r="K53" s="213">
        <v>2.65</v>
      </c>
      <c r="L53" s="203">
        <v>586.6666666666666</v>
      </c>
      <c r="M53" s="203">
        <v>1084.6511627906975</v>
      </c>
      <c r="N53" s="202">
        <v>9.45</v>
      </c>
      <c r="O53" s="203">
        <v>8814.96</v>
      </c>
      <c r="P53" s="203">
        <v>494.18818884252823</v>
      </c>
      <c r="Q53" s="203">
        <v>531.870038241771</v>
      </c>
      <c r="R53" s="203">
        <v>3190.1759999999995</v>
      </c>
      <c r="S53" s="205">
        <v>1.59</v>
      </c>
      <c r="T53" s="205">
        <v>4.010810810810811</v>
      </c>
      <c r="U53" s="205">
        <v>0.86</v>
      </c>
      <c r="V53" s="205">
        <v>1.18</v>
      </c>
      <c r="W53" s="206">
        <v>0.8488372093023258</v>
      </c>
      <c r="X53" s="207">
        <v>150.2406805693459</v>
      </c>
    </row>
    <row r="54" spans="9:24" ht="12.75">
      <c r="I54" s="201" t="s">
        <v>636</v>
      </c>
      <c r="J54" s="202" t="s">
        <v>495</v>
      </c>
      <c r="K54" s="213">
        <v>2.65</v>
      </c>
      <c r="L54" s="203">
        <v>555.2380952380952</v>
      </c>
      <c r="M54" s="203">
        <v>1084.6511627906975</v>
      </c>
      <c r="N54" s="202">
        <v>9.43</v>
      </c>
      <c r="O54" s="203">
        <v>8796.304</v>
      </c>
      <c r="P54" s="203">
        <v>525.3771694495175</v>
      </c>
      <c r="Q54" s="203">
        <v>565.4371786200433</v>
      </c>
      <c r="R54" s="203">
        <v>3208.8319999999985</v>
      </c>
      <c r="S54" s="205">
        <v>1.68</v>
      </c>
      <c r="T54" s="205">
        <v>4.01</v>
      </c>
      <c r="U54" s="205">
        <v>0.86</v>
      </c>
      <c r="V54" s="205">
        <v>1.18</v>
      </c>
      <c r="W54" s="206">
        <v>0.9534883720930232</v>
      </c>
      <c r="X54" s="207">
        <v>159.7226021904054</v>
      </c>
    </row>
    <row r="55" spans="9:24" ht="12.75">
      <c r="I55" s="201" t="s">
        <v>636</v>
      </c>
      <c r="J55" s="202" t="s">
        <v>508</v>
      </c>
      <c r="K55" s="213">
        <v>2.65</v>
      </c>
      <c r="L55" s="203">
        <v>647.7777777777777</v>
      </c>
      <c r="M55" s="203">
        <v>1084.6511627906975</v>
      </c>
      <c r="N55" s="202">
        <v>9.44</v>
      </c>
      <c r="O55" s="203">
        <v>8805.632</v>
      </c>
      <c r="P55" s="203">
        <v>433.54294877338236</v>
      </c>
      <c r="Q55" s="203">
        <v>466.6005986173527</v>
      </c>
      <c r="R55" s="203">
        <v>3199.503999999999</v>
      </c>
      <c r="S55" s="205">
        <v>1.44</v>
      </c>
      <c r="T55" s="205">
        <v>2.96</v>
      </c>
      <c r="U55" s="205">
        <v>0.86</v>
      </c>
      <c r="V55" s="205">
        <v>1.18</v>
      </c>
      <c r="W55" s="206">
        <v>0.6744186046511627</v>
      </c>
      <c r="X55" s="207">
        <v>131.80361075061907</v>
      </c>
    </row>
    <row r="56" spans="9:24" ht="12.75">
      <c r="I56" s="201" t="s">
        <v>636</v>
      </c>
      <c r="J56" s="202" t="s">
        <v>509</v>
      </c>
      <c r="K56" s="213">
        <v>2.65</v>
      </c>
      <c r="L56" s="203">
        <v>647.7777777777777</v>
      </c>
      <c r="M56" s="203">
        <v>1084.6511627906975</v>
      </c>
      <c r="N56" s="202">
        <v>9.44</v>
      </c>
      <c r="O56" s="203">
        <v>8805.632</v>
      </c>
      <c r="P56" s="203">
        <v>433.54294877338236</v>
      </c>
      <c r="Q56" s="203">
        <v>466.6005986173527</v>
      </c>
      <c r="R56" s="203">
        <v>3199.503999999999</v>
      </c>
      <c r="S56" s="205">
        <v>1.44</v>
      </c>
      <c r="T56" s="205">
        <v>2.96</v>
      </c>
      <c r="U56" s="205">
        <v>0.86</v>
      </c>
      <c r="V56" s="205">
        <v>1.18</v>
      </c>
      <c r="W56" s="206">
        <v>0.6744186046511627</v>
      </c>
      <c r="X56" s="207">
        <v>131.80361075061907</v>
      </c>
    </row>
    <row r="57" spans="9:24" ht="12.75">
      <c r="I57" s="201" t="s">
        <v>636</v>
      </c>
      <c r="J57" s="202" t="s">
        <v>637</v>
      </c>
      <c r="K57" s="213">
        <v>2.65</v>
      </c>
      <c r="L57" s="203">
        <v>555.2380952380952</v>
      </c>
      <c r="M57" s="203">
        <v>1084.6511627906975</v>
      </c>
      <c r="N57" s="202">
        <v>9.43</v>
      </c>
      <c r="O57" s="203">
        <v>8796.304</v>
      </c>
      <c r="P57" s="203">
        <v>525.3771694495175</v>
      </c>
      <c r="Q57" s="203">
        <v>565.4371786200433</v>
      </c>
      <c r="R57" s="203">
        <v>3208.8319999999985</v>
      </c>
      <c r="S57" s="205">
        <v>1.68</v>
      </c>
      <c r="T57" s="205">
        <v>4.010810810810811</v>
      </c>
      <c r="U57" s="205">
        <v>0.86</v>
      </c>
      <c r="V57" s="205">
        <v>1.18</v>
      </c>
      <c r="W57" s="206">
        <v>0.9534883720930232</v>
      </c>
      <c r="X57" s="207">
        <v>159.7226021904054</v>
      </c>
    </row>
    <row r="58" spans="9:24" ht="12.75">
      <c r="I58" s="201" t="s">
        <v>636</v>
      </c>
      <c r="J58" s="202" t="s">
        <v>638</v>
      </c>
      <c r="K58" s="213">
        <v>2.65</v>
      </c>
      <c r="L58" s="203">
        <v>555.2380952380952</v>
      </c>
      <c r="M58" s="203">
        <v>1084.6511627906975</v>
      </c>
      <c r="N58" s="211">
        <v>9.43</v>
      </c>
      <c r="O58" s="203">
        <v>8796.304</v>
      </c>
      <c r="P58" s="203">
        <v>525.3771694495175</v>
      </c>
      <c r="Q58" s="203">
        <v>565.4371786200433</v>
      </c>
      <c r="R58" s="203">
        <v>3208.8319999999985</v>
      </c>
      <c r="S58" s="205">
        <v>1.68</v>
      </c>
      <c r="T58" s="205">
        <v>4.010810810810811</v>
      </c>
      <c r="U58" s="205">
        <v>0.86</v>
      </c>
      <c r="V58" s="205">
        <v>1.18</v>
      </c>
      <c r="W58" s="206">
        <v>0.9534883720930232</v>
      </c>
      <c r="X58" s="207">
        <v>159.7226021904054</v>
      </c>
    </row>
    <row r="59" spans="9:24" ht="12.75">
      <c r="I59" s="201" t="s">
        <v>639</v>
      </c>
      <c r="J59" s="202" t="s">
        <v>511</v>
      </c>
      <c r="K59" s="213">
        <v>2.65</v>
      </c>
      <c r="L59" s="203">
        <v>555.2380952380952</v>
      </c>
      <c r="M59" s="203">
        <v>1084.6511627906975</v>
      </c>
      <c r="N59" s="202">
        <v>9.43</v>
      </c>
      <c r="O59" s="203">
        <v>8796.304</v>
      </c>
      <c r="P59" s="203">
        <v>525.3771694495175</v>
      </c>
      <c r="Q59" s="203">
        <v>565.4371786200433</v>
      </c>
      <c r="R59" s="203">
        <v>3208.8319999999985</v>
      </c>
      <c r="S59" s="205">
        <v>1.68</v>
      </c>
      <c r="T59" s="205">
        <v>4.010810810810811</v>
      </c>
      <c r="U59" s="205">
        <v>0.86</v>
      </c>
      <c r="V59" s="205">
        <v>1.18</v>
      </c>
      <c r="W59" s="206">
        <v>0.9534883720930232</v>
      </c>
      <c r="X59" s="207">
        <v>159.7226021904054</v>
      </c>
    </row>
    <row r="60" spans="9:24" ht="12.75">
      <c r="I60" s="201" t="s">
        <v>589</v>
      </c>
      <c r="J60" s="202" t="s">
        <v>594</v>
      </c>
      <c r="K60" s="213">
        <v>2.65</v>
      </c>
      <c r="L60" s="203">
        <v>501.50537634408596</v>
      </c>
      <c r="M60" s="203">
        <v>1084.6511627906975</v>
      </c>
      <c r="N60" s="202">
        <v>7.15</v>
      </c>
      <c r="O60" s="203">
        <v>6669.52</v>
      </c>
      <c r="P60" s="203">
        <v>578.7002653259831</v>
      </c>
      <c r="Q60" s="203">
        <v>622.8261605570892</v>
      </c>
      <c r="R60" s="203">
        <v>5335.615999999998</v>
      </c>
      <c r="S60" s="205">
        <v>1.86</v>
      </c>
      <c r="T60" s="205">
        <v>4.4393162393162395</v>
      </c>
      <c r="U60" s="205">
        <v>0.86</v>
      </c>
      <c r="V60" s="205">
        <v>1.18</v>
      </c>
      <c r="W60" s="206">
        <v>1.162790697674419</v>
      </c>
      <c r="X60" s="207">
        <v>175.93362947802322</v>
      </c>
    </row>
    <row r="61" spans="9:24" ht="12.75">
      <c r="I61" s="201" t="s">
        <v>589</v>
      </c>
      <c r="J61" s="202" t="s">
        <v>596</v>
      </c>
      <c r="K61" s="213">
        <v>2.65</v>
      </c>
      <c r="L61" s="203">
        <v>501.50537634408596</v>
      </c>
      <c r="M61" s="203">
        <v>1084.6511627906975</v>
      </c>
      <c r="N61" s="202">
        <v>7.15</v>
      </c>
      <c r="O61" s="203">
        <v>6669.52</v>
      </c>
      <c r="P61" s="203">
        <v>578.7002653259831</v>
      </c>
      <c r="Q61" s="203">
        <v>622.8261605570892</v>
      </c>
      <c r="R61" s="203">
        <v>5335.615999999998</v>
      </c>
      <c r="S61" s="205">
        <v>1.86</v>
      </c>
      <c r="T61" s="205">
        <v>4.4393162393162395</v>
      </c>
      <c r="U61" s="205">
        <v>0.86</v>
      </c>
      <c r="V61" s="205">
        <v>1.18</v>
      </c>
      <c r="W61" s="206">
        <v>1.162790697674419</v>
      </c>
      <c r="X61" s="207">
        <v>175.93362947802322</v>
      </c>
    </row>
    <row r="62" spans="9:24" ht="12.75">
      <c r="I62" s="201" t="s">
        <v>589</v>
      </c>
      <c r="J62" s="202" t="s">
        <v>595</v>
      </c>
      <c r="K62" s="213">
        <v>2.65</v>
      </c>
      <c r="L62" s="203">
        <v>501.50537634408596</v>
      </c>
      <c r="M62" s="203">
        <v>1084.6511627906975</v>
      </c>
      <c r="N62" s="202">
        <v>7.15</v>
      </c>
      <c r="O62" s="203">
        <v>6669.52</v>
      </c>
      <c r="P62" s="203">
        <v>578.7002653259831</v>
      </c>
      <c r="Q62" s="203">
        <v>622.8261605570892</v>
      </c>
      <c r="R62" s="203">
        <v>5335.615999999998</v>
      </c>
      <c r="S62" s="205">
        <v>1.86</v>
      </c>
      <c r="T62" s="205">
        <v>4.44</v>
      </c>
      <c r="U62" s="205">
        <v>0.86</v>
      </c>
      <c r="V62" s="205">
        <v>1.18</v>
      </c>
      <c r="W62" s="206">
        <v>1.162790697674419</v>
      </c>
      <c r="X62" s="207">
        <v>175.93362947802322</v>
      </c>
    </row>
    <row r="63" spans="9:24" ht="12.75">
      <c r="I63" s="201" t="s">
        <v>589</v>
      </c>
      <c r="J63" s="202" t="s">
        <v>597</v>
      </c>
      <c r="K63" s="213">
        <v>2.65</v>
      </c>
      <c r="L63" s="203">
        <v>501.50537634408596</v>
      </c>
      <c r="M63" s="203">
        <v>1084.6511627906975</v>
      </c>
      <c r="N63" s="202">
        <v>7.15</v>
      </c>
      <c r="O63" s="203">
        <v>6669.52</v>
      </c>
      <c r="P63" s="203">
        <v>578.7002653259831</v>
      </c>
      <c r="Q63" s="203">
        <v>622.8261605570892</v>
      </c>
      <c r="R63" s="203">
        <v>5335.615999999998</v>
      </c>
      <c r="S63" s="205">
        <v>1.86</v>
      </c>
      <c r="T63" s="205">
        <v>5.3</v>
      </c>
      <c r="U63" s="205">
        <v>0.86</v>
      </c>
      <c r="V63" s="205">
        <v>1.18</v>
      </c>
      <c r="W63" s="206">
        <v>1.162790697674419</v>
      </c>
      <c r="X63" s="207">
        <v>175.93362947802322</v>
      </c>
    </row>
    <row r="64" spans="9:24" ht="12.75">
      <c r="I64" s="201" t="s">
        <v>589</v>
      </c>
      <c r="J64" s="202" t="s">
        <v>598</v>
      </c>
      <c r="K64" s="213">
        <v>2.65</v>
      </c>
      <c r="L64" s="203">
        <v>501.50537634408596</v>
      </c>
      <c r="M64" s="203">
        <v>1084.6511627906975</v>
      </c>
      <c r="N64" s="202">
        <v>7.15</v>
      </c>
      <c r="O64" s="203">
        <v>6669.52</v>
      </c>
      <c r="P64" s="203">
        <v>578.7002653259831</v>
      </c>
      <c r="Q64" s="203">
        <v>622.8261605570892</v>
      </c>
      <c r="R64" s="203">
        <v>5335.615999999998</v>
      </c>
      <c r="S64" s="205">
        <v>1.86</v>
      </c>
      <c r="T64" s="205">
        <v>5.3</v>
      </c>
      <c r="U64" s="205">
        <v>0.86</v>
      </c>
      <c r="V64" s="205">
        <v>1.18</v>
      </c>
      <c r="W64" s="206">
        <v>1.162790697674419</v>
      </c>
      <c r="X64" s="207">
        <v>175.93362947802322</v>
      </c>
    </row>
    <row r="65" spans="9:24" ht="12.75">
      <c r="I65" s="201" t="s">
        <v>589</v>
      </c>
      <c r="J65" s="202" t="s">
        <v>599</v>
      </c>
      <c r="K65" s="213">
        <v>2.65</v>
      </c>
      <c r="L65" s="203">
        <v>501.50537634408596</v>
      </c>
      <c r="M65" s="203">
        <v>1084.6511627906975</v>
      </c>
      <c r="N65" s="202">
        <v>7.15</v>
      </c>
      <c r="O65" s="203">
        <v>6669.52</v>
      </c>
      <c r="P65" s="203">
        <v>578.7002653259831</v>
      </c>
      <c r="Q65" s="203">
        <v>622.8261605570892</v>
      </c>
      <c r="R65" s="203">
        <v>5335.615999999998</v>
      </c>
      <c r="S65" s="205">
        <v>1.86</v>
      </c>
      <c r="T65" s="205">
        <v>5.3</v>
      </c>
      <c r="U65" s="205">
        <v>0.86</v>
      </c>
      <c r="V65" s="205">
        <v>1.18</v>
      </c>
      <c r="W65" s="206">
        <v>1.162790697674419</v>
      </c>
      <c r="X65" s="207">
        <v>175.93362947802322</v>
      </c>
    </row>
    <row r="66" spans="9:24" ht="12.75">
      <c r="I66" s="201" t="s">
        <v>642</v>
      </c>
      <c r="J66" s="202" t="s">
        <v>643</v>
      </c>
      <c r="K66" s="213">
        <v>2.9</v>
      </c>
      <c r="L66" s="203">
        <v>593.4883720930233</v>
      </c>
      <c r="M66" s="203">
        <v>1186.9767441860465</v>
      </c>
      <c r="N66" s="202">
        <v>7.66</v>
      </c>
      <c r="O66" s="203">
        <v>7819.3279999999995</v>
      </c>
      <c r="P66" s="203">
        <v>588.9640058808214</v>
      </c>
      <c r="Q66" s="203">
        <v>633.872511329234</v>
      </c>
      <c r="R66" s="203">
        <v>5318.367999999999</v>
      </c>
      <c r="S66" s="205">
        <v>1.72</v>
      </c>
      <c r="T66" s="205">
        <v>4.0312056737588655</v>
      </c>
      <c r="U66" s="205">
        <v>0.86</v>
      </c>
      <c r="V66" s="205">
        <v>1.18</v>
      </c>
      <c r="W66" s="206">
        <v>1</v>
      </c>
      <c r="X66" s="207">
        <v>179.05396177442597</v>
      </c>
    </row>
    <row r="67" spans="9:24" ht="12.75">
      <c r="I67" s="201" t="s">
        <v>642</v>
      </c>
      <c r="J67" s="202" t="s">
        <v>644</v>
      </c>
      <c r="K67" s="213">
        <v>2.9</v>
      </c>
      <c r="L67" s="203">
        <v>622.439024390244</v>
      </c>
      <c r="M67" s="203">
        <v>1186.9767441860465</v>
      </c>
      <c r="N67" s="202">
        <v>8.1</v>
      </c>
      <c r="O67" s="203">
        <v>8268.48</v>
      </c>
      <c r="P67" s="203">
        <v>560.2340543744399</v>
      </c>
      <c r="Q67" s="203">
        <v>602.9519010204909</v>
      </c>
      <c r="R67" s="203">
        <v>4869.2159999999985</v>
      </c>
      <c r="S67" s="205">
        <v>1.64</v>
      </c>
      <c r="T67" s="205">
        <v>4.0312056737588655</v>
      </c>
      <c r="U67" s="205">
        <v>0.86</v>
      </c>
      <c r="V67" s="205">
        <v>1.18</v>
      </c>
      <c r="W67" s="206">
        <v>0.9069767441860463</v>
      </c>
      <c r="X67" s="207">
        <v>170.3196221756735</v>
      </c>
    </row>
    <row r="68" spans="9:24" ht="12.75">
      <c r="I68" s="201" t="s">
        <v>642</v>
      </c>
      <c r="J68" s="202" t="s">
        <v>645</v>
      </c>
      <c r="K68" s="213">
        <v>2.9</v>
      </c>
      <c r="L68" s="203">
        <v>622.439024390244</v>
      </c>
      <c r="M68" s="203">
        <v>1186.9767441860465</v>
      </c>
      <c r="N68" s="210">
        <v>8.47</v>
      </c>
      <c r="O68" s="203">
        <v>8646.176</v>
      </c>
      <c r="P68" s="203">
        <v>560.2340543744399</v>
      </c>
      <c r="Q68" s="203">
        <v>602.9519010204909</v>
      </c>
      <c r="R68" s="203">
        <v>4491.52</v>
      </c>
      <c r="S68" s="205">
        <v>1.64</v>
      </c>
      <c r="T68" s="205">
        <v>3.5304347826086957</v>
      </c>
      <c r="U68" s="205">
        <v>0.86</v>
      </c>
      <c r="V68" s="205">
        <v>1.18</v>
      </c>
      <c r="W68" s="206">
        <v>0.9069767441860463</v>
      </c>
      <c r="X68" s="207">
        <v>170.3196221756735</v>
      </c>
    </row>
    <row r="69" spans="9:24" ht="12.75">
      <c r="I69" s="201" t="s">
        <v>642</v>
      </c>
      <c r="J69" s="202" t="s">
        <v>646</v>
      </c>
      <c r="K69" s="213">
        <v>2.9</v>
      </c>
      <c r="L69" s="203">
        <v>634.0372670807453</v>
      </c>
      <c r="M69" s="203">
        <v>1186.9767441860465</v>
      </c>
      <c r="N69" s="204">
        <v>8.23</v>
      </c>
      <c r="O69" s="203">
        <v>8401.184</v>
      </c>
      <c r="P69" s="203">
        <v>548.7242290815107</v>
      </c>
      <c r="Q69" s="203">
        <v>590.5644515489757</v>
      </c>
      <c r="R69" s="203">
        <v>4736.511999999999</v>
      </c>
      <c r="S69" s="205">
        <v>1.61</v>
      </c>
      <c r="T69" s="205">
        <v>2.9298969072164947</v>
      </c>
      <c r="U69" s="205">
        <v>0.86</v>
      </c>
      <c r="V69" s="205">
        <v>1.18</v>
      </c>
      <c r="W69" s="206">
        <v>0.8720930232558142</v>
      </c>
      <c r="X69" s="207">
        <v>166.82046128052107</v>
      </c>
    </row>
    <row r="70" spans="9:24" ht="12.75">
      <c r="I70" s="201" t="s">
        <v>642</v>
      </c>
      <c r="J70" s="202" t="s">
        <v>647</v>
      </c>
      <c r="K70" s="213">
        <v>2.9</v>
      </c>
      <c r="L70" s="203">
        <v>614.9397590361446</v>
      </c>
      <c r="M70" s="203">
        <v>1186.9767441860465</v>
      </c>
      <c r="N70" s="204">
        <v>8.1</v>
      </c>
      <c r="O70" s="203">
        <v>8268.48</v>
      </c>
      <c r="P70" s="203">
        <v>567.6761502465749</v>
      </c>
      <c r="Q70" s="203">
        <v>610.9614567028763</v>
      </c>
      <c r="R70" s="203">
        <v>4869.2159999999985</v>
      </c>
      <c r="S70" s="205">
        <v>1.66</v>
      </c>
      <c r="T70" s="205">
        <v>3.140331491712707</v>
      </c>
      <c r="U70" s="205">
        <v>0.86</v>
      </c>
      <c r="V70" s="205">
        <v>1.18</v>
      </c>
      <c r="W70" s="206">
        <v>0.9302325581395348</v>
      </c>
      <c r="X70" s="207">
        <v>172.58213183077203</v>
      </c>
    </row>
    <row r="71" spans="9:24" ht="12.75">
      <c r="I71" s="201" t="s">
        <v>642</v>
      </c>
      <c r="J71" s="202" t="s">
        <v>648</v>
      </c>
      <c r="K71" s="213">
        <v>2.9</v>
      </c>
      <c r="L71" s="203">
        <v>604.0236686390532</v>
      </c>
      <c r="M71" s="203">
        <v>1186.9767441860465</v>
      </c>
      <c r="N71" s="204">
        <v>7.98</v>
      </c>
      <c r="O71" s="203">
        <v>8145.984</v>
      </c>
      <c r="P71" s="203">
        <v>578.5090235279075</v>
      </c>
      <c r="Q71" s="203">
        <v>622.6203365719105</v>
      </c>
      <c r="R71" s="203">
        <v>4991.711999999998</v>
      </c>
      <c r="S71" s="205">
        <v>1.69</v>
      </c>
      <c r="T71" s="205">
        <v>3.620382165605095</v>
      </c>
      <c r="U71" s="205">
        <v>0.86</v>
      </c>
      <c r="V71" s="205">
        <v>1.18</v>
      </c>
      <c r="W71" s="206">
        <v>0.9651162790697674</v>
      </c>
      <c r="X71" s="207">
        <v>175.87548908020543</v>
      </c>
    </row>
    <row r="72" spans="9:24" ht="12.75">
      <c r="I72" s="201" t="s">
        <v>642</v>
      </c>
      <c r="J72" s="202" t="s">
        <v>649</v>
      </c>
      <c r="K72" s="213">
        <v>2.9</v>
      </c>
      <c r="L72" s="203">
        <v>604.0236686390532</v>
      </c>
      <c r="M72" s="203">
        <v>1186.9767441860465</v>
      </c>
      <c r="N72" s="204">
        <v>7.98</v>
      </c>
      <c r="O72" s="203">
        <v>8145.984</v>
      </c>
      <c r="P72" s="203">
        <v>578.5090235279075</v>
      </c>
      <c r="Q72" s="203">
        <v>622.6203365719105</v>
      </c>
      <c r="R72" s="203">
        <v>4991.711999999998</v>
      </c>
      <c r="S72" s="205">
        <v>1.69</v>
      </c>
      <c r="T72" s="205">
        <v>3.620382165605095</v>
      </c>
      <c r="U72" s="205">
        <v>0.86</v>
      </c>
      <c r="V72" s="205">
        <v>1.18</v>
      </c>
      <c r="W72" s="206">
        <v>0.9651162790697674</v>
      </c>
      <c r="X72" s="207">
        <v>175.87548908020543</v>
      </c>
    </row>
    <row r="73" spans="9:24" ht="12.75">
      <c r="I73" s="201" t="s">
        <v>658</v>
      </c>
      <c r="J73" s="202" t="s">
        <v>661</v>
      </c>
      <c r="K73" s="213">
        <v>2.99</v>
      </c>
      <c r="L73" s="203">
        <v>687.8954248366013</v>
      </c>
      <c r="M73" s="203">
        <v>1223.8139534883721</v>
      </c>
      <c r="N73" s="216">
        <v>8.11</v>
      </c>
      <c r="O73" s="203">
        <v>8535.612799999999</v>
      </c>
      <c r="P73" s="203">
        <v>531.8330371787468</v>
      </c>
      <c r="Q73" s="203">
        <v>572.3853062636263</v>
      </c>
      <c r="R73" s="203">
        <v>5009.804800000002</v>
      </c>
      <c r="S73" s="205">
        <v>1.53</v>
      </c>
      <c r="T73" s="205">
        <v>3.48</v>
      </c>
      <c r="U73" s="205">
        <v>0.86</v>
      </c>
      <c r="V73" s="205">
        <v>1.18</v>
      </c>
      <c r="W73" s="206">
        <v>0.7790697674418605</v>
      </c>
      <c r="X73" s="207">
        <v>161.6852835802153</v>
      </c>
    </row>
    <row r="74" spans="9:24" ht="12.75">
      <c r="I74" s="201" t="s">
        <v>624</v>
      </c>
      <c r="J74" s="202" t="s">
        <v>415</v>
      </c>
      <c r="K74" s="213">
        <v>3</v>
      </c>
      <c r="L74" s="203">
        <v>480</v>
      </c>
      <c r="M74" s="203">
        <v>1227.906976744186</v>
      </c>
      <c r="N74" s="202">
        <v>8.8</v>
      </c>
      <c r="O74" s="203">
        <v>9292.8</v>
      </c>
      <c r="P74" s="203">
        <v>742.2054243388409</v>
      </c>
      <c r="Q74" s="203">
        <v>798.7985879446775</v>
      </c>
      <c r="R74" s="203">
        <v>4297.92</v>
      </c>
      <c r="S74" s="205">
        <v>2.2</v>
      </c>
      <c r="T74" s="205">
        <v>3.946308724832215</v>
      </c>
      <c r="U74" s="205">
        <v>0.86</v>
      </c>
      <c r="V74" s="205">
        <v>1.18</v>
      </c>
      <c r="W74" s="206">
        <v>1.558139534883721</v>
      </c>
      <c r="X74" s="207">
        <v>225.64166969692553</v>
      </c>
    </row>
    <row r="75" spans="9:24" ht="12.75">
      <c r="I75" s="201" t="s">
        <v>589</v>
      </c>
      <c r="J75" s="202" t="s">
        <v>590</v>
      </c>
      <c r="K75" s="213">
        <v>3.01</v>
      </c>
      <c r="L75" s="203">
        <v>706.3466666666667</v>
      </c>
      <c r="M75" s="203">
        <v>1232</v>
      </c>
      <c r="N75" s="208">
        <v>8.11</v>
      </c>
      <c r="O75" s="203">
        <v>8592.707199999999</v>
      </c>
      <c r="P75" s="203">
        <v>521.6460969787652</v>
      </c>
      <c r="Q75" s="203">
        <v>561.421611873396</v>
      </c>
      <c r="R75" s="203">
        <v>5043.315199999999</v>
      </c>
      <c r="S75" s="205">
        <v>1.5</v>
      </c>
      <c r="T75" s="205">
        <v>3.5012462908011863</v>
      </c>
      <c r="U75" s="205">
        <v>0.86</v>
      </c>
      <c r="V75" s="205">
        <v>1.18</v>
      </c>
      <c r="W75" s="206">
        <v>0.7441860465116279</v>
      </c>
      <c r="X75" s="207">
        <v>158.58829975276055</v>
      </c>
    </row>
    <row r="76" spans="9:24" ht="12.75">
      <c r="I76" s="201" t="s">
        <v>589</v>
      </c>
      <c r="J76" s="202" t="s">
        <v>591</v>
      </c>
      <c r="K76" s="213">
        <v>3.01</v>
      </c>
      <c r="L76" s="203">
        <v>706.3466666666667</v>
      </c>
      <c r="M76" s="203">
        <v>1232</v>
      </c>
      <c r="N76" s="208">
        <v>8.11</v>
      </c>
      <c r="O76" s="203">
        <v>8592.707199999999</v>
      </c>
      <c r="P76" s="203">
        <v>521.6460969787652</v>
      </c>
      <c r="Q76" s="203">
        <v>561.421611873396</v>
      </c>
      <c r="R76" s="203">
        <v>5043.315199999999</v>
      </c>
      <c r="S76" s="205">
        <v>1.5</v>
      </c>
      <c r="T76" s="205">
        <v>3.5012462908011863</v>
      </c>
      <c r="U76" s="205">
        <v>0.86</v>
      </c>
      <c r="V76" s="205">
        <v>1.18</v>
      </c>
      <c r="W76" s="206">
        <v>0.7441860465116279</v>
      </c>
      <c r="X76" s="207">
        <v>158.58829975276055</v>
      </c>
    </row>
    <row r="77" spans="9:24" ht="12.75">
      <c r="I77" s="201" t="s">
        <v>589</v>
      </c>
      <c r="J77" s="202" t="s">
        <v>592</v>
      </c>
      <c r="K77" s="213">
        <v>3.01</v>
      </c>
      <c r="L77" s="203">
        <v>706.3466666666667</v>
      </c>
      <c r="M77" s="203">
        <v>1232</v>
      </c>
      <c r="N77" s="208">
        <v>8.11</v>
      </c>
      <c r="O77" s="203">
        <v>8592.707199999999</v>
      </c>
      <c r="P77" s="203">
        <v>521.6460969787652</v>
      </c>
      <c r="Q77" s="203">
        <v>561.421611873396</v>
      </c>
      <c r="R77" s="203">
        <v>5043.315199999999</v>
      </c>
      <c r="S77" s="205">
        <v>1.5</v>
      </c>
      <c r="T77" s="205">
        <v>3.5012462908011863</v>
      </c>
      <c r="U77" s="205">
        <v>0.86</v>
      </c>
      <c r="V77" s="205">
        <v>1.18</v>
      </c>
      <c r="W77" s="206">
        <v>0.7441860465116279</v>
      </c>
      <c r="X77" s="207">
        <v>158.58829975276055</v>
      </c>
    </row>
    <row r="78" spans="9:24" ht="12.75">
      <c r="I78" s="201" t="s">
        <v>589</v>
      </c>
      <c r="J78" s="202" t="s">
        <v>593</v>
      </c>
      <c r="K78" s="213">
        <v>3.01</v>
      </c>
      <c r="L78" s="203">
        <v>706.3466666666667</v>
      </c>
      <c r="M78" s="203">
        <v>1232</v>
      </c>
      <c r="N78" s="208">
        <v>8.11</v>
      </c>
      <c r="O78" s="203">
        <v>8592.707199999999</v>
      </c>
      <c r="P78" s="203">
        <v>521.6460969787652</v>
      </c>
      <c r="Q78" s="203">
        <v>561.421611873396</v>
      </c>
      <c r="R78" s="203">
        <v>5043.315199999999</v>
      </c>
      <c r="S78" s="205">
        <v>1.5</v>
      </c>
      <c r="T78" s="205">
        <v>3.5012462908011863</v>
      </c>
      <c r="U78" s="205">
        <v>0.86</v>
      </c>
      <c r="V78" s="205">
        <v>1.18</v>
      </c>
      <c r="W78" s="206">
        <v>0.7441860465116279</v>
      </c>
      <c r="X78" s="207">
        <v>158.58829975276055</v>
      </c>
    </row>
    <row r="79" spans="9:24" ht="12.75">
      <c r="I79" s="201" t="s">
        <v>589</v>
      </c>
      <c r="J79" s="202" t="s">
        <v>600</v>
      </c>
      <c r="K79" s="213">
        <v>3.18</v>
      </c>
      <c r="L79" s="203">
        <v>699.6</v>
      </c>
      <c r="M79" s="203">
        <v>1301.5813953488373</v>
      </c>
      <c r="N79" s="208">
        <v>4.36</v>
      </c>
      <c r="O79" s="203">
        <v>4880.409600000001</v>
      </c>
      <c r="P79" s="203">
        <v>597.3922838960126</v>
      </c>
      <c r="Q79" s="203">
        <v>642.9434455430835</v>
      </c>
      <c r="R79" s="203">
        <v>9525.7536</v>
      </c>
      <c r="S79" s="205">
        <v>1.6</v>
      </c>
      <c r="T79" s="205">
        <v>4.420425531914894</v>
      </c>
      <c r="U79" s="205">
        <v>0.86</v>
      </c>
      <c r="V79" s="205">
        <v>1.18</v>
      </c>
      <c r="W79" s="206">
        <v>0.86046511627907</v>
      </c>
      <c r="X79" s="207">
        <v>181.61628571016345</v>
      </c>
    </row>
    <row r="80" spans="9:24" ht="12.75">
      <c r="I80" s="201" t="s">
        <v>589</v>
      </c>
      <c r="J80" s="202" t="s">
        <v>602</v>
      </c>
      <c r="K80" s="213">
        <v>3.18</v>
      </c>
      <c r="L80" s="203">
        <v>658.4470588235295</v>
      </c>
      <c r="M80" s="203">
        <v>1301.5813953488373</v>
      </c>
      <c r="N80" s="208">
        <v>4.43</v>
      </c>
      <c r="O80" s="203">
        <v>4958.7648</v>
      </c>
      <c r="P80" s="203">
        <v>638.2315020319879</v>
      </c>
      <c r="Q80" s="203">
        <v>686.8966540619269</v>
      </c>
      <c r="R80" s="203">
        <v>9447.398400000002</v>
      </c>
      <c r="S80" s="205">
        <v>1.7</v>
      </c>
      <c r="T80" s="205">
        <v>4.358601398601399</v>
      </c>
      <c r="U80" s="205">
        <v>0.86</v>
      </c>
      <c r="V80" s="205">
        <v>1.18</v>
      </c>
      <c r="W80" s="206">
        <v>0.9767441860465116</v>
      </c>
      <c r="X80" s="207">
        <v>194.0320254327978</v>
      </c>
    </row>
    <row r="81" spans="9:24" ht="12.75">
      <c r="I81" s="201" t="s">
        <v>589</v>
      </c>
      <c r="J81" s="202" t="s">
        <v>601</v>
      </c>
      <c r="K81" s="213">
        <v>3.18</v>
      </c>
      <c r="L81" s="203">
        <v>699.6</v>
      </c>
      <c r="M81" s="203">
        <v>1301.5813953488373</v>
      </c>
      <c r="N81" s="208">
        <v>4.36</v>
      </c>
      <c r="O81" s="203">
        <v>4880.409600000001</v>
      </c>
      <c r="P81" s="203">
        <v>597.3922838960126</v>
      </c>
      <c r="Q81" s="203">
        <v>642.9434455430835</v>
      </c>
      <c r="R81" s="203">
        <v>9525.7536</v>
      </c>
      <c r="S81" s="205">
        <v>1.6</v>
      </c>
      <c r="T81" s="205">
        <v>4.420425531914894</v>
      </c>
      <c r="U81" s="205">
        <v>0.86</v>
      </c>
      <c r="V81" s="205">
        <v>1.18</v>
      </c>
      <c r="W81" s="206">
        <v>0.86046511627907</v>
      </c>
      <c r="X81" s="207">
        <v>181.61628571016345</v>
      </c>
    </row>
    <row r="82" spans="9:24" ht="12.75">
      <c r="I82" s="201" t="s">
        <v>589</v>
      </c>
      <c r="J82" s="202" t="s">
        <v>603</v>
      </c>
      <c r="K82" s="213">
        <v>3.18</v>
      </c>
      <c r="L82" s="203">
        <v>658.4470588235295</v>
      </c>
      <c r="M82" s="203">
        <v>1301.5813953488373</v>
      </c>
      <c r="N82" s="208">
        <v>4.43</v>
      </c>
      <c r="O82" s="203">
        <v>4958.7648</v>
      </c>
      <c r="P82" s="203">
        <v>638.2315020319879</v>
      </c>
      <c r="Q82" s="203">
        <v>686.8966540619269</v>
      </c>
      <c r="R82" s="203">
        <v>9447.398400000002</v>
      </c>
      <c r="S82" s="205">
        <v>1.7</v>
      </c>
      <c r="T82" s="205">
        <v>4.358601398601399</v>
      </c>
      <c r="U82" s="205">
        <v>0.86</v>
      </c>
      <c r="V82" s="205">
        <v>1.18</v>
      </c>
      <c r="W82" s="206">
        <v>0.9767441860465116</v>
      </c>
      <c r="X82" s="207">
        <v>194.0320254327978</v>
      </c>
    </row>
    <row r="83" spans="9:24" ht="12.75">
      <c r="I83" s="201" t="s">
        <v>658</v>
      </c>
      <c r="J83" s="202" t="s">
        <v>659</v>
      </c>
      <c r="K83" s="213">
        <v>3.18</v>
      </c>
      <c r="L83" s="203">
        <v>662.3431952662722</v>
      </c>
      <c r="M83" s="203">
        <v>1301.5813953488373</v>
      </c>
      <c r="N83" s="202">
        <v>4.28</v>
      </c>
      <c r="O83" s="203">
        <v>4790.8608</v>
      </c>
      <c r="P83" s="203">
        <v>634.3650671788779</v>
      </c>
      <c r="Q83" s="203">
        <v>682.7354035512673</v>
      </c>
      <c r="R83" s="203">
        <v>9615.3024</v>
      </c>
      <c r="S83" s="205">
        <v>1.69</v>
      </c>
      <c r="T83" s="205">
        <v>4.420425531914894</v>
      </c>
      <c r="U83" s="205">
        <v>0.86</v>
      </c>
      <c r="V83" s="205">
        <v>1.18</v>
      </c>
      <c r="W83" s="206">
        <v>0.9651162790697674</v>
      </c>
      <c r="X83" s="207">
        <v>192.8565707845011</v>
      </c>
    </row>
    <row r="84" spans="9:24" ht="12.75">
      <c r="I84" s="201" t="s">
        <v>658</v>
      </c>
      <c r="J84" s="202" t="s">
        <v>660</v>
      </c>
      <c r="K84" s="213">
        <v>3.18</v>
      </c>
      <c r="L84" s="203">
        <v>666.2857142857143</v>
      </c>
      <c r="M84" s="203">
        <v>1301.5813953488373</v>
      </c>
      <c r="N84" s="202">
        <v>4.36</v>
      </c>
      <c r="O84" s="203">
        <v>4880.409600000001</v>
      </c>
      <c r="P84" s="203">
        <v>630.4526033394212</v>
      </c>
      <c r="Q84" s="203">
        <v>678.5246143440521</v>
      </c>
      <c r="R84" s="203">
        <v>9525.7536</v>
      </c>
      <c r="S84" s="205">
        <v>1.68</v>
      </c>
      <c r="T84" s="205">
        <v>4.24</v>
      </c>
      <c r="U84" s="205">
        <v>0.86</v>
      </c>
      <c r="V84" s="205">
        <v>1.18</v>
      </c>
      <c r="W84" s="206">
        <v>0.9534883720930232</v>
      </c>
      <c r="X84" s="207">
        <v>191.66712262848654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Clothes Washers - Residential</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2003-01-17T19:30:46Z</dcterms:modified>
  <cp:category/>
  <cp:version/>
  <cp:contentType/>
  <cp:contentStatus/>
</cp:coreProperties>
</file>